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ARCHIVO  2 0 1 5\CENTRAL # 10 OCTUBRE 2015\"/>
    </mc:Choice>
  </mc:AlternateContent>
  <bookViews>
    <workbookView xWindow="0" yWindow="2760" windowWidth="15390" windowHeight="4995"/>
  </bookViews>
  <sheets>
    <sheet name="COMPRAS DEL MES " sheetId="38" r:id="rId1"/>
    <sheet name="PIERNA" sheetId="1" r:id="rId2"/>
    <sheet name="ARRACHERA " sheetId="85" r:id="rId3"/>
    <sheet name="NANA" sheetId="111" r:id="rId4"/>
    <sheet name="BUCHE  SWIFT     Y   I B P " sheetId="3" r:id="rId5"/>
    <sheet name="CONTRA SWIFT      NATIONAL   " sheetId="57" r:id="rId6"/>
    <sheet name="CORBATA SMITHFIELD" sheetId="108" r:id="rId7"/>
    <sheet name="CORBATA SEABOARD" sheetId="119" r:id="rId8"/>
    <sheet name="CUERO BELLY FARM" sheetId="8" r:id="rId9"/>
    <sheet name="CUERO COMBO " sheetId="116" r:id="rId10"/>
    <sheet name="MENUDO EXCELL   I B P" sheetId="40" r:id="rId11"/>
    <sheet name="ESP. CARNERO" sheetId="54" r:id="rId12"/>
    <sheet name="SESOS COPA" sheetId="14" r:id="rId13"/>
    <sheet name="SESOS MARQUETA" sheetId="117" r:id="rId14"/>
    <sheet name="FILETE BASA" sheetId="65" r:id="rId15"/>
    <sheet name="LENGUA DE RES" sheetId="72" r:id="rId16"/>
    <sheet name="LENGUA DE CERDO " sheetId="118" r:id="rId17"/>
    <sheet name="PAVO ENTERO" sheetId="94" r:id="rId18"/>
    <sheet name="CABEZA DE CERDO" sheetId="113" r:id="rId19"/>
    <sheet name="CABEZA CON LENGUA " sheetId="114" r:id="rId20"/>
    <sheet name="Hoja1" sheetId="120" r:id="rId21"/>
    <sheet name="Hoja2" sheetId="121" r:id="rId22"/>
  </sheets>
  <calcPr calcId="152511"/>
  <fileRecoveryPr autoRecover="0"/>
</workbook>
</file>

<file path=xl/calcChain.xml><?xml version="1.0" encoding="utf-8"?>
<calcChain xmlns="http://schemas.openxmlformats.org/spreadsheetml/2006/main">
  <c r="Q46" i="38" l="1"/>
  <c r="Q47" i="38" l="1"/>
  <c r="V10" i="65"/>
  <c r="X10" i="65" s="1"/>
  <c r="V9" i="65"/>
  <c r="X9" i="65" s="1"/>
  <c r="V8" i="65"/>
  <c r="X8" i="65" s="1"/>
  <c r="AO80" i="57"/>
  <c r="Q39" i="38" l="1"/>
  <c r="Q43" i="38"/>
  <c r="Q42" i="38"/>
  <c r="Q41" i="38"/>
  <c r="Q49" i="38"/>
  <c r="Q45" i="38"/>
  <c r="Q48" i="38"/>
  <c r="Q44" i="38"/>
  <c r="Q36" i="38"/>
  <c r="Q30" i="38"/>
  <c r="Q35" i="38"/>
  <c r="Q34" i="38"/>
  <c r="Q40" i="38" l="1"/>
  <c r="Q71" i="38"/>
  <c r="Q69" i="38"/>
  <c r="Q70" i="38"/>
  <c r="Q37" i="38"/>
  <c r="Q32" i="38"/>
  <c r="Q38" i="38"/>
  <c r="Q22" i="38"/>
  <c r="Q17" i="38"/>
  <c r="Q20" i="38"/>
  <c r="Q21" i="38"/>
  <c r="Q29" i="38"/>
  <c r="Q24" i="38"/>
  <c r="Q26" i="38"/>
  <c r="Q28" i="38"/>
  <c r="Q8" i="38"/>
  <c r="Q11" i="38"/>
  <c r="Q12" i="38"/>
  <c r="Q10" i="38"/>
  <c r="Q7" i="38"/>
  <c r="Q16" i="38"/>
  <c r="Q13" i="38"/>
  <c r="Q18" i="38"/>
  <c r="Q15" i="38" l="1"/>
  <c r="Q6" i="38" l="1"/>
  <c r="OV32" i="1" l="1"/>
  <c r="OV33" i="1" s="1"/>
  <c r="OT32" i="1"/>
  <c r="OM32" i="1"/>
  <c r="OM33" i="1" s="1"/>
  <c r="OK32" i="1"/>
  <c r="OX5" i="1"/>
  <c r="OO5" i="1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BF77" i="57"/>
  <c r="BE77" i="57"/>
  <c r="BG80" i="57" s="1"/>
  <c r="BH75" i="57"/>
  <c r="BH74" i="57"/>
  <c r="BH73" i="57"/>
  <c r="BH72" i="57"/>
  <c r="BH71" i="57"/>
  <c r="BH70" i="57"/>
  <c r="BH69" i="57"/>
  <c r="BH68" i="57"/>
  <c r="BH67" i="57"/>
  <c r="BH66" i="57"/>
  <c r="BH65" i="57"/>
  <c r="BH64" i="57"/>
  <c r="BH63" i="57"/>
  <c r="BH62" i="57"/>
  <c r="BH61" i="57"/>
  <c r="BH60" i="57"/>
  <c r="BH59" i="57"/>
  <c r="BH58" i="57"/>
  <c r="BH57" i="57"/>
  <c r="BH56" i="57"/>
  <c r="BH55" i="57"/>
  <c r="BH54" i="57"/>
  <c r="BH53" i="57"/>
  <c r="BH52" i="57"/>
  <c r="BH51" i="57"/>
  <c r="BH50" i="57"/>
  <c r="BH49" i="57"/>
  <c r="BH48" i="57"/>
  <c r="BH47" i="57"/>
  <c r="BH46" i="57"/>
  <c r="BH45" i="57"/>
  <c r="BH44" i="57"/>
  <c r="BH43" i="57"/>
  <c r="BH42" i="57"/>
  <c r="BH41" i="57"/>
  <c r="BH40" i="57"/>
  <c r="BH39" i="57"/>
  <c r="BH77" i="57" s="1"/>
  <c r="U77" i="111"/>
  <c r="W80" i="111" s="1"/>
  <c r="X75" i="111"/>
  <c r="X74" i="111"/>
  <c r="X73" i="111"/>
  <c r="X72" i="111"/>
  <c r="X71" i="111"/>
  <c r="X70" i="111"/>
  <c r="X69" i="111"/>
  <c r="V68" i="111"/>
  <c r="X68" i="111" s="1"/>
  <c r="V67" i="111"/>
  <c r="X67" i="111" s="1"/>
  <c r="V66" i="111"/>
  <c r="X66" i="111" s="1"/>
  <c r="V65" i="111"/>
  <c r="X65" i="111" s="1"/>
  <c r="V64" i="111"/>
  <c r="X64" i="111" s="1"/>
  <c r="V63" i="111"/>
  <c r="X63" i="111" s="1"/>
  <c r="V62" i="111"/>
  <c r="X62" i="111" s="1"/>
  <c r="V61" i="111"/>
  <c r="X61" i="111" s="1"/>
  <c r="V60" i="111"/>
  <c r="X60" i="111" s="1"/>
  <c r="V59" i="111"/>
  <c r="X59" i="111" s="1"/>
  <c r="V58" i="111"/>
  <c r="X58" i="111" s="1"/>
  <c r="V57" i="111"/>
  <c r="X57" i="111" s="1"/>
  <c r="V56" i="111"/>
  <c r="X56" i="111" s="1"/>
  <c r="V55" i="111"/>
  <c r="X55" i="111" s="1"/>
  <c r="V54" i="111"/>
  <c r="X54" i="111" s="1"/>
  <c r="V53" i="111"/>
  <c r="X53" i="111" s="1"/>
  <c r="V52" i="111"/>
  <c r="X52" i="111" s="1"/>
  <c r="V51" i="111"/>
  <c r="X51" i="111" s="1"/>
  <c r="V50" i="111"/>
  <c r="X50" i="111" s="1"/>
  <c r="V49" i="111"/>
  <c r="X49" i="111" s="1"/>
  <c r="V48" i="111"/>
  <c r="X48" i="111" s="1"/>
  <c r="V47" i="111"/>
  <c r="X47" i="111" s="1"/>
  <c r="V46" i="111"/>
  <c r="X46" i="111" s="1"/>
  <c r="V45" i="111"/>
  <c r="X45" i="111" s="1"/>
  <c r="V44" i="111"/>
  <c r="X44" i="111" s="1"/>
  <c r="V43" i="111"/>
  <c r="X43" i="111" s="1"/>
  <c r="V42" i="111"/>
  <c r="X42" i="111" s="1"/>
  <c r="V41" i="111"/>
  <c r="X41" i="111" s="1"/>
  <c r="V40" i="111"/>
  <c r="X40" i="111" s="1"/>
  <c r="V39" i="111"/>
  <c r="X39" i="111" s="1"/>
  <c r="V38" i="111"/>
  <c r="X38" i="111" s="1"/>
  <c r="V37" i="111"/>
  <c r="X37" i="111" s="1"/>
  <c r="V36" i="111"/>
  <c r="X36" i="111" s="1"/>
  <c r="V35" i="111"/>
  <c r="X35" i="111" s="1"/>
  <c r="V34" i="111"/>
  <c r="X34" i="111" s="1"/>
  <c r="V33" i="111"/>
  <c r="X33" i="111" s="1"/>
  <c r="V32" i="111"/>
  <c r="X32" i="111" s="1"/>
  <c r="V31" i="111"/>
  <c r="X31" i="111" s="1"/>
  <c r="V30" i="111"/>
  <c r="X30" i="111" s="1"/>
  <c r="V29" i="111"/>
  <c r="X29" i="111" s="1"/>
  <c r="V28" i="111"/>
  <c r="X28" i="111" s="1"/>
  <c r="V27" i="111"/>
  <c r="X27" i="111" s="1"/>
  <c r="V26" i="111"/>
  <c r="X26" i="111" s="1"/>
  <c r="V25" i="111"/>
  <c r="X25" i="111" s="1"/>
  <c r="V24" i="111"/>
  <c r="X24" i="111" s="1"/>
  <c r="V23" i="111"/>
  <c r="X23" i="111" s="1"/>
  <c r="V22" i="111"/>
  <c r="X22" i="111" s="1"/>
  <c r="V21" i="111"/>
  <c r="X21" i="111" s="1"/>
  <c r="V20" i="111"/>
  <c r="X20" i="111" s="1"/>
  <c r="V19" i="111"/>
  <c r="X19" i="111" s="1"/>
  <c r="V18" i="111"/>
  <c r="X18" i="111" s="1"/>
  <c r="V17" i="111"/>
  <c r="X17" i="111" s="1"/>
  <c r="V16" i="111"/>
  <c r="X16" i="111" s="1"/>
  <c r="V15" i="111"/>
  <c r="X15" i="111" s="1"/>
  <c r="V14" i="111"/>
  <c r="X14" i="111" s="1"/>
  <c r="V13" i="111"/>
  <c r="X13" i="111" s="1"/>
  <c r="V12" i="111"/>
  <c r="X12" i="111" s="1"/>
  <c r="V11" i="111"/>
  <c r="X11" i="111" s="1"/>
  <c r="V10" i="111"/>
  <c r="X10" i="111" s="1"/>
  <c r="V9" i="111"/>
  <c r="V77" i="111" s="1"/>
  <c r="Q1" i="119"/>
  <c r="M77" i="119"/>
  <c r="L77" i="119"/>
  <c r="N80" i="119" s="1"/>
  <c r="O75" i="119"/>
  <c r="O74" i="119"/>
  <c r="O73" i="119"/>
  <c r="O72" i="119"/>
  <c r="O71" i="119"/>
  <c r="O70" i="119"/>
  <c r="O69" i="119"/>
  <c r="O68" i="119"/>
  <c r="O67" i="119"/>
  <c r="O66" i="119"/>
  <c r="O65" i="119"/>
  <c r="O64" i="119"/>
  <c r="O63" i="119"/>
  <c r="O62" i="119"/>
  <c r="O61" i="119"/>
  <c r="O60" i="119"/>
  <c r="O59" i="119"/>
  <c r="O58" i="119"/>
  <c r="O57" i="119"/>
  <c r="O56" i="119"/>
  <c r="O55" i="119"/>
  <c r="O54" i="119"/>
  <c r="O53" i="119"/>
  <c r="O52" i="119"/>
  <c r="O51" i="119"/>
  <c r="O50" i="119"/>
  <c r="O49" i="119"/>
  <c r="O48" i="119"/>
  <c r="O47" i="119"/>
  <c r="O46" i="119"/>
  <c r="O45" i="119"/>
  <c r="O44" i="119"/>
  <c r="O43" i="119"/>
  <c r="O42" i="119"/>
  <c r="O41" i="119"/>
  <c r="O40" i="119"/>
  <c r="O39" i="119"/>
  <c r="O38" i="119"/>
  <c r="O37" i="119"/>
  <c r="O36" i="119"/>
  <c r="O35" i="119"/>
  <c r="O34" i="119"/>
  <c r="O33" i="119"/>
  <c r="O32" i="119"/>
  <c r="O31" i="119"/>
  <c r="O30" i="119"/>
  <c r="O29" i="119"/>
  <c r="O28" i="119"/>
  <c r="O27" i="119"/>
  <c r="O26" i="119"/>
  <c r="O25" i="119"/>
  <c r="O24" i="119"/>
  <c r="O23" i="119"/>
  <c r="O22" i="119"/>
  <c r="O21" i="119"/>
  <c r="O20" i="119"/>
  <c r="O19" i="119"/>
  <c r="O18" i="119"/>
  <c r="O17" i="119"/>
  <c r="O16" i="119"/>
  <c r="O15" i="119"/>
  <c r="O14" i="119"/>
  <c r="O13" i="119"/>
  <c r="O12" i="119"/>
  <c r="O11" i="119"/>
  <c r="O10" i="119"/>
  <c r="O9" i="119"/>
  <c r="Q1" i="14"/>
  <c r="L92" i="14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M9" i="14"/>
  <c r="O9" i="14" s="1"/>
  <c r="M8" i="14"/>
  <c r="O8" i="14" s="1"/>
  <c r="AV58" i="3"/>
  <c r="AX61" i="3" s="1"/>
  <c r="AW57" i="3"/>
  <c r="AY57" i="3" s="1"/>
  <c r="AW56" i="3"/>
  <c r="AY56" i="3" s="1"/>
  <c r="AW55" i="3"/>
  <c r="AY55" i="3" s="1"/>
  <c r="AW54" i="3"/>
  <c r="AY54" i="3" s="1"/>
  <c r="AW53" i="3"/>
  <c r="AY53" i="3" s="1"/>
  <c r="AW52" i="3"/>
  <c r="AY52" i="3" s="1"/>
  <c r="AW51" i="3"/>
  <c r="AY51" i="3" s="1"/>
  <c r="AW50" i="3"/>
  <c r="AY50" i="3" s="1"/>
  <c r="AW49" i="3"/>
  <c r="AY49" i="3" s="1"/>
  <c r="AW48" i="3"/>
  <c r="AY48" i="3" s="1"/>
  <c r="AW47" i="3"/>
  <c r="AY47" i="3" s="1"/>
  <c r="AW46" i="3"/>
  <c r="AY46" i="3" s="1"/>
  <c r="AW45" i="3"/>
  <c r="AY45" i="3" s="1"/>
  <c r="AW44" i="3"/>
  <c r="AY44" i="3" s="1"/>
  <c r="AW43" i="3"/>
  <c r="AY43" i="3" s="1"/>
  <c r="AW42" i="3"/>
  <c r="AY42" i="3" s="1"/>
  <c r="AW41" i="3"/>
  <c r="AY41" i="3" s="1"/>
  <c r="AW40" i="3"/>
  <c r="AY40" i="3" s="1"/>
  <c r="AW39" i="3"/>
  <c r="AY39" i="3" s="1"/>
  <c r="AW38" i="3"/>
  <c r="AY38" i="3" s="1"/>
  <c r="AW37" i="3"/>
  <c r="AY37" i="3" s="1"/>
  <c r="AW36" i="3"/>
  <c r="AY36" i="3" s="1"/>
  <c r="AW35" i="3"/>
  <c r="AY35" i="3" s="1"/>
  <c r="AW34" i="3"/>
  <c r="AY34" i="3" s="1"/>
  <c r="AW33" i="3"/>
  <c r="AY33" i="3" s="1"/>
  <c r="AW32" i="3"/>
  <c r="AY32" i="3" s="1"/>
  <c r="AW31" i="3"/>
  <c r="AY31" i="3" s="1"/>
  <c r="AW30" i="3"/>
  <c r="AY30" i="3" s="1"/>
  <c r="AW29" i="3"/>
  <c r="AY29" i="3" s="1"/>
  <c r="AW28" i="3"/>
  <c r="AY28" i="3" s="1"/>
  <c r="AW27" i="3"/>
  <c r="AY27" i="3" s="1"/>
  <c r="AW26" i="3"/>
  <c r="AY26" i="3" s="1"/>
  <c r="AW25" i="3"/>
  <c r="AY25" i="3" s="1"/>
  <c r="AW24" i="3"/>
  <c r="AY24" i="3" s="1"/>
  <c r="AW23" i="3"/>
  <c r="AY23" i="3" s="1"/>
  <c r="AW22" i="3"/>
  <c r="AY22" i="3" s="1"/>
  <c r="AW21" i="3"/>
  <c r="AY21" i="3" s="1"/>
  <c r="AW20" i="3"/>
  <c r="AY20" i="3" s="1"/>
  <c r="AW19" i="3"/>
  <c r="AY19" i="3" s="1"/>
  <c r="AW18" i="3"/>
  <c r="AY18" i="3" s="1"/>
  <c r="AW17" i="3"/>
  <c r="AY17" i="3" s="1"/>
  <c r="AW16" i="3"/>
  <c r="AY16" i="3" s="1"/>
  <c r="AW15" i="3"/>
  <c r="AY15" i="3" s="1"/>
  <c r="AW14" i="3"/>
  <c r="AY14" i="3" s="1"/>
  <c r="AW13" i="3"/>
  <c r="AY13" i="3" s="1"/>
  <c r="AW12" i="3"/>
  <c r="AY12" i="3" s="1"/>
  <c r="AW11" i="3"/>
  <c r="AY11" i="3" s="1"/>
  <c r="AW10" i="3"/>
  <c r="AY10" i="3" s="1"/>
  <c r="AW9" i="3"/>
  <c r="U71" i="65"/>
  <c r="V73" i="65" s="1"/>
  <c r="V70" i="65"/>
  <c r="X70" i="65" s="1"/>
  <c r="V69" i="65"/>
  <c r="X69" i="65" s="1"/>
  <c r="V68" i="65"/>
  <c r="X68" i="65" s="1"/>
  <c r="V67" i="65"/>
  <c r="X67" i="65" s="1"/>
  <c r="V66" i="65"/>
  <c r="X66" i="65" s="1"/>
  <c r="V65" i="65"/>
  <c r="X65" i="65" s="1"/>
  <c r="V64" i="65"/>
  <c r="X64" i="65" s="1"/>
  <c r="V63" i="65"/>
  <c r="X63" i="65" s="1"/>
  <c r="V62" i="65"/>
  <c r="X62" i="65" s="1"/>
  <c r="V61" i="65"/>
  <c r="X61" i="65" s="1"/>
  <c r="V60" i="65"/>
  <c r="X60" i="65" s="1"/>
  <c r="V59" i="65"/>
  <c r="X59" i="65" s="1"/>
  <c r="V58" i="65"/>
  <c r="X58" i="65" s="1"/>
  <c r="V57" i="65"/>
  <c r="X57" i="65" s="1"/>
  <c r="V56" i="65"/>
  <c r="X56" i="65" s="1"/>
  <c r="V55" i="65"/>
  <c r="X55" i="65" s="1"/>
  <c r="V54" i="65"/>
  <c r="X54" i="65" s="1"/>
  <c r="V53" i="65"/>
  <c r="X53" i="65" s="1"/>
  <c r="V52" i="65"/>
  <c r="X52" i="65" s="1"/>
  <c r="V51" i="65"/>
  <c r="X51" i="65" s="1"/>
  <c r="V50" i="65"/>
  <c r="X50" i="65" s="1"/>
  <c r="V49" i="65"/>
  <c r="X49" i="65" s="1"/>
  <c r="V48" i="65"/>
  <c r="X48" i="65" s="1"/>
  <c r="V47" i="65"/>
  <c r="X47" i="65" s="1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13" i="65"/>
  <c r="X13" i="65" s="1"/>
  <c r="V12" i="65"/>
  <c r="X12" i="65" s="1"/>
  <c r="V11" i="65"/>
  <c r="X11" i="65" s="1"/>
  <c r="V71" i="65"/>
  <c r="AM58" i="3"/>
  <c r="AO61" i="3" s="1"/>
  <c r="AN57" i="3"/>
  <c r="AP57" i="3" s="1"/>
  <c r="AN56" i="3"/>
  <c r="AP56" i="3" s="1"/>
  <c r="AN55" i="3"/>
  <c r="AP55" i="3" s="1"/>
  <c r="AN54" i="3"/>
  <c r="AP54" i="3" s="1"/>
  <c r="AN53" i="3"/>
  <c r="AP53" i="3" s="1"/>
  <c r="AN52" i="3"/>
  <c r="AP52" i="3" s="1"/>
  <c r="AN51" i="3"/>
  <c r="AP51" i="3" s="1"/>
  <c r="AN50" i="3"/>
  <c r="AP50" i="3" s="1"/>
  <c r="AN49" i="3"/>
  <c r="AP49" i="3" s="1"/>
  <c r="AN48" i="3"/>
  <c r="AP48" i="3" s="1"/>
  <c r="AN47" i="3"/>
  <c r="AP47" i="3" s="1"/>
  <c r="AN46" i="3"/>
  <c r="AP46" i="3" s="1"/>
  <c r="AN45" i="3"/>
  <c r="AP45" i="3" s="1"/>
  <c r="AN44" i="3"/>
  <c r="AP44" i="3" s="1"/>
  <c r="AN43" i="3"/>
  <c r="AP43" i="3" s="1"/>
  <c r="AN42" i="3"/>
  <c r="AP42" i="3" s="1"/>
  <c r="AN41" i="3"/>
  <c r="AP41" i="3" s="1"/>
  <c r="AN40" i="3"/>
  <c r="AP40" i="3" s="1"/>
  <c r="AN39" i="3"/>
  <c r="AP39" i="3" s="1"/>
  <c r="AN38" i="3"/>
  <c r="AP38" i="3" s="1"/>
  <c r="AN37" i="3"/>
  <c r="AP37" i="3" s="1"/>
  <c r="AN36" i="3"/>
  <c r="AP36" i="3" s="1"/>
  <c r="AN35" i="3"/>
  <c r="AP35" i="3" s="1"/>
  <c r="AN34" i="3"/>
  <c r="AP34" i="3" s="1"/>
  <c r="AN33" i="3"/>
  <c r="AP33" i="3" s="1"/>
  <c r="AN32" i="3"/>
  <c r="AP32" i="3" s="1"/>
  <c r="AN31" i="3"/>
  <c r="AP31" i="3" s="1"/>
  <c r="AN30" i="3"/>
  <c r="AP30" i="3" s="1"/>
  <c r="AN29" i="3"/>
  <c r="AP29" i="3" s="1"/>
  <c r="AN28" i="3"/>
  <c r="AP28" i="3" s="1"/>
  <c r="AN27" i="3"/>
  <c r="AP27" i="3" s="1"/>
  <c r="AN26" i="3"/>
  <c r="AP26" i="3" s="1"/>
  <c r="AN25" i="3"/>
  <c r="AP25" i="3" s="1"/>
  <c r="AN24" i="3"/>
  <c r="AP24" i="3" s="1"/>
  <c r="AN23" i="3"/>
  <c r="AP23" i="3" s="1"/>
  <c r="AN22" i="3"/>
  <c r="AP22" i="3" s="1"/>
  <c r="AN21" i="3"/>
  <c r="AP21" i="3" s="1"/>
  <c r="AN20" i="3"/>
  <c r="AP20" i="3" s="1"/>
  <c r="AN19" i="3"/>
  <c r="AP19" i="3" s="1"/>
  <c r="AN18" i="3"/>
  <c r="AP18" i="3" s="1"/>
  <c r="AN17" i="3"/>
  <c r="AP17" i="3" s="1"/>
  <c r="AN16" i="3"/>
  <c r="AP16" i="3" s="1"/>
  <c r="AN15" i="3"/>
  <c r="AP15" i="3" s="1"/>
  <c r="AN14" i="3"/>
  <c r="AP14" i="3" s="1"/>
  <c r="AN13" i="3"/>
  <c r="AP13" i="3" s="1"/>
  <c r="AN12" i="3"/>
  <c r="AP12" i="3" s="1"/>
  <c r="AN11" i="3"/>
  <c r="AP11" i="3" s="1"/>
  <c r="AN10" i="3"/>
  <c r="AP10" i="3" s="1"/>
  <c r="AN9" i="3"/>
  <c r="M62" i="40" l="1"/>
  <c r="AN58" i="3"/>
  <c r="AW58" i="3"/>
  <c r="M92" i="14"/>
  <c r="O77" i="119"/>
  <c r="P6" i="119" s="1"/>
  <c r="Q6" i="119" s="1"/>
  <c r="O8" i="40"/>
  <c r="O62" i="40" s="1"/>
  <c r="BG82" i="57"/>
  <c r="BI6" i="57"/>
  <c r="BJ6" i="57" s="1"/>
  <c r="X9" i="111"/>
  <c r="X77" i="111" s="1"/>
  <c r="N82" i="119"/>
  <c r="O10" i="14"/>
  <c r="O92" i="14" s="1"/>
  <c r="AY9" i="3"/>
  <c r="AY58" i="3" s="1"/>
  <c r="X71" i="65"/>
  <c r="AP9" i="3"/>
  <c r="AP58" i="3" s="1"/>
  <c r="AI1" i="3"/>
  <c r="AR1" i="3" s="1"/>
  <c r="BA1" i="3" s="1"/>
  <c r="AD58" i="3"/>
  <c r="AF61" i="3" s="1"/>
  <c r="AE57" i="3"/>
  <c r="AG57" i="3" s="1"/>
  <c r="AE56" i="3"/>
  <c r="AG56" i="3" s="1"/>
  <c r="AE55" i="3"/>
  <c r="AG55" i="3" s="1"/>
  <c r="AE54" i="3"/>
  <c r="AG54" i="3" s="1"/>
  <c r="AE53" i="3"/>
  <c r="AG53" i="3" s="1"/>
  <c r="AE52" i="3"/>
  <c r="AG52" i="3" s="1"/>
  <c r="AE51" i="3"/>
  <c r="AG51" i="3" s="1"/>
  <c r="AE50" i="3"/>
  <c r="AG50" i="3" s="1"/>
  <c r="AE49" i="3"/>
  <c r="AG49" i="3" s="1"/>
  <c r="AE48" i="3"/>
  <c r="AG48" i="3" s="1"/>
  <c r="AE47" i="3"/>
  <c r="AG47" i="3" s="1"/>
  <c r="AE46" i="3"/>
  <c r="AG46" i="3" s="1"/>
  <c r="AE45" i="3"/>
  <c r="AG45" i="3" s="1"/>
  <c r="AE44" i="3"/>
  <c r="AG44" i="3" s="1"/>
  <c r="AE43" i="3"/>
  <c r="AG43" i="3" s="1"/>
  <c r="AE42" i="3"/>
  <c r="AG42" i="3" s="1"/>
  <c r="AE41" i="3"/>
  <c r="AG41" i="3" s="1"/>
  <c r="AE40" i="3"/>
  <c r="AG40" i="3" s="1"/>
  <c r="AE39" i="3"/>
  <c r="AG39" i="3" s="1"/>
  <c r="AE38" i="3"/>
  <c r="AG38" i="3" s="1"/>
  <c r="AE37" i="3"/>
  <c r="AG37" i="3" s="1"/>
  <c r="AE36" i="3"/>
  <c r="AG36" i="3" s="1"/>
  <c r="AE35" i="3"/>
  <c r="AG35" i="3" s="1"/>
  <c r="AE34" i="3"/>
  <c r="AG34" i="3" s="1"/>
  <c r="AE33" i="3"/>
  <c r="AG33" i="3" s="1"/>
  <c r="AE32" i="3"/>
  <c r="AG32" i="3" s="1"/>
  <c r="AE31" i="3"/>
  <c r="AG31" i="3" s="1"/>
  <c r="AE30" i="3"/>
  <c r="AG30" i="3" s="1"/>
  <c r="AE29" i="3"/>
  <c r="AG29" i="3" s="1"/>
  <c r="AE28" i="3"/>
  <c r="AG28" i="3" s="1"/>
  <c r="AE27" i="3"/>
  <c r="AG27" i="3" s="1"/>
  <c r="AE26" i="3"/>
  <c r="AG26" i="3" s="1"/>
  <c r="AE25" i="3"/>
  <c r="AG25" i="3" s="1"/>
  <c r="AE24" i="3"/>
  <c r="AG24" i="3" s="1"/>
  <c r="AE23" i="3"/>
  <c r="AG23" i="3" s="1"/>
  <c r="AE22" i="3"/>
  <c r="AG22" i="3" s="1"/>
  <c r="AE21" i="3"/>
  <c r="AG21" i="3" s="1"/>
  <c r="AE20" i="3"/>
  <c r="AG20" i="3" s="1"/>
  <c r="AE19" i="3"/>
  <c r="AG19" i="3" s="1"/>
  <c r="AE18" i="3"/>
  <c r="AG18" i="3" s="1"/>
  <c r="AE17" i="3"/>
  <c r="AG17" i="3" s="1"/>
  <c r="AE16" i="3"/>
  <c r="AG16" i="3" s="1"/>
  <c r="AE15" i="3"/>
  <c r="AG15" i="3" s="1"/>
  <c r="AE14" i="3"/>
  <c r="AG14" i="3" s="1"/>
  <c r="AE13" i="3"/>
  <c r="AG13" i="3" s="1"/>
  <c r="AE12" i="3"/>
  <c r="AG12" i="3" s="1"/>
  <c r="AE11" i="3"/>
  <c r="AG11" i="3" s="1"/>
  <c r="AE10" i="3"/>
  <c r="AG10" i="3" s="1"/>
  <c r="AE9" i="3"/>
  <c r="AE58" i="3" s="1"/>
  <c r="N67" i="40" l="1"/>
  <c r="P5" i="40"/>
  <c r="Q5" i="40" s="1"/>
  <c r="W82" i="111"/>
  <c r="Y5" i="111"/>
  <c r="Z5" i="111" s="1"/>
  <c r="N95" i="14"/>
  <c r="P5" i="14"/>
  <c r="Q5" i="14" s="1"/>
  <c r="AX63" i="3"/>
  <c r="AZ6" i="3"/>
  <c r="BA6" i="3" s="1"/>
  <c r="W74" i="65"/>
  <c r="Y5" i="65"/>
  <c r="Z5" i="65" s="1"/>
  <c r="AO63" i="3"/>
  <c r="AQ6" i="3"/>
  <c r="AR6" i="3" s="1"/>
  <c r="AG9" i="3"/>
  <c r="AG58" i="3" s="1"/>
  <c r="Q1" i="72"/>
  <c r="M33" i="72"/>
  <c r="L33" i="72"/>
  <c r="M35" i="72" s="1"/>
  <c r="O32" i="72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7" i="72"/>
  <c r="O16" i="72"/>
  <c r="O14" i="72"/>
  <c r="O13" i="72"/>
  <c r="O12" i="72"/>
  <c r="O11" i="72"/>
  <c r="O10" i="72"/>
  <c r="O8" i="72"/>
  <c r="M10" i="65"/>
  <c r="O10" i="65" s="1"/>
  <c r="D8" i="65"/>
  <c r="F8" i="65"/>
  <c r="F71" i="65" s="1"/>
  <c r="D9" i="65"/>
  <c r="F9" i="65"/>
  <c r="D10" i="65"/>
  <c r="F10" i="65"/>
  <c r="D11" i="65"/>
  <c r="F11" i="65"/>
  <c r="D12" i="65"/>
  <c r="F12" i="65"/>
  <c r="D13" i="65"/>
  <c r="F13" i="65"/>
  <c r="D14" i="65"/>
  <c r="F14" i="65"/>
  <c r="D15" i="65"/>
  <c r="F15" i="65"/>
  <c r="D16" i="65"/>
  <c r="F16" i="65"/>
  <c r="D17" i="65"/>
  <c r="F17" i="65"/>
  <c r="D18" i="65"/>
  <c r="F18" i="65"/>
  <c r="D19" i="65"/>
  <c r="F19" i="65"/>
  <c r="D20" i="65"/>
  <c r="F20" i="65"/>
  <c r="D21" i="65"/>
  <c r="F21" i="65"/>
  <c r="D22" i="65"/>
  <c r="F22" i="65"/>
  <c r="D23" i="65"/>
  <c r="F23" i="65"/>
  <c r="D24" i="65"/>
  <c r="F24" i="65"/>
  <c r="D25" i="65"/>
  <c r="F25" i="65"/>
  <c r="D26" i="65"/>
  <c r="F26" i="65"/>
  <c r="D27" i="65"/>
  <c r="F27" i="65"/>
  <c r="D28" i="65"/>
  <c r="F28" i="65"/>
  <c r="D29" i="65"/>
  <c r="F29" i="65"/>
  <c r="D30" i="65"/>
  <c r="F30" i="65"/>
  <c r="D31" i="65"/>
  <c r="F31" i="65"/>
  <c r="D32" i="65"/>
  <c r="F32" i="65"/>
  <c r="D33" i="65"/>
  <c r="F33" i="65"/>
  <c r="D34" i="65"/>
  <c r="F34" i="65"/>
  <c r="D35" i="65"/>
  <c r="F35" i="65"/>
  <c r="D36" i="65"/>
  <c r="F36" i="65"/>
  <c r="D37" i="65"/>
  <c r="F37" i="65"/>
  <c r="D38" i="65"/>
  <c r="F38" i="65"/>
  <c r="D39" i="65"/>
  <c r="F39" i="65"/>
  <c r="D40" i="65"/>
  <c r="F40" i="65"/>
  <c r="D41" i="65"/>
  <c r="F41" i="65"/>
  <c r="D42" i="65"/>
  <c r="F42" i="65"/>
  <c r="D43" i="65"/>
  <c r="F43" i="65"/>
  <c r="D44" i="65"/>
  <c r="F44" i="65"/>
  <c r="D45" i="65"/>
  <c r="F45" i="65"/>
  <c r="D46" i="65"/>
  <c r="F46" i="65"/>
  <c r="D47" i="65"/>
  <c r="F47" i="65"/>
  <c r="D48" i="65"/>
  <c r="F48" i="65"/>
  <c r="D49" i="65"/>
  <c r="F49" i="65"/>
  <c r="D50" i="65"/>
  <c r="F50" i="65"/>
  <c r="D51" i="65"/>
  <c r="F51" i="65"/>
  <c r="D52" i="65"/>
  <c r="F52" i="65"/>
  <c r="D53" i="65"/>
  <c r="F53" i="65"/>
  <c r="D54" i="65"/>
  <c r="F54" i="65"/>
  <c r="D55" i="65"/>
  <c r="F55" i="65"/>
  <c r="D56" i="65"/>
  <c r="F56" i="65"/>
  <c r="D57" i="65"/>
  <c r="F57" i="65"/>
  <c r="D58" i="65"/>
  <c r="F58" i="65"/>
  <c r="D59" i="65"/>
  <c r="F59" i="65"/>
  <c r="D60" i="65"/>
  <c r="F60" i="65"/>
  <c r="D61" i="65"/>
  <c r="F61" i="65"/>
  <c r="D62" i="65"/>
  <c r="F62" i="65"/>
  <c r="D63" i="65"/>
  <c r="F63" i="65"/>
  <c r="D64" i="65"/>
  <c r="F64" i="65"/>
  <c r="D65" i="65"/>
  <c r="F65" i="65"/>
  <c r="D66" i="65"/>
  <c r="F66" i="65"/>
  <c r="D67" i="65"/>
  <c r="F67" i="65"/>
  <c r="D68" i="65"/>
  <c r="F68" i="65"/>
  <c r="D69" i="65"/>
  <c r="F69" i="65"/>
  <c r="D70" i="65"/>
  <c r="F70" i="65"/>
  <c r="C71" i="65"/>
  <c r="D71" i="65"/>
  <c r="D73" i="65"/>
  <c r="Q1" i="65"/>
  <c r="Z1" i="65" s="1"/>
  <c r="M11" i="65"/>
  <c r="O11" i="65" s="1"/>
  <c r="M12" i="65"/>
  <c r="O12" i="65" s="1"/>
  <c r="M13" i="65"/>
  <c r="O13" i="65" s="1"/>
  <c r="M14" i="65"/>
  <c r="O14" i="65" s="1"/>
  <c r="M15" i="65"/>
  <c r="O15" i="65" s="1"/>
  <c r="M16" i="65"/>
  <c r="O16" i="65" s="1"/>
  <c r="M17" i="65"/>
  <c r="O17" i="65" s="1"/>
  <c r="M18" i="65"/>
  <c r="O18" i="65" s="1"/>
  <c r="M19" i="65"/>
  <c r="O19" i="65" s="1"/>
  <c r="M20" i="65"/>
  <c r="O20" i="65" s="1"/>
  <c r="M21" i="65"/>
  <c r="O21" i="65" s="1"/>
  <c r="M22" i="65"/>
  <c r="O22" i="65" s="1"/>
  <c r="M23" i="65"/>
  <c r="O23" i="65" s="1"/>
  <c r="Q1" i="54"/>
  <c r="AV77" i="57"/>
  <c r="AX80" i="57" s="1"/>
  <c r="AD77" i="57"/>
  <c r="AF80" i="57" s="1"/>
  <c r="T1" i="1"/>
  <c r="G5" i="65" l="1"/>
  <c r="H5" i="65" s="1"/>
  <c r="E74" i="65"/>
  <c r="O33" i="72"/>
  <c r="N36" i="72" s="1"/>
  <c r="AF63" i="3"/>
  <c r="AH6" i="3"/>
  <c r="AI6" i="3" s="1"/>
  <c r="P5" i="72"/>
  <c r="Q5" i="72" s="1"/>
  <c r="D10" i="40"/>
  <c r="F10" i="40" s="1"/>
  <c r="D9" i="40"/>
  <c r="F9" i="40" s="1"/>
  <c r="D8" i="40"/>
  <c r="F8" i="40" s="1"/>
  <c r="M15" i="3"/>
  <c r="O15" i="3" s="1"/>
  <c r="V9" i="8"/>
  <c r="X9" i="8" s="1"/>
  <c r="V8" i="8"/>
  <c r="X8" i="8" s="1"/>
  <c r="M16" i="3"/>
  <c r="O16" i="3"/>
  <c r="M17" i="3"/>
  <c r="O17" i="3" s="1"/>
  <c r="M18" i="3"/>
  <c r="O18" i="3"/>
  <c r="M19" i="3"/>
  <c r="O19" i="3" s="1"/>
  <c r="M20" i="3"/>
  <c r="O20" i="3"/>
  <c r="F11" i="119"/>
  <c r="F10" i="119"/>
  <c r="F9" i="119"/>
  <c r="II5" i="1" l="1"/>
  <c r="F9" i="114" l="1"/>
  <c r="F10" i="114"/>
  <c r="D77" i="114"/>
  <c r="C77" i="114"/>
  <c r="E80" i="114" s="1"/>
  <c r="F75" i="114"/>
  <c r="F74" i="114"/>
  <c r="F73" i="114"/>
  <c r="F72" i="114"/>
  <c r="F71" i="114"/>
  <c r="F70" i="114"/>
  <c r="F69" i="114"/>
  <c r="F68" i="114"/>
  <c r="F67" i="114"/>
  <c r="F66" i="114"/>
  <c r="F65" i="114"/>
  <c r="F64" i="114"/>
  <c r="F63" i="114"/>
  <c r="F62" i="114"/>
  <c r="F61" i="114"/>
  <c r="F60" i="114"/>
  <c r="F59" i="114"/>
  <c r="F58" i="114"/>
  <c r="F57" i="114"/>
  <c r="F56" i="114"/>
  <c r="F55" i="114"/>
  <c r="F54" i="114"/>
  <c r="F53" i="114"/>
  <c r="F52" i="114"/>
  <c r="F51" i="114"/>
  <c r="F50" i="114"/>
  <c r="F49" i="114"/>
  <c r="F48" i="114"/>
  <c r="F47" i="114"/>
  <c r="F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F31" i="114"/>
  <c r="F30" i="114"/>
  <c r="F29" i="114"/>
  <c r="F28" i="114"/>
  <c r="F27" i="114"/>
  <c r="F26" i="114"/>
  <c r="F25" i="114"/>
  <c r="F24" i="114"/>
  <c r="F23" i="114"/>
  <c r="F22" i="114"/>
  <c r="F21" i="114"/>
  <c r="F20" i="114"/>
  <c r="F19" i="114"/>
  <c r="F18" i="114"/>
  <c r="F17" i="114"/>
  <c r="F16" i="114"/>
  <c r="F15" i="114"/>
  <c r="F14" i="114"/>
  <c r="F13" i="114"/>
  <c r="F12" i="114"/>
  <c r="F11" i="114"/>
  <c r="AW77" i="57"/>
  <c r="AY75" i="57"/>
  <c r="AY74" i="57"/>
  <c r="AY73" i="57"/>
  <c r="AY72" i="57"/>
  <c r="AY71" i="57"/>
  <c r="AY70" i="57"/>
  <c r="AY69" i="57"/>
  <c r="AY68" i="57"/>
  <c r="AY67" i="57"/>
  <c r="AY66" i="57"/>
  <c r="AY65" i="57"/>
  <c r="AY64" i="57"/>
  <c r="AY63" i="57"/>
  <c r="AY62" i="57"/>
  <c r="AY61" i="57"/>
  <c r="AY60" i="57"/>
  <c r="AY59" i="57"/>
  <c r="AY58" i="57"/>
  <c r="AY57" i="57"/>
  <c r="AY56" i="57"/>
  <c r="AY55" i="57"/>
  <c r="AY54" i="57"/>
  <c r="AY53" i="57"/>
  <c r="AY52" i="57"/>
  <c r="AY51" i="57"/>
  <c r="AY50" i="57"/>
  <c r="AY49" i="57"/>
  <c r="AY48" i="57"/>
  <c r="AY47" i="57"/>
  <c r="AY46" i="57"/>
  <c r="AY45" i="57"/>
  <c r="AY44" i="57"/>
  <c r="AY43" i="57"/>
  <c r="AY42" i="57"/>
  <c r="AY41" i="57"/>
  <c r="AY40" i="57"/>
  <c r="AY39" i="57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AY77" i="57" l="1"/>
  <c r="AZ6" i="57" s="1"/>
  <c r="BA6" i="57" s="1"/>
  <c r="D62" i="40"/>
  <c r="F77" i="114"/>
  <c r="G6" i="114" s="1"/>
  <c r="H6" i="114" s="1"/>
  <c r="E82" i="114"/>
  <c r="F62" i="40"/>
  <c r="S1" i="54"/>
  <c r="AB1" i="54" s="1"/>
  <c r="Q1" i="8"/>
  <c r="Z1" i="8" s="1"/>
  <c r="AB1" i="57"/>
  <c r="AK1" i="57" s="1"/>
  <c r="AT1" i="57" s="1"/>
  <c r="AX82" i="57" l="1"/>
  <c r="E67" i="40"/>
  <c r="G5" i="40"/>
  <c r="H5" i="40" s="1"/>
  <c r="D77" i="119"/>
  <c r="C77" i="119"/>
  <c r="E80" i="119" s="1"/>
  <c r="F75" i="119"/>
  <c r="F74" i="119"/>
  <c r="F73" i="119"/>
  <c r="F72" i="119"/>
  <c r="F71" i="119"/>
  <c r="F70" i="119"/>
  <c r="F69" i="119"/>
  <c r="F68" i="119"/>
  <c r="F67" i="119"/>
  <c r="F66" i="119"/>
  <c r="F65" i="119"/>
  <c r="F64" i="119"/>
  <c r="F63" i="119"/>
  <c r="F62" i="119"/>
  <c r="F61" i="119"/>
  <c r="F60" i="119"/>
  <c r="F59" i="119"/>
  <c r="F58" i="119"/>
  <c r="F57" i="119"/>
  <c r="F56" i="119"/>
  <c r="F55" i="119"/>
  <c r="F54" i="119"/>
  <c r="F53" i="119"/>
  <c r="F52" i="119"/>
  <c r="F51" i="119"/>
  <c r="F50" i="119"/>
  <c r="F49" i="119"/>
  <c r="F48" i="119"/>
  <c r="F47" i="119"/>
  <c r="F46" i="119"/>
  <c r="F45" i="119"/>
  <c r="F44" i="119"/>
  <c r="F43" i="119"/>
  <c r="F42" i="119"/>
  <c r="F41" i="119"/>
  <c r="F40" i="119"/>
  <c r="F39" i="119"/>
  <c r="F38" i="119"/>
  <c r="F37" i="119"/>
  <c r="F36" i="119"/>
  <c r="F35" i="119"/>
  <c r="F34" i="119"/>
  <c r="F33" i="119"/>
  <c r="F32" i="119"/>
  <c r="F31" i="119"/>
  <c r="F30" i="119"/>
  <c r="F29" i="119"/>
  <c r="F28" i="119"/>
  <c r="F27" i="119"/>
  <c r="F26" i="119"/>
  <c r="F25" i="119"/>
  <c r="F24" i="119"/>
  <c r="F23" i="119"/>
  <c r="F22" i="119"/>
  <c r="F21" i="119"/>
  <c r="F18" i="119"/>
  <c r="F16" i="119"/>
  <c r="F15" i="119"/>
  <c r="F14" i="119"/>
  <c r="F13" i="119"/>
  <c r="F12" i="119"/>
  <c r="F77" i="119" s="1"/>
  <c r="G6" i="119" s="1"/>
  <c r="H6" i="119" s="1"/>
  <c r="E82" i="119" l="1"/>
  <c r="P32" i="1"/>
  <c r="P33" i="1" s="1"/>
  <c r="N32" i="1"/>
  <c r="R5" i="1"/>
  <c r="M9" i="65" l="1"/>
  <c r="O9" i="65" s="1"/>
  <c r="M8" i="65"/>
  <c r="O8" i="65" s="1"/>
  <c r="D9" i="14"/>
  <c r="F9" i="14" s="1"/>
  <c r="D10" i="14"/>
  <c r="F10" i="14" s="1"/>
  <c r="D11" i="14"/>
  <c r="F11" i="14" s="1"/>
  <c r="D12" i="14"/>
  <c r="F12" i="14" s="1"/>
  <c r="D13" i="14"/>
  <c r="F13" i="14" s="1"/>
  <c r="D14" i="14"/>
  <c r="F14" i="14" s="1"/>
  <c r="D15" i="14"/>
  <c r="F15" i="14" s="1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F21" i="14" s="1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F29" i="14" s="1"/>
  <c r="D30" i="14"/>
  <c r="F30" i="14" s="1"/>
  <c r="D31" i="14"/>
  <c r="F31" i="14" s="1"/>
  <c r="D32" i="14"/>
  <c r="F32" i="14" s="1"/>
  <c r="D33" i="14"/>
  <c r="F33" i="14" s="1"/>
  <c r="D34" i="14"/>
  <c r="F34" i="14" s="1"/>
  <c r="D35" i="14"/>
  <c r="F35" i="14" s="1"/>
  <c r="D36" i="14"/>
  <c r="F36" i="14" s="1"/>
  <c r="D37" i="14"/>
  <c r="F37" i="14" s="1"/>
  <c r="D38" i="14"/>
  <c r="F38" i="14" s="1"/>
  <c r="D39" i="14"/>
  <c r="F39" i="14" s="1"/>
  <c r="D40" i="14"/>
  <c r="F40" i="14" s="1"/>
  <c r="D41" i="14"/>
  <c r="F41" i="14" s="1"/>
  <c r="D42" i="14"/>
  <c r="F42" i="14" s="1"/>
  <c r="D43" i="14"/>
  <c r="F43" i="14" s="1"/>
  <c r="D44" i="14"/>
  <c r="F44" i="14" s="1"/>
  <c r="D45" i="14"/>
  <c r="F45" i="14" s="1"/>
  <c r="D46" i="14"/>
  <c r="F46" i="14" s="1"/>
  <c r="D47" i="14"/>
  <c r="F47" i="14" s="1"/>
  <c r="D48" i="14"/>
  <c r="F48" i="14" s="1"/>
  <c r="D49" i="14"/>
  <c r="F49" i="14" s="1"/>
  <c r="D50" i="14"/>
  <c r="F50" i="14" s="1"/>
  <c r="D8" i="14"/>
  <c r="F8" i="14" s="1"/>
  <c r="D51" i="14"/>
  <c r="F51" i="14" s="1"/>
  <c r="U77" i="57"/>
  <c r="W80" i="57" s="1"/>
  <c r="O9" i="54"/>
  <c r="X9" i="57"/>
  <c r="PE32" i="1" l="1"/>
  <c r="PE33" i="1" s="1"/>
  <c r="PC32" i="1"/>
  <c r="PG5" i="1"/>
  <c r="AN77" i="57" l="1"/>
  <c r="AP75" i="57"/>
  <c r="AP74" i="57"/>
  <c r="AP73" i="57"/>
  <c r="AP72" i="57"/>
  <c r="AP71" i="57"/>
  <c r="AP70" i="57"/>
  <c r="AP69" i="57"/>
  <c r="AP68" i="57"/>
  <c r="AP67" i="57"/>
  <c r="AP66" i="57"/>
  <c r="AP65" i="57"/>
  <c r="AP64" i="57"/>
  <c r="AP63" i="57"/>
  <c r="AP62" i="57"/>
  <c r="AP61" i="57"/>
  <c r="AP60" i="57"/>
  <c r="AP59" i="57"/>
  <c r="AP58" i="57"/>
  <c r="AP57" i="57"/>
  <c r="AP56" i="57"/>
  <c r="AP55" i="57"/>
  <c r="AP54" i="57"/>
  <c r="AP53" i="57"/>
  <c r="AP52" i="57"/>
  <c r="AP51" i="57"/>
  <c r="AP50" i="57"/>
  <c r="AP49" i="57"/>
  <c r="AP48" i="57"/>
  <c r="AP47" i="57"/>
  <c r="AP46" i="57"/>
  <c r="AP45" i="57"/>
  <c r="AP44" i="57"/>
  <c r="AP43" i="57"/>
  <c r="AP42" i="57"/>
  <c r="AP41" i="57"/>
  <c r="AP40" i="57"/>
  <c r="AP39" i="57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71" i="65" l="1"/>
  <c r="AP77" i="57"/>
  <c r="AO82" i="57"/>
  <c r="AQ6" i="57"/>
  <c r="AR6" i="57" s="1"/>
  <c r="O71" i="65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33" i="72" s="1"/>
  <c r="AE96" i="54"/>
  <c r="AD96" i="54"/>
  <c r="AF99" i="54" s="1"/>
  <c r="AG95" i="54"/>
  <c r="AG94" i="54"/>
  <c r="AG93" i="54"/>
  <c r="AG92" i="54"/>
  <c r="AG91" i="54"/>
  <c r="AG90" i="54"/>
  <c r="AG89" i="54"/>
  <c r="AG88" i="54"/>
  <c r="AG87" i="54"/>
  <c r="AG86" i="54"/>
  <c r="AG85" i="54"/>
  <c r="AG84" i="54"/>
  <c r="AG83" i="54"/>
  <c r="AG82" i="54"/>
  <c r="AG81" i="54"/>
  <c r="AG80" i="54"/>
  <c r="AG79" i="54"/>
  <c r="AG78" i="54"/>
  <c r="AG77" i="54"/>
  <c r="AG76" i="54"/>
  <c r="AG75" i="54"/>
  <c r="AG74" i="54"/>
  <c r="AG73" i="54"/>
  <c r="AG72" i="54"/>
  <c r="AG71" i="54"/>
  <c r="AG70" i="54"/>
  <c r="AG69" i="54"/>
  <c r="AG68" i="54"/>
  <c r="AG67" i="54"/>
  <c r="AG66" i="54"/>
  <c r="AG65" i="54"/>
  <c r="AG64" i="54"/>
  <c r="AG63" i="54"/>
  <c r="AG62" i="54"/>
  <c r="AG61" i="54"/>
  <c r="AG60" i="54"/>
  <c r="AG59" i="54"/>
  <c r="AG58" i="54"/>
  <c r="AG57" i="54"/>
  <c r="AG56" i="54"/>
  <c r="AG55" i="54"/>
  <c r="AG54" i="54"/>
  <c r="AG53" i="54"/>
  <c r="AG52" i="54"/>
  <c r="AG51" i="54"/>
  <c r="AG50" i="54"/>
  <c r="AG49" i="54"/>
  <c r="AG48" i="54"/>
  <c r="AG47" i="54"/>
  <c r="AG46" i="54"/>
  <c r="AG45" i="54"/>
  <c r="AG44" i="54"/>
  <c r="AG43" i="54"/>
  <c r="AG42" i="54"/>
  <c r="AG41" i="54"/>
  <c r="AG40" i="54"/>
  <c r="AG39" i="54"/>
  <c r="AG38" i="54"/>
  <c r="AG37" i="54"/>
  <c r="AG36" i="54"/>
  <c r="AG35" i="54"/>
  <c r="AG34" i="54"/>
  <c r="AG33" i="54"/>
  <c r="AG32" i="54"/>
  <c r="AG31" i="54"/>
  <c r="AG30" i="54"/>
  <c r="AG29" i="54"/>
  <c r="AG28" i="54"/>
  <c r="AG27" i="54"/>
  <c r="AG26" i="54"/>
  <c r="AG25" i="54"/>
  <c r="AG24" i="54"/>
  <c r="AG23" i="54"/>
  <c r="AG22" i="54"/>
  <c r="AG21" i="54"/>
  <c r="AG20" i="54"/>
  <c r="AG19" i="54"/>
  <c r="AG18" i="54"/>
  <c r="AG17" i="54"/>
  <c r="AG16" i="54"/>
  <c r="AG15" i="54"/>
  <c r="AG14" i="54"/>
  <c r="AG13" i="54"/>
  <c r="AG12" i="54"/>
  <c r="AG11" i="54"/>
  <c r="AG10" i="54"/>
  <c r="AG9" i="54"/>
  <c r="AG8" i="54"/>
  <c r="V96" i="54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AI1" i="57"/>
  <c r="AR1" i="57" s="1"/>
  <c r="BA1" i="57" s="1"/>
  <c r="BJ1" i="57" s="1"/>
  <c r="AE77" i="57"/>
  <c r="AG75" i="57"/>
  <c r="AG74" i="57"/>
  <c r="AG73" i="57"/>
  <c r="AG72" i="57"/>
  <c r="AG71" i="57"/>
  <c r="AG70" i="57"/>
  <c r="AG69" i="57"/>
  <c r="AG68" i="57"/>
  <c r="AG67" i="57"/>
  <c r="AG66" i="57"/>
  <c r="AG65" i="57"/>
  <c r="AG64" i="57"/>
  <c r="AG63" i="57"/>
  <c r="AG62" i="57"/>
  <c r="AG61" i="57"/>
  <c r="AG60" i="57"/>
  <c r="AG59" i="57"/>
  <c r="AG58" i="57"/>
  <c r="AG57" i="57"/>
  <c r="AG56" i="57"/>
  <c r="AG55" i="57"/>
  <c r="AG54" i="57"/>
  <c r="AG53" i="57"/>
  <c r="AG52" i="57"/>
  <c r="AG51" i="57"/>
  <c r="AG50" i="57"/>
  <c r="AG49" i="57"/>
  <c r="AG48" i="57"/>
  <c r="AG47" i="57"/>
  <c r="AG46" i="57"/>
  <c r="AG45" i="57"/>
  <c r="AG44" i="57"/>
  <c r="AG43" i="57"/>
  <c r="AG42" i="57"/>
  <c r="AG41" i="57"/>
  <c r="AG40" i="57"/>
  <c r="AG39" i="57"/>
  <c r="AG77" i="57" s="1"/>
  <c r="U61" i="8"/>
  <c r="X64" i="8" s="1"/>
  <c r="S61" i="8"/>
  <c r="V60" i="8"/>
  <c r="X60" i="8" s="1"/>
  <c r="V59" i="8"/>
  <c r="X59" i="8" s="1"/>
  <c r="V58" i="8"/>
  <c r="X58" i="8" s="1"/>
  <c r="V57" i="8"/>
  <c r="X57" i="8" s="1"/>
  <c r="V56" i="8"/>
  <c r="X56" i="8" s="1"/>
  <c r="V55" i="8"/>
  <c r="X55" i="8" s="1"/>
  <c r="V54" i="8"/>
  <c r="X54" i="8" s="1"/>
  <c r="V53" i="8"/>
  <c r="X53" i="8" s="1"/>
  <c r="V52" i="8"/>
  <c r="X52" i="8" s="1"/>
  <c r="V51" i="8"/>
  <c r="X51" i="8" s="1"/>
  <c r="V50" i="8"/>
  <c r="X50" i="8" s="1"/>
  <c r="V49" i="8"/>
  <c r="X49" i="8" s="1"/>
  <c r="V48" i="8"/>
  <c r="X48" i="8" s="1"/>
  <c r="V47" i="8"/>
  <c r="X47" i="8" s="1"/>
  <c r="V46" i="8"/>
  <c r="X46" i="8" s="1"/>
  <c r="V45" i="8"/>
  <c r="X45" i="8" s="1"/>
  <c r="V44" i="8"/>
  <c r="X44" i="8" s="1"/>
  <c r="V43" i="8"/>
  <c r="X43" i="8" s="1"/>
  <c r="V42" i="8"/>
  <c r="X42" i="8" s="1"/>
  <c r="V41" i="8"/>
  <c r="X41" i="8" s="1"/>
  <c r="V40" i="8"/>
  <c r="X40" i="8" s="1"/>
  <c r="V39" i="8"/>
  <c r="X39" i="8" s="1"/>
  <c r="V38" i="8"/>
  <c r="X38" i="8" s="1"/>
  <c r="V37" i="8"/>
  <c r="X37" i="8" s="1"/>
  <c r="V36" i="8"/>
  <c r="X36" i="8" s="1"/>
  <c r="V35" i="8"/>
  <c r="X35" i="8" s="1"/>
  <c r="V34" i="8"/>
  <c r="X34" i="8" s="1"/>
  <c r="V33" i="8"/>
  <c r="X33" i="8" s="1"/>
  <c r="V32" i="8"/>
  <c r="X32" i="8" s="1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X96" i="54" l="1"/>
  <c r="V61" i="8"/>
  <c r="Y5" i="8" s="1"/>
  <c r="Z5" i="8" s="1"/>
  <c r="AG96" i="54"/>
  <c r="F32" i="85"/>
  <c r="E37" i="85" s="1"/>
  <c r="N74" i="65"/>
  <c r="P5" i="65"/>
  <c r="Q5" i="65" s="1"/>
  <c r="E36" i="72"/>
  <c r="G5" i="72"/>
  <c r="H5" i="72" s="1"/>
  <c r="AF101" i="54"/>
  <c r="AH5" i="54"/>
  <c r="AI5" i="54" s="1"/>
  <c r="W101" i="54"/>
  <c r="Y5" i="54"/>
  <c r="Z5" i="54" s="1"/>
  <c r="G5" i="85"/>
  <c r="H5" i="85" s="1"/>
  <c r="AF82" i="57"/>
  <c r="AH6" i="57"/>
  <c r="AI6" i="57" s="1"/>
  <c r="X61" i="8"/>
  <c r="X63" i="8" s="1"/>
  <c r="D77" i="113"/>
  <c r="C77" i="113"/>
  <c r="E80" i="113" s="1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57" i="113"/>
  <c r="F56" i="113"/>
  <c r="F55" i="113"/>
  <c r="F54" i="113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11" i="113"/>
  <c r="F77" i="113" l="1"/>
  <c r="E82" i="113" s="1"/>
  <c r="G6" i="113" l="1"/>
  <c r="H6" i="113" s="1"/>
  <c r="Z1" i="54"/>
  <c r="AI1" i="54" s="1"/>
  <c r="M96" i="54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8" i="54"/>
  <c r="O96" i="54" l="1"/>
  <c r="P5" i="54" s="1"/>
  <c r="Q5" i="54" s="1"/>
  <c r="N101" i="54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X35" i="3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33" i="118"/>
  <c r="C33" i="118"/>
  <c r="D35" i="118" s="1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L77" i="111"/>
  <c r="N80" i="111" s="1"/>
  <c r="O75" i="111"/>
  <c r="O74" i="111"/>
  <c r="O73" i="111"/>
  <c r="O72" i="111"/>
  <c r="O71" i="111"/>
  <c r="O70" i="111"/>
  <c r="O69" i="111"/>
  <c r="M68" i="111"/>
  <c r="O68" i="111" s="1"/>
  <c r="M67" i="111"/>
  <c r="O67" i="111" s="1"/>
  <c r="M66" i="111"/>
  <c r="O66" i="111" s="1"/>
  <c r="M65" i="111"/>
  <c r="O65" i="111" s="1"/>
  <c r="M64" i="111"/>
  <c r="O64" i="111" s="1"/>
  <c r="M63" i="111"/>
  <c r="O63" i="111" s="1"/>
  <c r="M62" i="111"/>
  <c r="O62" i="111" s="1"/>
  <c r="M61" i="111"/>
  <c r="O61" i="111" s="1"/>
  <c r="M60" i="111"/>
  <c r="O60" i="111" s="1"/>
  <c r="M59" i="111"/>
  <c r="O59" i="111" s="1"/>
  <c r="M58" i="111"/>
  <c r="O58" i="111" s="1"/>
  <c r="M57" i="111"/>
  <c r="O57" i="111" s="1"/>
  <c r="M56" i="111"/>
  <c r="O56" i="111" s="1"/>
  <c r="M55" i="111"/>
  <c r="O55" i="111" s="1"/>
  <c r="M54" i="111"/>
  <c r="O54" i="111" s="1"/>
  <c r="M53" i="111"/>
  <c r="O53" i="111" s="1"/>
  <c r="M52" i="111"/>
  <c r="O52" i="111" s="1"/>
  <c r="M51" i="111"/>
  <c r="O51" i="111" s="1"/>
  <c r="M50" i="111"/>
  <c r="O50" i="111" s="1"/>
  <c r="M49" i="111"/>
  <c r="O49" i="111" s="1"/>
  <c r="M48" i="111"/>
  <c r="O48" i="111" s="1"/>
  <c r="M47" i="111"/>
  <c r="O47" i="111" s="1"/>
  <c r="M46" i="111"/>
  <c r="O46" i="111" s="1"/>
  <c r="M45" i="111"/>
  <c r="O45" i="111" s="1"/>
  <c r="M44" i="111"/>
  <c r="O44" i="111" s="1"/>
  <c r="M43" i="111"/>
  <c r="O43" i="111" s="1"/>
  <c r="M42" i="111"/>
  <c r="O42" i="111" s="1"/>
  <c r="M41" i="111"/>
  <c r="O41" i="111" s="1"/>
  <c r="M40" i="111"/>
  <c r="O40" i="111" s="1"/>
  <c r="M39" i="111"/>
  <c r="O39" i="111" s="1"/>
  <c r="M38" i="111"/>
  <c r="O38" i="111" s="1"/>
  <c r="M37" i="111"/>
  <c r="O37" i="111" s="1"/>
  <c r="M36" i="111"/>
  <c r="O36" i="111" s="1"/>
  <c r="M35" i="111"/>
  <c r="O35" i="111" s="1"/>
  <c r="M34" i="111"/>
  <c r="O34" i="111" s="1"/>
  <c r="M33" i="111"/>
  <c r="O33" i="111" s="1"/>
  <c r="M32" i="111"/>
  <c r="O32" i="111" s="1"/>
  <c r="M31" i="111"/>
  <c r="O31" i="111" s="1"/>
  <c r="M30" i="111"/>
  <c r="O30" i="111" s="1"/>
  <c r="M29" i="111"/>
  <c r="O29" i="111" s="1"/>
  <c r="M28" i="111"/>
  <c r="O28" i="111" s="1"/>
  <c r="M27" i="111"/>
  <c r="O27" i="111" s="1"/>
  <c r="M26" i="111"/>
  <c r="O26" i="111" s="1"/>
  <c r="M25" i="111"/>
  <c r="O25" i="111" s="1"/>
  <c r="M24" i="111"/>
  <c r="O24" i="111" s="1"/>
  <c r="M23" i="111"/>
  <c r="O23" i="111" s="1"/>
  <c r="M22" i="111"/>
  <c r="O22" i="111" s="1"/>
  <c r="M21" i="111"/>
  <c r="O21" i="111" s="1"/>
  <c r="M20" i="111"/>
  <c r="O20" i="111" s="1"/>
  <c r="M19" i="111"/>
  <c r="O19" i="111" s="1"/>
  <c r="M18" i="111"/>
  <c r="O18" i="111" s="1"/>
  <c r="M17" i="111"/>
  <c r="O17" i="111" s="1"/>
  <c r="O16" i="111"/>
  <c r="M15" i="111"/>
  <c r="O15" i="111" s="1"/>
  <c r="M14" i="111"/>
  <c r="O14" i="111" s="1"/>
  <c r="M13" i="111"/>
  <c r="O13" i="111" s="1"/>
  <c r="M12" i="111"/>
  <c r="O12" i="111" s="1"/>
  <c r="M11" i="111"/>
  <c r="O11" i="111" s="1"/>
  <c r="M10" i="111"/>
  <c r="O10" i="111" s="1"/>
  <c r="M9" i="111"/>
  <c r="D92" i="14" l="1"/>
  <c r="M77" i="111"/>
  <c r="F33" i="118"/>
  <c r="V58" i="3"/>
  <c r="X9" i="3"/>
  <c r="X58" i="3" s="1"/>
  <c r="F92" i="14"/>
  <c r="E36" i="118"/>
  <c r="G5" i="118"/>
  <c r="H5" i="118" s="1"/>
  <c r="O9" i="111"/>
  <c r="O77" i="111" s="1"/>
  <c r="W63" i="3" l="1"/>
  <c r="Y6" i="3"/>
  <c r="Z6" i="3" s="1"/>
  <c r="E95" i="14"/>
  <c r="G5" i="14"/>
  <c r="H5" i="14" s="1"/>
  <c r="N82" i="111"/>
  <c r="P5" i="111"/>
  <c r="Q5" i="111" s="1"/>
  <c r="J1" i="3" l="1"/>
  <c r="S1" i="3" s="1"/>
  <c r="NU32" i="1" l="1"/>
  <c r="NU33" i="1" s="1"/>
  <c r="C96" i="54"/>
  <c r="E99" i="54" s="1"/>
  <c r="B27" i="38" l="1"/>
  <c r="I72" i="38" l="1"/>
  <c r="S72" i="38"/>
  <c r="T72" i="38" s="1"/>
  <c r="S73" i="38"/>
  <c r="T73" i="38" s="1"/>
  <c r="S74" i="38"/>
  <c r="T74" i="38" s="1"/>
  <c r="S75" i="38"/>
  <c r="T75" i="38" s="1"/>
  <c r="V77" i="57" l="1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77" i="57" s="1"/>
  <c r="X40" i="57"/>
  <c r="X39" i="57"/>
  <c r="HZ5" i="1"/>
  <c r="HV32" i="1"/>
  <c r="HX32" i="1"/>
  <c r="IE32" i="1"/>
  <c r="IG32" i="1"/>
  <c r="IG33" i="1" s="1"/>
  <c r="HX33" i="1"/>
  <c r="HO32" i="1"/>
  <c r="HO33" i="1" s="1"/>
  <c r="HM32" i="1"/>
  <c r="HQ5" i="1"/>
  <c r="HF32" i="1"/>
  <c r="HF33" i="1" s="1"/>
  <c r="HD32" i="1"/>
  <c r="HH5" i="1"/>
  <c r="IR5" i="1"/>
  <c r="JA5" i="1"/>
  <c r="JJ5" i="1"/>
  <c r="JS5" i="1"/>
  <c r="KB5" i="1"/>
  <c r="KK5" i="1"/>
  <c r="KT5" i="1"/>
  <c r="LC5" i="1"/>
  <c r="LL5" i="1"/>
  <c r="LU5" i="1"/>
  <c r="MD5" i="1"/>
  <c r="MM5" i="1"/>
  <c r="MV5" i="1"/>
  <c r="NE5" i="1"/>
  <c r="NN5" i="1"/>
  <c r="IN32" i="1"/>
  <c r="IP32" i="1"/>
  <c r="IW32" i="1"/>
  <c r="IY32" i="1"/>
  <c r="JF32" i="1"/>
  <c r="JH32" i="1"/>
  <c r="JO32" i="1"/>
  <c r="JQ32" i="1"/>
  <c r="JQ33" i="1" s="1"/>
  <c r="JX32" i="1"/>
  <c r="JZ32" i="1"/>
  <c r="KG32" i="1"/>
  <c r="KI32" i="1"/>
  <c r="KI33" i="1" s="1"/>
  <c r="KP32" i="1"/>
  <c r="KR32" i="1"/>
  <c r="KY32" i="1"/>
  <c r="LA32" i="1"/>
  <c r="LH32" i="1"/>
  <c r="LJ32" i="1"/>
  <c r="LQ32" i="1"/>
  <c r="LS32" i="1"/>
  <c r="LS33" i="1" s="1"/>
  <c r="LZ32" i="1"/>
  <c r="MB32" i="1"/>
  <c r="MI32" i="1"/>
  <c r="MK32" i="1"/>
  <c r="MR32" i="1"/>
  <c r="MT32" i="1"/>
  <c r="NA32" i="1"/>
  <c r="NC32" i="1"/>
  <c r="NC33" i="1" s="1"/>
  <c r="NJ32" i="1"/>
  <c r="NL32" i="1"/>
  <c r="IP33" i="1"/>
  <c r="IY33" i="1"/>
  <c r="JH33" i="1"/>
  <c r="KR33" i="1"/>
  <c r="LA33" i="1"/>
  <c r="LJ33" i="1"/>
  <c r="MB33" i="1"/>
  <c r="MK33" i="1"/>
  <c r="MT33" i="1"/>
  <c r="NL33" i="1"/>
  <c r="JZ34" i="1"/>
  <c r="Y6" i="57" l="1"/>
  <c r="W82" i="57"/>
  <c r="Z6" i="57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M58" i="3" l="1"/>
  <c r="O9" i="3"/>
  <c r="O58" i="3" s="1"/>
  <c r="N63" i="3" l="1"/>
  <c r="P6" i="3"/>
  <c r="Q6" i="3" s="1"/>
  <c r="D10" i="116" l="1"/>
  <c r="D11" i="116"/>
  <c r="D12" i="116"/>
  <c r="J1" i="57"/>
  <c r="OD32" i="1" l="1"/>
  <c r="OD33" i="1" s="1"/>
  <c r="F8" i="54"/>
  <c r="F9" i="54"/>
  <c r="F10" i="54"/>
  <c r="S71" i="38" l="1"/>
  <c r="T71" i="38" s="1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F19" i="3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D58" i="3" l="1"/>
  <c r="F9" i="3"/>
  <c r="F58" i="3" s="1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D96" i="54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6" i="54" l="1"/>
  <c r="G5" i="54" s="1"/>
  <c r="H5" i="54" s="1"/>
  <c r="O77" i="57"/>
  <c r="N82" i="57" s="1"/>
  <c r="E63" i="3"/>
  <c r="G6" i="3"/>
  <c r="H6" i="3" s="1"/>
  <c r="E101" i="54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116"/>
  <c r="F9" i="116"/>
  <c r="F10" i="116"/>
  <c r="F11" i="116"/>
  <c r="F12" i="116"/>
  <c r="D13" i="116"/>
  <c r="F13" i="116" s="1"/>
  <c r="D14" i="116"/>
  <c r="F14" i="116" s="1"/>
  <c r="D15" i="116"/>
  <c r="F15" i="116" s="1"/>
  <c r="D16" i="116"/>
  <c r="F16" i="116" s="1"/>
  <c r="D17" i="116"/>
  <c r="F17" i="116" s="1"/>
  <c r="D18" i="116"/>
  <c r="F18" i="116" s="1"/>
  <c r="D19" i="116"/>
  <c r="F19" i="116" s="1"/>
  <c r="D20" i="116"/>
  <c r="F20" i="116" s="1"/>
  <c r="D21" i="116"/>
  <c r="F21" i="116" s="1"/>
  <c r="D22" i="116"/>
  <c r="F22" i="116" s="1"/>
  <c r="D23" i="116"/>
  <c r="F23" i="116" s="1"/>
  <c r="D24" i="116"/>
  <c r="F24" i="116" s="1"/>
  <c r="A25" i="116"/>
  <c r="C25" i="116"/>
  <c r="F28" i="116" s="1"/>
  <c r="D25" i="116" l="1"/>
  <c r="F77" i="57"/>
  <c r="E82" i="57" s="1"/>
  <c r="P6" i="57"/>
  <c r="Q6" i="57" s="1"/>
  <c r="F25" i="116"/>
  <c r="F27" i="116" s="1"/>
  <c r="G6" i="57" l="1"/>
  <c r="H6" i="57" s="1"/>
  <c r="H5" i="116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19" i="8"/>
  <c r="O18" i="8"/>
  <c r="O17" i="8"/>
  <c r="O16" i="8"/>
  <c r="O15" i="8"/>
  <c r="O14" i="8"/>
  <c r="O13" i="8"/>
  <c r="O12" i="8"/>
  <c r="O11" i="8"/>
  <c r="O10" i="8"/>
  <c r="O9" i="8"/>
  <c r="O8" i="8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M61" i="8" l="1"/>
  <c r="P5" i="8" s="1"/>
  <c r="D90" i="117"/>
  <c r="O20" i="8"/>
  <c r="O61" i="8" s="1"/>
  <c r="F8" i="117"/>
  <c r="F90" i="117" s="1"/>
  <c r="O63" i="8" l="1"/>
  <c r="Q5" i="8"/>
  <c r="E93" i="117"/>
  <c r="G5" i="117"/>
  <c r="H5" i="117" s="1"/>
  <c r="AC1" i="1" l="1"/>
  <c r="AL1" i="1" s="1"/>
  <c r="D10" i="8" l="1"/>
  <c r="F10" i="8" s="1"/>
  <c r="D9" i="8"/>
  <c r="F9" i="8" s="1"/>
  <c r="D8" i="8"/>
  <c r="F8" i="8" s="1"/>
  <c r="S70" i="38" l="1"/>
  <c r="T70" i="38" s="1"/>
  <c r="AH32" i="1" l="1"/>
  <c r="AH33" i="1" s="1"/>
  <c r="AF32" i="1"/>
  <c r="Y32" i="1"/>
  <c r="Y33" i="1" s="1"/>
  <c r="W32" i="1"/>
  <c r="AJ5" i="1"/>
  <c r="AA5" i="1"/>
  <c r="D16" i="111" l="1"/>
  <c r="D17" i="111"/>
  <c r="D18" i="111"/>
  <c r="D19" i="111"/>
  <c r="D20" i="111"/>
  <c r="D21" i="111"/>
  <c r="D22" i="111"/>
  <c r="D23" i="111"/>
  <c r="D24" i="111"/>
  <c r="D25" i="111"/>
  <c r="D26" i="111"/>
  <c r="D27" i="111"/>
  <c r="D28" i="111"/>
  <c r="D29" i="111"/>
  <c r="D30" i="111"/>
  <c r="D31" i="111"/>
  <c r="D32" i="111"/>
  <c r="D33" i="111"/>
  <c r="D34" i="111"/>
  <c r="D35" i="111"/>
  <c r="D36" i="111"/>
  <c r="D37" i="111"/>
  <c r="D38" i="111"/>
  <c r="D39" i="111"/>
  <c r="D40" i="111"/>
  <c r="D41" i="111"/>
  <c r="D42" i="111"/>
  <c r="D43" i="111"/>
  <c r="D44" i="111"/>
  <c r="D45" i="111"/>
  <c r="D46" i="111"/>
  <c r="D47" i="111"/>
  <c r="D48" i="111"/>
  <c r="D49" i="111"/>
  <c r="D50" i="111"/>
  <c r="D51" i="111"/>
  <c r="D52" i="111"/>
  <c r="D53" i="111"/>
  <c r="D54" i="111"/>
  <c r="D55" i="111"/>
  <c r="D56" i="111"/>
  <c r="D57" i="111"/>
  <c r="D58" i="111"/>
  <c r="D59" i="111"/>
  <c r="D60" i="111"/>
  <c r="D61" i="111"/>
  <c r="D62" i="111"/>
  <c r="D63" i="111"/>
  <c r="D64" i="111"/>
  <c r="D65" i="111"/>
  <c r="D66" i="111"/>
  <c r="D67" i="111"/>
  <c r="D68" i="111"/>
  <c r="D15" i="111"/>
  <c r="F11" i="108"/>
  <c r="F10" i="108"/>
  <c r="F9" i="108"/>
  <c r="I70" i="38" l="1"/>
  <c r="I71" i="38" l="1"/>
  <c r="C61" i="8" l="1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61" i="8" l="1"/>
  <c r="F61" i="8"/>
  <c r="F63" i="8" l="1"/>
  <c r="G5" i="8"/>
  <c r="H5" i="8" s="1"/>
  <c r="S65" i="38" l="1"/>
  <c r="D77" i="111" l="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 l="1"/>
  <c r="I79" i="38" l="1"/>
  <c r="D77" i="108" l="1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6" i="108"/>
  <c r="F45" i="108"/>
  <c r="F44" i="108"/>
  <c r="F43" i="108"/>
  <c r="F42" i="108"/>
  <c r="F41" i="108"/>
  <c r="F40" i="108"/>
  <c r="F39" i="108"/>
  <c r="F38" i="108"/>
  <c r="F37" i="108"/>
  <c r="F36" i="108"/>
  <c r="F25" i="108"/>
  <c r="F35" i="108"/>
  <c r="F34" i="108"/>
  <c r="F33" i="108"/>
  <c r="F32" i="108"/>
  <c r="F31" i="108"/>
  <c r="F30" i="108"/>
  <c r="F29" i="108"/>
  <c r="F28" i="108"/>
  <c r="F27" i="108"/>
  <c r="F26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77" i="108" s="1"/>
  <c r="F12" i="108"/>
  <c r="E82" i="108" l="1"/>
  <c r="G6" i="108"/>
  <c r="H6" i="108" s="1"/>
  <c r="D33" i="94"/>
  <c r="C33" i="94"/>
  <c r="D35" i="94" s="1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F33" i="94" l="1"/>
  <c r="G5" i="94" s="1"/>
  <c r="H5" i="94" s="1"/>
  <c r="E36" i="94" l="1"/>
  <c r="S32" i="38" l="1"/>
  <c r="S33" i="38"/>
  <c r="S34" i="38"/>
  <c r="S67" i="38" l="1"/>
  <c r="T67" i="38" s="1"/>
  <c r="S68" i="38"/>
  <c r="T68" i="38" s="1"/>
  <c r="S69" i="38"/>
  <c r="T69" i="38" s="1"/>
  <c r="S76" i="38"/>
  <c r="T76" i="38" s="1"/>
  <c r="S77" i="38"/>
  <c r="T77" i="38" s="1"/>
  <c r="K89" i="38" l="1"/>
  <c r="S9" i="38" l="1"/>
  <c r="I68" i="38" l="1"/>
  <c r="CU5" i="1" l="1"/>
  <c r="CH32" i="1"/>
  <c r="S11" i="38" l="1"/>
  <c r="S12" i="38"/>
  <c r="S13" i="38"/>
  <c r="S78" i="38" l="1"/>
  <c r="T78" i="38" s="1"/>
  <c r="S79" i="38"/>
  <c r="T79" i="38" s="1"/>
  <c r="S80" i="38"/>
  <c r="T80" i="38" s="1"/>
  <c r="I75" i="38"/>
  <c r="I74" i="38"/>
  <c r="S82" i="38" l="1"/>
  <c r="T82" i="38" s="1"/>
  <c r="S83" i="38"/>
  <c r="T83" i="38" s="1"/>
  <c r="S84" i="38"/>
  <c r="T84" i="38" s="1"/>
  <c r="S85" i="38"/>
  <c r="T85" i="38" s="1"/>
  <c r="S86" i="38"/>
  <c r="T86" i="38"/>
  <c r="S87" i="38"/>
  <c r="T87" i="38" s="1"/>
  <c r="I82" i="38"/>
  <c r="I83" i="38"/>
  <c r="I84" i="38"/>
  <c r="I85" i="38"/>
  <c r="I86" i="38"/>
  <c r="I87" i="38"/>
  <c r="S63" i="38" l="1"/>
  <c r="T63" i="38" s="1"/>
  <c r="S64" i="38"/>
  <c r="T64" i="38" s="1"/>
  <c r="T65" i="38"/>
  <c r="S66" i="38"/>
  <c r="T66" i="38" s="1"/>
  <c r="I67" i="38"/>
  <c r="I69" i="38"/>
  <c r="I64" i="38"/>
  <c r="I66" i="38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GW32" i="1" l="1"/>
  <c r="GW33" i="1" s="1"/>
  <c r="I65" i="38" l="1"/>
  <c r="EC32" i="1" l="1"/>
  <c r="EC33" i="1" s="1"/>
  <c r="EA32" i="1"/>
  <c r="EE5" i="1"/>
  <c r="I80" i="38" l="1"/>
  <c r="I78" i="38"/>
  <c r="I77" i="38"/>
  <c r="I76" i="38"/>
  <c r="I73" i="38"/>
  <c r="GU32" i="1" l="1"/>
  <c r="GY5" i="1"/>
  <c r="S81" i="38" l="1"/>
  <c r="T81" i="38" s="1"/>
  <c r="I81" i="38" l="1"/>
  <c r="S88" i="38" l="1"/>
  <c r="T88" i="38" s="1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9" i="1" l="1"/>
  <c r="I61" i="1"/>
  <c r="I58" i="1"/>
  <c r="I56" i="1"/>
  <c r="H56" i="38"/>
  <c r="T56" i="38" s="1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OF5" i="1"/>
  <c r="I56" i="38" l="1"/>
  <c r="I50" i="1"/>
  <c r="I53" i="1"/>
  <c r="I49" i="1"/>
  <c r="I51" i="38" l="1"/>
  <c r="I52" i="38"/>
  <c r="I53" i="38"/>
  <c r="I54" i="38"/>
  <c r="I55" i="38"/>
  <c r="I3" i="1" l="1"/>
  <c r="S50" i="38" l="1"/>
  <c r="T50" i="38" s="1"/>
  <c r="S51" i="38"/>
  <c r="T51" i="38" s="1"/>
  <c r="S52" i="38"/>
  <c r="T52" i="38" s="1"/>
  <c r="S53" i="38"/>
  <c r="T53" i="38" s="1"/>
  <c r="S54" i="38"/>
  <c r="T54" i="38" s="1"/>
  <c r="I50" i="38" l="1"/>
  <c r="I88" i="38" l="1"/>
  <c r="Q89" i="38" l="1"/>
  <c r="M89" i="38"/>
  <c r="I49" i="38" l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B32" i="1"/>
  <c r="NS32" i="1"/>
  <c r="NW5" i="1"/>
  <c r="I46" i="1" l="1"/>
  <c r="I46" i="38" s="1"/>
  <c r="I45" i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3" i="1"/>
  <c r="H43" i="38" s="1"/>
  <c r="T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I37" i="1" l="1"/>
  <c r="I37" i="38" s="1"/>
  <c r="I41" i="1"/>
  <c r="I41" i="38" s="1"/>
  <c r="T38" i="38"/>
  <c r="T25" i="38"/>
  <c r="T42" i="38"/>
  <c r="T41" i="38"/>
  <c r="T26" i="38"/>
  <c r="T27" i="38"/>
  <c r="T15" i="38"/>
  <c r="T29" i="38"/>
  <c r="T28" i="38"/>
  <c r="T40" i="38"/>
  <c r="T37" i="38"/>
  <c r="T36" i="38"/>
  <c r="T35" i="38"/>
  <c r="T8" i="38"/>
  <c r="T14" i="38"/>
  <c r="T16" i="38"/>
  <c r="T17" i="38"/>
  <c r="T19" i="38"/>
  <c r="H89" i="38"/>
  <c r="I30" i="1"/>
  <c r="I36" i="1"/>
  <c r="I36" i="38" s="1"/>
  <c r="I42" i="1"/>
  <c r="I42" i="38" s="1"/>
  <c r="I32" i="1"/>
  <c r="I38" i="1"/>
  <c r="I38" i="38" s="1"/>
  <c r="I33" i="1"/>
  <c r="I39" i="1"/>
  <c r="I39" i="38" s="1"/>
  <c r="S89" i="38"/>
  <c r="T3" i="38"/>
  <c r="T4" i="38"/>
  <c r="I89" i="38"/>
  <c r="F36" i="38"/>
  <c r="F37" i="38"/>
  <c r="F38" i="38"/>
  <c r="F39" i="38"/>
  <c r="F40" i="38"/>
  <c r="F41" i="38"/>
  <c r="F42" i="38"/>
  <c r="F43" i="38"/>
  <c r="F35" i="38"/>
  <c r="F34" i="38"/>
  <c r="I34" i="38" s="1"/>
  <c r="G89" i="38"/>
  <c r="I6" i="1"/>
  <c r="I6" i="38" s="1"/>
  <c r="I5" i="1"/>
  <c r="I5" i="38" s="1"/>
  <c r="I4" i="1"/>
  <c r="I4" i="38" s="1"/>
  <c r="I3" i="38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DT33" i="1" l="1"/>
  <c r="I22" i="1" l="1"/>
  <c r="I22" i="38" s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EG1" i="1"/>
  <c r="EP1" i="1" s="1"/>
  <c r="EY1" i="1" s="1"/>
  <c r="FH1" i="1" s="1"/>
  <c r="FQ1" i="1" s="1"/>
  <c r="FZ1" i="1" s="1"/>
  <c r="GI1" i="1" s="1"/>
  <c r="OO1" i="1" l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GR1" i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l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<sst xmlns="http://schemas.openxmlformats.org/spreadsheetml/2006/main" count="3834" uniqueCount="801">
  <si>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</si>
  <si>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</si>
  <si>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</si>
  <si>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</si>
  <si>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</si>
  <si>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</si>
  <si>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</si>
  <si>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</si>
  <si>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</si>
  <si>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</si>
  <si>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</si>
  <si>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</si>
  <si>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</si>
  <si>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</si>
  <si>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</si>
  <si>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</si>
  <si>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</si>
  <si>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</si>
  <si>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</si>
  <si>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</si>
  <si>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</si>
  <si>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</si>
  <si>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</si>
  <si>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</si>
  <si>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</si>
  <si>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</si>
  <si>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</si>
  <si>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</si>
  <si>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</si>
  <si>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</si>
  <si>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</si>
  <si>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</si>
  <si>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</si>
  <si>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</si>
  <si>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</si>
  <si>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</si>
  <si>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</si>
  <si>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</si>
  <si>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</si>
  <si>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</si>
  <si>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</si>
  <si>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</si>
  <si>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</si>
  <si>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</si>
  <si>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</si>
  <si>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</si>
  <si>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</si>
  <si>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</si>
  <si>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</si>
  <si>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</si>
  <si>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I B P </t>
  </si>
  <si>
    <t>ROSALBA SANCHEZ ALI</t>
  </si>
  <si>
    <t>ARRACHERA</t>
  </si>
  <si>
    <t xml:space="preserve">RYC ALIMENTOS </t>
  </si>
  <si>
    <t>RYC ALIMENTOS SA DE CV</t>
  </si>
  <si>
    <t xml:space="preserve">CORBATA </t>
  </si>
  <si>
    <t>NANA</t>
  </si>
  <si>
    <t>Smithfield</t>
  </si>
  <si>
    <t>DISTRIBUIDORA DE ALIMENTOS ENSENADA SA DE CV</t>
  </si>
  <si>
    <t>PAVO ENTERO</t>
  </si>
  <si>
    <t>F-A-351</t>
  </si>
  <si>
    <t>PED,. 4005036</t>
  </si>
  <si>
    <t>LENGUA DE RES</t>
  </si>
  <si>
    <t>CUERO BELLY</t>
  </si>
  <si>
    <t>#0084 K</t>
  </si>
  <si>
    <t>#0088 K</t>
  </si>
  <si>
    <t>#0094 k</t>
  </si>
  <si>
    <t>#0140 K</t>
  </si>
  <si>
    <t>#0140 k</t>
  </si>
  <si>
    <t>#0141 k</t>
  </si>
  <si>
    <t>#0147 K</t>
  </si>
  <si>
    <t>#0154 K</t>
  </si>
  <si>
    <t>#0161 K</t>
  </si>
  <si>
    <t>#0166 K</t>
  </si>
  <si>
    <t>#0169 K</t>
  </si>
  <si>
    <t>#0184 k</t>
  </si>
  <si>
    <t>#0226 k</t>
  </si>
  <si>
    <t>#0187 K</t>
  </si>
  <si>
    <t>#0195 K</t>
  </si>
  <si>
    <t>#0229 K</t>
  </si>
  <si>
    <t>FACT 734534</t>
  </si>
  <si>
    <t>454 K</t>
  </si>
  <si>
    <t>460 K</t>
  </si>
  <si>
    <t>ADAMS INT MORELIA</t>
  </si>
  <si>
    <t>PED. 5000453</t>
  </si>
  <si>
    <t xml:space="preserve">CABEZA DE </t>
  </si>
  <si>
    <t>510 K</t>
  </si>
  <si>
    <t>551 K</t>
  </si>
  <si>
    <t>WAGSTAFF</t>
  </si>
  <si>
    <t xml:space="preserve">  </t>
  </si>
  <si>
    <t>SESOS DE COPA</t>
  </si>
  <si>
    <t>701 K</t>
  </si>
  <si>
    <t>743 K</t>
  </si>
  <si>
    <t>748 K</t>
  </si>
  <si>
    <t>777 K</t>
  </si>
  <si>
    <t>788 K</t>
  </si>
  <si>
    <t>791 K</t>
  </si>
  <si>
    <t>830 K</t>
  </si>
  <si>
    <t>830 k</t>
  </si>
  <si>
    <t>IMPEG SA DE C V</t>
  </si>
  <si>
    <t>862 K</t>
  </si>
  <si>
    <t>875 K</t>
  </si>
  <si>
    <t>921 K</t>
  </si>
  <si>
    <t>923 K</t>
  </si>
  <si>
    <t>929 K</t>
  </si>
  <si>
    <t>935 K</t>
  </si>
  <si>
    <t>946 K</t>
  </si>
  <si>
    <t>954 K</t>
  </si>
  <si>
    <t>959 K</t>
  </si>
  <si>
    <t>961 K</t>
  </si>
  <si>
    <t>997 k</t>
  </si>
  <si>
    <t>0004 L</t>
  </si>
  <si>
    <t>0016 L</t>
  </si>
  <si>
    <t>0019 L</t>
  </si>
  <si>
    <t>0022 L</t>
  </si>
  <si>
    <t>INVENTARIO DEL MES DE ABRIL 2015</t>
  </si>
  <si>
    <t>IMPEG SA DE CV</t>
  </si>
  <si>
    <t>FORTIS FOODS</t>
  </si>
  <si>
    <t>SESOS MARQUETA</t>
  </si>
  <si>
    <t>PINE RIDGE</t>
  </si>
  <si>
    <t>PED. 5011533</t>
  </si>
  <si>
    <t xml:space="preserve">BUCHE </t>
  </si>
  <si>
    <t>0036 L</t>
  </si>
  <si>
    <t>0146 L</t>
  </si>
  <si>
    <t>0049 L</t>
  </si>
  <si>
    <t>0053 L</t>
  </si>
  <si>
    <t>0057 L</t>
  </si>
  <si>
    <t>0064 L</t>
  </si>
  <si>
    <t>0070 L</t>
  </si>
  <si>
    <t>0073 L</t>
  </si>
  <si>
    <t>0080 L</t>
  </si>
  <si>
    <t>0081 L</t>
  </si>
  <si>
    <t>0098 L</t>
  </si>
  <si>
    <t>0099 L</t>
  </si>
  <si>
    <t>0100 L</t>
  </si>
  <si>
    <t>0106 L</t>
  </si>
  <si>
    <t>0107 L</t>
  </si>
  <si>
    <t xml:space="preserve"> </t>
  </si>
  <si>
    <t>0118 L</t>
  </si>
  <si>
    <t>0122 L</t>
  </si>
  <si>
    <t>0126 L</t>
  </si>
  <si>
    <t>0127 L</t>
  </si>
  <si>
    <t>0130 L</t>
  </si>
  <si>
    <t>0136 L</t>
  </si>
  <si>
    <t>0153 L</t>
  </si>
  <si>
    <t>0156 L</t>
  </si>
  <si>
    <t>0120 L</t>
  </si>
  <si>
    <t>0149 L</t>
  </si>
  <si>
    <t>0150 L</t>
  </si>
  <si>
    <t>0157 L</t>
  </si>
  <si>
    <t>0161 L</t>
  </si>
  <si>
    <t>0163 L</t>
  </si>
  <si>
    <t>0173 L</t>
  </si>
  <si>
    <t>0174 L</t>
  </si>
  <si>
    <t>0179 L</t>
  </si>
  <si>
    <t>0182 L</t>
  </si>
  <si>
    <t>0191 L</t>
  </si>
  <si>
    <t>0193 L</t>
  </si>
  <si>
    <t>0202 L</t>
  </si>
  <si>
    <t>0209 L</t>
  </si>
  <si>
    <t>0212 L</t>
  </si>
  <si>
    <t>PED. 5012023</t>
  </si>
  <si>
    <t xml:space="preserve">CUERO </t>
  </si>
  <si>
    <t>19 MAYO .,2015</t>
  </si>
  <si>
    <t>26 MAYO .,2015</t>
  </si>
  <si>
    <t>22 MAYO .,2015</t>
  </si>
  <si>
    <t>27 MAYO .,2015</t>
  </si>
  <si>
    <t xml:space="preserve">SUKARNE SA DE CV </t>
  </si>
  <si>
    <t>PED. 5020390</t>
  </si>
  <si>
    <t>217 L</t>
  </si>
  <si>
    <t>222 L</t>
  </si>
  <si>
    <t>229 L</t>
  </si>
  <si>
    <t>230 L</t>
  </si>
  <si>
    <t>231 L</t>
  </si>
  <si>
    <t>234 L</t>
  </si>
  <si>
    <t>236 L</t>
  </si>
  <si>
    <t>237 L</t>
  </si>
  <si>
    <t>244 L</t>
  </si>
  <si>
    <t>251 L</t>
  </si>
  <si>
    <t>257 L</t>
  </si>
  <si>
    <t>258 L</t>
  </si>
  <si>
    <t>265 L</t>
  </si>
  <si>
    <t>272 L</t>
  </si>
  <si>
    <t>276 L</t>
  </si>
  <si>
    <t>282 L</t>
  </si>
  <si>
    <t>285 L</t>
  </si>
  <si>
    <t>293 L</t>
  </si>
  <si>
    <t>295 L</t>
  </si>
  <si>
    <t>300 L</t>
  </si>
  <si>
    <t>305 L</t>
  </si>
  <si>
    <t>307 L</t>
  </si>
  <si>
    <t>315 L</t>
  </si>
  <si>
    <t>316 L</t>
  </si>
  <si>
    <t>317 L</t>
  </si>
  <si>
    <t>318 L</t>
  </si>
  <si>
    <t>319 L</t>
  </si>
  <si>
    <t>331 L</t>
  </si>
  <si>
    <t>336 L</t>
  </si>
  <si>
    <t>338 L</t>
  </si>
  <si>
    <t>341 L</t>
  </si>
  <si>
    <t>346 L</t>
  </si>
  <si>
    <t>348 L</t>
  </si>
  <si>
    <t>349 L</t>
  </si>
  <si>
    <t>350 L</t>
  </si>
  <si>
    <t>351 L</t>
  </si>
  <si>
    <t>353 L</t>
  </si>
  <si>
    <t>358 L</t>
  </si>
  <si>
    <t>362 L</t>
  </si>
  <si>
    <t xml:space="preserve">ESPALDILLA </t>
  </si>
  <si>
    <t>Seaboard</t>
  </si>
  <si>
    <t>NEGRA SWIFT</t>
  </si>
  <si>
    <t>MAPLE LEAF FOOS</t>
  </si>
  <si>
    <t>MAPLE</t>
  </si>
  <si>
    <t>Provex</t>
  </si>
  <si>
    <t xml:space="preserve">MENUDO </t>
  </si>
  <si>
    <t>EXCEL</t>
  </si>
  <si>
    <t>PED. 5026476</t>
  </si>
  <si>
    <t>ADAMS Int MORELIA</t>
  </si>
  <si>
    <t>DE CARNERO</t>
  </si>
  <si>
    <t>FACT DDB-645009</t>
  </si>
  <si>
    <t>374 L</t>
  </si>
  <si>
    <t>376 L</t>
  </si>
  <si>
    <t>378 L</t>
  </si>
  <si>
    <t>385 L</t>
  </si>
  <si>
    <t>388 L</t>
  </si>
  <si>
    <t>390 L</t>
  </si>
  <si>
    <t>396 L</t>
  </si>
  <si>
    <t>401 L</t>
  </si>
  <si>
    <t>407 L</t>
  </si>
  <si>
    <t>417 L</t>
  </si>
  <si>
    <t>418 L</t>
  </si>
  <si>
    <t>425 L</t>
  </si>
  <si>
    <t>428 L</t>
  </si>
  <si>
    <t>431 L</t>
  </si>
  <si>
    <t>434 L</t>
  </si>
  <si>
    <t>435 L</t>
  </si>
  <si>
    <t>443 L</t>
  </si>
  <si>
    <t>450 L</t>
  </si>
  <si>
    <t>455 L</t>
  </si>
  <si>
    <t>456 L</t>
  </si>
  <si>
    <t>458 L</t>
  </si>
  <si>
    <t>461 L</t>
  </si>
  <si>
    <t>464 L</t>
  </si>
  <si>
    <t>467 L</t>
  </si>
  <si>
    <t>468 L</t>
  </si>
  <si>
    <t>469 L</t>
  </si>
  <si>
    <t>482 L</t>
  </si>
  <si>
    <t>487 L</t>
  </si>
  <si>
    <t>500 L</t>
  </si>
  <si>
    <t>501 L</t>
  </si>
  <si>
    <t>514 L</t>
  </si>
  <si>
    <t>515 L</t>
  </si>
  <si>
    <t>519 L</t>
  </si>
  <si>
    <t>526 L</t>
  </si>
  <si>
    <t>541 L</t>
  </si>
  <si>
    <t>546 L</t>
  </si>
  <si>
    <t>551 L</t>
  </si>
  <si>
    <t>552 L</t>
  </si>
  <si>
    <t>553 L</t>
  </si>
  <si>
    <t>INVENTARIO  DEL MES DE JULIO 2015</t>
  </si>
  <si>
    <t>INVENTARIO DE   JULIO       2015</t>
  </si>
  <si>
    <t xml:space="preserve">INVENTARIO   DEL MES DE JULIO 2015 </t>
  </si>
  <si>
    <t>CARGA RECUPERADA</t>
  </si>
  <si>
    <t xml:space="preserve">SEABORD FOODS </t>
  </si>
  <si>
    <t xml:space="preserve">LENGUA DE </t>
  </si>
  <si>
    <t>INVENTARIO DEL MES DE   JULIO        2015</t>
  </si>
  <si>
    <t>CERDO Seaboard</t>
  </si>
  <si>
    <t>Farmland</t>
  </si>
  <si>
    <t>INDIANA</t>
  </si>
  <si>
    <t>03 AGOSTO .,2015</t>
  </si>
  <si>
    <t>ROSA YESENIA MOTA FLORES</t>
  </si>
  <si>
    <t>CERDO</t>
  </si>
  <si>
    <t>PED. 5003478</t>
  </si>
  <si>
    <t>PED. 5028762</t>
  </si>
  <si>
    <t>ALLI</t>
  </si>
  <si>
    <t>PED.5001368</t>
  </si>
  <si>
    <t>VILLAGO IMPORTACIONES</t>
  </si>
  <si>
    <t>MUTTON</t>
  </si>
  <si>
    <t>DE CORDERO</t>
  </si>
  <si>
    <t>LAMB</t>
  </si>
  <si>
    <t>FACT DDB-682435</t>
  </si>
  <si>
    <t>DISTRIBUIDORA MI RANCHITO</t>
  </si>
  <si>
    <t>DE CARNES ( FRIO DE NEPAL)</t>
  </si>
  <si>
    <t>OK</t>
  </si>
  <si>
    <t>0566 L</t>
  </si>
  <si>
    <t>0568 L</t>
  </si>
  <si>
    <t>0569 L</t>
  </si>
  <si>
    <t>0579 L</t>
  </si>
  <si>
    <t>0580 L</t>
  </si>
  <si>
    <t>0585 L</t>
  </si>
  <si>
    <t>0586 L</t>
  </si>
  <si>
    <t>0597 L</t>
  </si>
  <si>
    <t>0598 L</t>
  </si>
  <si>
    <t>0599 L</t>
  </si>
  <si>
    <t>0601 L</t>
  </si>
  <si>
    <t>0603 L</t>
  </si>
  <si>
    <t>0611 L</t>
  </si>
  <si>
    <t>0612 L</t>
  </si>
  <si>
    <t>0613 L</t>
  </si>
  <si>
    <t>0621 L</t>
  </si>
  <si>
    <t>0624 L</t>
  </si>
  <si>
    <t>0631 L</t>
  </si>
  <si>
    <t>0632 L</t>
  </si>
  <si>
    <t>0639 L</t>
  </si>
  <si>
    <t>0645 L</t>
  </si>
  <si>
    <t>0646 L</t>
  </si>
  <si>
    <t>0652 L</t>
  </si>
  <si>
    <t>0653 L</t>
  </si>
  <si>
    <t>0654 L</t>
  </si>
  <si>
    <t>0656 L</t>
  </si>
  <si>
    <t>0657 L</t>
  </si>
  <si>
    <t>0669 L</t>
  </si>
  <si>
    <t>0670 L</t>
  </si>
  <si>
    <t>0675 L</t>
  </si>
  <si>
    <t>0676 L</t>
  </si>
  <si>
    <t>0678 L</t>
  </si>
  <si>
    <t>0679 L</t>
  </si>
  <si>
    <t>0680 L</t>
  </si>
  <si>
    <t>0681 L</t>
  </si>
  <si>
    <t>0684 L</t>
  </si>
  <si>
    <t>0694 L</t>
  </si>
  <si>
    <t>0695 L</t>
  </si>
  <si>
    <t>0699 L</t>
  </si>
  <si>
    <t>0706 L</t>
  </si>
  <si>
    <t>0707 L</t>
  </si>
  <si>
    <t>0708 L</t>
  </si>
  <si>
    <t>0714 L</t>
  </si>
  <si>
    <t>0722 L</t>
  </si>
  <si>
    <t>0723 L</t>
  </si>
  <si>
    <t>0724 L</t>
  </si>
  <si>
    <t>0730 L</t>
  </si>
  <si>
    <t>0731 L</t>
  </si>
  <si>
    <t>0733 L</t>
  </si>
  <si>
    <t>0735 L</t>
  </si>
  <si>
    <t>0740 L</t>
  </si>
  <si>
    <t>0745 L</t>
  </si>
  <si>
    <t>0747 L</t>
  </si>
  <si>
    <t>0750 L</t>
  </si>
  <si>
    <t>ENTRADA DEL MES DE SEPTIEMBRE 2015</t>
  </si>
  <si>
    <t>SEABOARD</t>
  </si>
  <si>
    <t xml:space="preserve">GRANJERO FELIZ S DE RL </t>
  </si>
  <si>
    <t>PED. 5008446</t>
  </si>
  <si>
    <t>31-JULIO,.2015</t>
  </si>
  <si>
    <t>12 AGOSTO .,2015</t>
  </si>
  <si>
    <t>13 AGOSTO .,2015</t>
  </si>
  <si>
    <t>INVENTARIO DE AGOSTO 2015</t>
  </si>
  <si>
    <t>PED. 5025891</t>
  </si>
  <si>
    <t>21 JUNIO.,2015</t>
  </si>
  <si>
    <t>24 AGOSTO .,2015</t>
  </si>
  <si>
    <t>21 AGOSTO .,2015</t>
  </si>
  <si>
    <t xml:space="preserve">MANSIVA SA DE CV </t>
  </si>
  <si>
    <t>SWITF</t>
  </si>
  <si>
    <t>26 AGOSTO.,2015</t>
  </si>
  <si>
    <t>02 SEPTIEMBRE .,2015</t>
  </si>
  <si>
    <t>28 AGOSTO .,2015</t>
  </si>
  <si>
    <t>04 SEPTIEMBRE.,2015</t>
  </si>
  <si>
    <t xml:space="preserve">ADAMS INT MORELIA SA CV </t>
  </si>
  <si>
    <t>GRANJERO FELIZ</t>
  </si>
  <si>
    <t>CABEZA DE CERDO</t>
  </si>
  <si>
    <t>SMITHFIELD FARMLADN</t>
  </si>
  <si>
    <t xml:space="preserve">CON LENGUA </t>
  </si>
  <si>
    <t>0759 L</t>
  </si>
  <si>
    <t>0760 L</t>
  </si>
  <si>
    <t>0762 L</t>
  </si>
  <si>
    <t>0766 L</t>
  </si>
  <si>
    <t>0767 L</t>
  </si>
  <si>
    <t>0769 L</t>
  </si>
  <si>
    <t>0770 L</t>
  </si>
  <si>
    <t>0772 L</t>
  </si>
  <si>
    <t>0773 L</t>
  </si>
  <si>
    <t>0778 L</t>
  </si>
  <si>
    <t>0779 L</t>
  </si>
  <si>
    <t>0783 L</t>
  </si>
  <si>
    <t>0784 L</t>
  </si>
  <si>
    <t>0789 L</t>
  </si>
  <si>
    <t>0790 L</t>
  </si>
  <si>
    <t>0791 L</t>
  </si>
  <si>
    <t>0792 L</t>
  </si>
  <si>
    <t>0794 L</t>
  </si>
  <si>
    <t>0797 L</t>
  </si>
  <si>
    <t>0804 L</t>
  </si>
  <si>
    <t>0805 L</t>
  </si>
  <si>
    <t>0807 L</t>
  </si>
  <si>
    <t>0809 L</t>
  </si>
  <si>
    <t>0811 L</t>
  </si>
  <si>
    <t>0815 L</t>
  </si>
  <si>
    <t>0819 L</t>
  </si>
  <si>
    <t>0820 L</t>
  </si>
  <si>
    <t>0822 L</t>
  </si>
  <si>
    <t>0823 L</t>
  </si>
  <si>
    <t>0824 L</t>
  </si>
  <si>
    <t>0825 L</t>
  </si>
  <si>
    <t>0830 L</t>
  </si>
  <si>
    <t>0831 L</t>
  </si>
  <si>
    <t>0832 L</t>
  </si>
  <si>
    <t>0833 L</t>
  </si>
  <si>
    <t>0839 L</t>
  </si>
  <si>
    <t>0841 L</t>
  </si>
  <si>
    <t>0842 L</t>
  </si>
  <si>
    <t>0845 L</t>
  </si>
  <si>
    <t>0846 L</t>
  </si>
  <si>
    <t>0847 L</t>
  </si>
  <si>
    <t>0851 L</t>
  </si>
  <si>
    <t>0862 L</t>
  </si>
  <si>
    <t>0867 L</t>
  </si>
  <si>
    <t>0868 L</t>
  </si>
  <si>
    <t>0869 L</t>
  </si>
  <si>
    <t>0872 L</t>
  </si>
  <si>
    <t>0879 L</t>
  </si>
  <si>
    <t>0881 L</t>
  </si>
  <si>
    <t>0882 L</t>
  </si>
  <si>
    <t>SMITHFIELD</t>
  </si>
  <si>
    <t>0891 L</t>
  </si>
  <si>
    <t>0892 L</t>
  </si>
  <si>
    <t>0895 L</t>
  </si>
  <si>
    <t>0896 L</t>
  </si>
  <si>
    <t>0897 L</t>
  </si>
  <si>
    <t>0901 L</t>
  </si>
  <si>
    <t>0902 L</t>
  </si>
  <si>
    <t>0910 L</t>
  </si>
  <si>
    <t>0914 L</t>
  </si>
  <si>
    <t>0919 L</t>
  </si>
  <si>
    <t>0929 L</t>
  </si>
  <si>
    <t>ENTRADA DEL MES DE OCTUBRE 2015</t>
  </si>
  <si>
    <t>INVENTARIO DE SEPTIEMBRE    2015</t>
  </si>
  <si>
    <t>INVENTARIO DE SEPTIEMBRE     2015</t>
  </si>
  <si>
    <t>INVENTARIO DE SEPTIEMBRE  2015</t>
  </si>
  <si>
    <t>INVENTARIO  DEL MES DE SEPTIEMBRE 2015</t>
  </si>
  <si>
    <t>INVENTARIO DE SEPTIEMBRE 2015</t>
  </si>
  <si>
    <t>INVENTARIO DEL MES DE SEPTIEMBRE  2015</t>
  </si>
  <si>
    <t>INVENTARIO   DEL MES DE SEPTIEMBRE    2015</t>
  </si>
  <si>
    <t>INVENTARIO    DEL MES     SEPTIEMBRE           2 0 1 5</t>
  </si>
  <si>
    <t>TOTAL DE ENTRADAS DEL MES     SEPTIEMBRE         2 0 1 5</t>
  </si>
  <si>
    <t xml:space="preserve">SEABOARD FOODS </t>
  </si>
  <si>
    <t>PED. 5003978</t>
  </si>
  <si>
    <t>SEABAORD FOODS</t>
  </si>
  <si>
    <t>PED. 5003984</t>
  </si>
  <si>
    <t>INDIANA PACKERS Co</t>
  </si>
  <si>
    <t>PED. 5003991</t>
  </si>
  <si>
    <t>PED. 5003992</t>
  </si>
  <si>
    <t xml:space="preserve">MANSIVA Comercializadora </t>
  </si>
  <si>
    <t xml:space="preserve">INDIANA </t>
  </si>
  <si>
    <t>PED. 5020771</t>
  </si>
  <si>
    <t>25 Septiembre .,2015</t>
  </si>
  <si>
    <t>28 Septiembre .,2015</t>
  </si>
  <si>
    <t>PED. 5003993</t>
  </si>
  <si>
    <t>PUNTA</t>
  </si>
  <si>
    <t>PED. 5004011</t>
  </si>
  <si>
    <t>CUERO</t>
  </si>
  <si>
    <t>PED. 5004012</t>
  </si>
  <si>
    <t>PED. 5004016</t>
  </si>
  <si>
    <t>PED. 5004025</t>
  </si>
  <si>
    <t>ADAMS INT  MORELIA</t>
  </si>
  <si>
    <t>PED. 5021595</t>
  </si>
  <si>
    <t>PED. 5004029</t>
  </si>
  <si>
    <t>PED. 5004036</t>
  </si>
  <si>
    <t>SMTHFIELD FARMLAND</t>
  </si>
  <si>
    <t>PED. 5004035</t>
  </si>
  <si>
    <t xml:space="preserve">INDIANA PACKERS Co </t>
  </si>
  <si>
    <t>PED. 5004037</t>
  </si>
  <si>
    <t>PED. 5009902</t>
  </si>
  <si>
    <t>Jhon Morrell</t>
  </si>
  <si>
    <t>02 Octubre.,2015</t>
  </si>
  <si>
    <t>06 Octubre,. 2015</t>
  </si>
  <si>
    <t>05 Octubre.,2015</t>
  </si>
  <si>
    <t>ENTRADA DE OCTUBRE 2015</t>
  </si>
  <si>
    <t>PED. 5004046</t>
  </si>
  <si>
    <t>PED. 5004045</t>
  </si>
  <si>
    <t>PED. 5004060</t>
  </si>
  <si>
    <t>Jhon Morrel</t>
  </si>
  <si>
    <t>PED. 5009935</t>
  </si>
  <si>
    <t>PED. 5004067</t>
  </si>
  <si>
    <t>PED. 5021062</t>
  </si>
  <si>
    <t>09 Octubre .,2015</t>
  </si>
  <si>
    <t>10 Octubre .,2015</t>
  </si>
  <si>
    <t>PED. 5004080</t>
  </si>
  <si>
    <t>PED. 5010091</t>
  </si>
  <si>
    <t>PED. 5004088</t>
  </si>
  <si>
    <t>PED. 5004325</t>
  </si>
  <si>
    <t>PED. 5004086</t>
  </si>
  <si>
    <t>PED 5010144</t>
  </si>
  <si>
    <t>10 Octubre.,2015</t>
  </si>
  <si>
    <t>12 Octubre .,2015</t>
  </si>
  <si>
    <t>PED. 5004098</t>
  </si>
  <si>
    <t>ADAMAS Int MORELIA</t>
  </si>
  <si>
    <t>PED. 5022220</t>
  </si>
  <si>
    <t>PED. 5004092</t>
  </si>
  <si>
    <t>PED. 5004091</t>
  </si>
  <si>
    <t>PED. 5004113</t>
  </si>
  <si>
    <t xml:space="preserve">CIMEIRA SA DE CV </t>
  </si>
  <si>
    <t>02 SEPTIEMBRE.,2015</t>
  </si>
  <si>
    <t>25 SEPTIEMBRE .,2015</t>
  </si>
  <si>
    <t>PED. 5004116</t>
  </si>
  <si>
    <t>PED. 5004125</t>
  </si>
  <si>
    <t>INVENTARIO   DE  SEPTIEMBRE     2015</t>
  </si>
  <si>
    <t>PED. 5004131</t>
  </si>
  <si>
    <t>PED. 5004127</t>
  </si>
  <si>
    <t>PED. 5004133</t>
  </si>
  <si>
    <t>PED. 5004134</t>
  </si>
  <si>
    <t>PED. 5004135</t>
  </si>
  <si>
    <t>CARGILL DE MEXICO SA DE CV</t>
  </si>
  <si>
    <t>PED. 5032708</t>
  </si>
  <si>
    <t>SMITFIELD FARMLAND</t>
  </si>
  <si>
    <t>PED. 5004418</t>
  </si>
  <si>
    <t>PED. 5004421</t>
  </si>
  <si>
    <t>PED. 5036849</t>
  </si>
  <si>
    <t>13 OCTUBRE .,2015</t>
  </si>
  <si>
    <t>14 OCTUBRE .,2015</t>
  </si>
  <si>
    <t xml:space="preserve">Smithfield </t>
  </si>
  <si>
    <t>PED. 5004397</t>
  </si>
  <si>
    <t>PED. 5004410</t>
  </si>
  <si>
    <t>Seabaord</t>
  </si>
  <si>
    <t>PED. 5004414</t>
  </si>
  <si>
    <t>PED. 5004417</t>
  </si>
  <si>
    <t>PED. 5004422</t>
  </si>
  <si>
    <t>NLP15-131</t>
  </si>
  <si>
    <t>NLP15-132</t>
  </si>
  <si>
    <t>NLIN15-01</t>
  </si>
  <si>
    <t>NL15-159</t>
  </si>
  <si>
    <t>NLP15-133</t>
  </si>
  <si>
    <t xml:space="preserve">ADAMS INT MORELIA </t>
  </si>
  <si>
    <t>Punta de lengua res</t>
  </si>
  <si>
    <t>PU-36138</t>
  </si>
  <si>
    <t>NL15-160</t>
  </si>
  <si>
    <t>NL15-161</t>
  </si>
  <si>
    <t>NL15-162</t>
  </si>
  <si>
    <t>NLP15-135</t>
  </si>
  <si>
    <t>NLP15-136</t>
  </si>
  <si>
    <t>NLP15-163</t>
  </si>
  <si>
    <t>NLIN15-02</t>
  </si>
  <si>
    <t>BUCHE cerdo</t>
  </si>
  <si>
    <t>PU-36313</t>
  </si>
  <si>
    <t>NL15-164</t>
  </si>
  <si>
    <t>NL15-165</t>
  </si>
  <si>
    <t>NL15-166</t>
  </si>
  <si>
    <t>NLP15-137</t>
  </si>
  <si>
    <t>NLP15-138</t>
  </si>
  <si>
    <t>NLIN15-03</t>
  </si>
  <si>
    <t>NLP15-139</t>
  </si>
  <si>
    <t>NL15-167</t>
  </si>
  <si>
    <t>NLIN15-04</t>
  </si>
  <si>
    <t>NL15-168</t>
  </si>
  <si>
    <t>NL15-169</t>
  </si>
  <si>
    <t>NL15-170</t>
  </si>
  <si>
    <t xml:space="preserve">CIMEIRA S DE RL DE CV </t>
  </si>
  <si>
    <t xml:space="preserve">BUCHE  </t>
  </si>
  <si>
    <t>CFN-957</t>
  </si>
  <si>
    <t>NLP15-140</t>
  </si>
  <si>
    <t>NLP15-141</t>
  </si>
  <si>
    <t>DDB-730392</t>
  </si>
  <si>
    <t>NL15-171</t>
  </si>
  <si>
    <t>NLP15-142</t>
  </si>
  <si>
    <t>BUCHE</t>
  </si>
  <si>
    <t>SESOS COPA</t>
  </si>
  <si>
    <t>CORBATA Seaboard</t>
  </si>
  <si>
    <t>NLSETF15-02</t>
  </si>
  <si>
    <t>NL15-172</t>
  </si>
  <si>
    <t>NL15-173</t>
  </si>
  <si>
    <t xml:space="preserve">RYC ALIMETNOS </t>
  </si>
  <si>
    <t>Contra excell</t>
  </si>
  <si>
    <t>NL15-174</t>
  </si>
  <si>
    <t>NLP15-143</t>
  </si>
  <si>
    <t>NLP15-144</t>
  </si>
  <si>
    <t>NL15-176</t>
  </si>
  <si>
    <t>NL15-175</t>
  </si>
  <si>
    <t>NLIN15-05</t>
  </si>
  <si>
    <t>Menudo excell</t>
  </si>
  <si>
    <t>NLP15-145</t>
  </si>
  <si>
    <t>Transfer 25 Sept</t>
  </si>
  <si>
    <t>Transfer 28 Sept</t>
  </si>
  <si>
    <t>Transfer B 01-Oct</t>
  </si>
  <si>
    <t xml:space="preserve">Transfer B 05-Oct </t>
  </si>
  <si>
    <t xml:space="preserve">Transfer B 01-OCT </t>
  </si>
  <si>
    <t xml:space="preserve">Transfer B 02-Oct </t>
  </si>
  <si>
    <t xml:space="preserve">Transfer B  05-Oct </t>
  </si>
  <si>
    <t xml:space="preserve">Transfer B 06-Oct </t>
  </si>
  <si>
    <t>Transfer B 06-Oct</t>
  </si>
  <si>
    <t xml:space="preserve">Transfer B 07-Oct </t>
  </si>
  <si>
    <t xml:space="preserve">Transfer B 08-Oct </t>
  </si>
  <si>
    <t xml:space="preserve">Trabsfer B 09-oct </t>
  </si>
  <si>
    <t xml:space="preserve">Transfer B 09-Oct </t>
  </si>
  <si>
    <t xml:space="preserve">Transfer B 12-Oct </t>
  </si>
  <si>
    <t xml:space="preserve">Transfer B 13-Oct </t>
  </si>
  <si>
    <t xml:space="preserve">Transfer B 14-Oct </t>
  </si>
  <si>
    <t xml:space="preserve">Transfer 14-Oct </t>
  </si>
  <si>
    <t xml:space="preserve">Transfer B 15-Oct </t>
  </si>
  <si>
    <t>Transfer B 15-Oct</t>
  </si>
  <si>
    <t>PU-36302</t>
  </si>
  <si>
    <t xml:space="preserve">Transfer B 16-Oct </t>
  </si>
  <si>
    <t xml:space="preserve">Transfer B 19-Oct </t>
  </si>
  <si>
    <t>Transfer B 19-Oct</t>
  </si>
  <si>
    <t xml:space="preserve">Transfer B 20-Oct </t>
  </si>
  <si>
    <t xml:space="preserve">Transfer B 21-Oct </t>
  </si>
  <si>
    <t xml:space="preserve">Transfer B 22 Oct </t>
  </si>
  <si>
    <t xml:space="preserve">Transfer B 22-Oct </t>
  </si>
  <si>
    <t xml:space="preserve">Transfer B 23-Oct </t>
  </si>
  <si>
    <t xml:space="preserve">Transfer B 26-Oct </t>
  </si>
  <si>
    <t xml:space="preserve">Transfer B 27-Oct </t>
  </si>
  <si>
    <t xml:space="preserve">Transfer B 28-Oct </t>
  </si>
  <si>
    <t>Transfer B 28-Oct</t>
  </si>
  <si>
    <t xml:space="preserve">Transfer B 29 Oct </t>
  </si>
  <si>
    <t xml:space="preserve">Transfer B 29-Oct </t>
  </si>
  <si>
    <t xml:space="preserve">Transfer B 30-Oct </t>
  </si>
  <si>
    <t xml:space="preserve">Transfer S 2-Oct </t>
  </si>
  <si>
    <t>NLP15-134</t>
  </si>
  <si>
    <t xml:space="preserve">Transfer S 05-Oct </t>
  </si>
  <si>
    <t xml:space="preserve">Transfer S 07-Oct </t>
  </si>
  <si>
    <t xml:space="preserve">Transfer S 7-Oct </t>
  </si>
  <si>
    <t>A-4335</t>
  </si>
  <si>
    <t>Transfer S 08-Oct</t>
  </si>
  <si>
    <t xml:space="preserve">Transfer S 12-Oct </t>
  </si>
  <si>
    <t>Transfer S 13-Oct</t>
  </si>
  <si>
    <t>Transfer S 14-Oct</t>
  </si>
  <si>
    <t xml:space="preserve">Transfer S 16-Oct </t>
  </si>
  <si>
    <t xml:space="preserve">Transfer S 19-Oct </t>
  </si>
  <si>
    <t>IAI-1495</t>
  </si>
  <si>
    <t xml:space="preserve">Transfer S 20-Oct </t>
  </si>
  <si>
    <t xml:space="preserve">Transfer S 21-Oct </t>
  </si>
  <si>
    <t>Transfer S 22-Oct</t>
  </si>
  <si>
    <t>Transfer S 23-Oct</t>
  </si>
  <si>
    <t>IAI-1500</t>
  </si>
  <si>
    <t>Transfer S 26-Oct</t>
  </si>
  <si>
    <t>IAI-1502</t>
  </si>
  <si>
    <t>Transfer S 27-Oct</t>
  </si>
  <si>
    <t>Transfer S 28-Oct</t>
  </si>
  <si>
    <t>PU-36653</t>
  </si>
  <si>
    <t>Transfer S 30-Oct</t>
  </si>
  <si>
    <t>A-4427</t>
  </si>
  <si>
    <t>#0932 L</t>
  </si>
  <si>
    <t>0932 L</t>
  </si>
  <si>
    <t>#0933 L</t>
  </si>
  <si>
    <t>0934 L</t>
  </si>
  <si>
    <t>0935 L</t>
  </si>
  <si>
    <t>0936 L</t>
  </si>
  <si>
    <t>0937 L</t>
  </si>
  <si>
    <t>0938 L</t>
  </si>
  <si>
    <t>0939 L</t>
  </si>
  <si>
    <t>0941 L</t>
  </si>
  <si>
    <t>0942 L</t>
  </si>
  <si>
    <t>0943 L</t>
  </si>
  <si>
    <t>0944 L</t>
  </si>
  <si>
    <t>0945 L</t>
  </si>
  <si>
    <t>0946 L</t>
  </si>
  <si>
    <t>0949 L</t>
  </si>
  <si>
    <t>0950 L</t>
  </si>
  <si>
    <t>0951 L</t>
  </si>
  <si>
    <t>0952 L</t>
  </si>
  <si>
    <t>0954 L</t>
  </si>
  <si>
    <t>0955 L</t>
  </si>
  <si>
    <t>0956 L</t>
  </si>
  <si>
    <t>0957 L</t>
  </si>
  <si>
    <t>0958 L</t>
  </si>
  <si>
    <t>0959 L</t>
  </si>
  <si>
    <t>0960 L</t>
  </si>
  <si>
    <t>960 L</t>
  </si>
  <si>
    <t>0961 L</t>
  </si>
  <si>
    <t>0962 L</t>
  </si>
  <si>
    <t>CUERO COMBO</t>
  </si>
  <si>
    <t>0965 L</t>
  </si>
  <si>
    <t>0966 l</t>
  </si>
  <si>
    <t>0966 L</t>
  </si>
  <si>
    <t>0967 L</t>
  </si>
  <si>
    <t>0968 L</t>
  </si>
  <si>
    <t>0970 L</t>
  </si>
  <si>
    <t>0971 L</t>
  </si>
  <si>
    <t>0972 L</t>
  </si>
  <si>
    <t>0974 L</t>
  </si>
  <si>
    <t>0975 L</t>
  </si>
  <si>
    <t>0976 L</t>
  </si>
  <si>
    <t>0977 L</t>
  </si>
  <si>
    <t>0978 L</t>
  </si>
  <si>
    <t>0979 L</t>
  </si>
  <si>
    <t>0980 L</t>
  </si>
  <si>
    <t>0981 L</t>
  </si>
  <si>
    <t>0982 L</t>
  </si>
  <si>
    <t>0983 L</t>
  </si>
  <si>
    <t>0985 L</t>
  </si>
  <si>
    <t>0986 L</t>
  </si>
  <si>
    <t>0987 L</t>
  </si>
  <si>
    <t>0988 L</t>
  </si>
  <si>
    <t>0989 L</t>
  </si>
  <si>
    <t>0991 L</t>
  </si>
  <si>
    <t>0992 L</t>
  </si>
  <si>
    <t>0993 L</t>
  </si>
  <si>
    <t>0994 L</t>
  </si>
  <si>
    <t>0995 L</t>
  </si>
  <si>
    <t>0996 L</t>
  </si>
  <si>
    <t>0997 L</t>
  </si>
  <si>
    <t>0999 L</t>
  </si>
  <si>
    <t>1000 L</t>
  </si>
  <si>
    <t>0001 M</t>
  </si>
  <si>
    <t>0002 M</t>
  </si>
  <si>
    <t>0003 M</t>
  </si>
  <si>
    <t>0004 M</t>
  </si>
  <si>
    <t>0005 M</t>
  </si>
  <si>
    <t>0007 M</t>
  </si>
  <si>
    <t>0008 M</t>
  </si>
  <si>
    <t>0009 M</t>
  </si>
  <si>
    <t>0010 M</t>
  </si>
  <si>
    <t>0011 M</t>
  </si>
  <si>
    <t>0012 M</t>
  </si>
  <si>
    <t>0013 M</t>
  </si>
  <si>
    <t>0014 M</t>
  </si>
  <si>
    <t>0016 M</t>
  </si>
  <si>
    <t>0017 M</t>
  </si>
  <si>
    <t>0018 M</t>
  </si>
  <si>
    <t>0019 M</t>
  </si>
  <si>
    <t>0020 M</t>
  </si>
  <si>
    <t>0021 M</t>
  </si>
  <si>
    <t>0022 M</t>
  </si>
  <si>
    <t>0024 M</t>
  </si>
  <si>
    <t>0025 M</t>
  </si>
  <si>
    <t>0025M</t>
  </si>
  <si>
    <t>0026 M</t>
  </si>
  <si>
    <t>0027 M</t>
  </si>
  <si>
    <t>0028 M</t>
  </si>
  <si>
    <t>0029 M</t>
  </si>
  <si>
    <t>0030 M</t>
  </si>
  <si>
    <t>0031 M</t>
  </si>
  <si>
    <t>0033 M</t>
  </si>
  <si>
    <t>0034 M</t>
  </si>
  <si>
    <t>0035 M</t>
  </si>
  <si>
    <t>0036 M</t>
  </si>
  <si>
    <t>0037 M</t>
  </si>
  <si>
    <t>0038 M</t>
  </si>
  <si>
    <t>0039 M</t>
  </si>
  <si>
    <t>0040 M</t>
  </si>
  <si>
    <t>0042 M</t>
  </si>
  <si>
    <t>CUERO PAPEL</t>
  </si>
  <si>
    <t>0044 M</t>
  </si>
  <si>
    <t>0045 M</t>
  </si>
  <si>
    <t>0046 M</t>
  </si>
  <si>
    <t>0047 M</t>
  </si>
  <si>
    <t>0048 M</t>
  </si>
  <si>
    <t>0049 M</t>
  </si>
  <si>
    <t>0051 M</t>
  </si>
  <si>
    <t>0052 M</t>
  </si>
  <si>
    <t>0053 M</t>
  </si>
  <si>
    <t>0054 M</t>
  </si>
  <si>
    <t>0055 M</t>
  </si>
  <si>
    <t>0056 M</t>
  </si>
  <si>
    <t>COMBO CUERO</t>
  </si>
  <si>
    <t>0057 M</t>
  </si>
  <si>
    <t>0059 M</t>
  </si>
  <si>
    <t>0060 M</t>
  </si>
  <si>
    <t>0061 M</t>
  </si>
  <si>
    <t>0062 M</t>
  </si>
  <si>
    <t>0063 M</t>
  </si>
  <si>
    <t>0064 M</t>
  </si>
  <si>
    <t>0066 M</t>
  </si>
  <si>
    <t>0067 M</t>
  </si>
  <si>
    <t>0068 M</t>
  </si>
  <si>
    <t>0070 M</t>
  </si>
  <si>
    <t>0071 M</t>
  </si>
  <si>
    <t>0072 M</t>
  </si>
  <si>
    <t>0073 M</t>
  </si>
  <si>
    <t>0074 M</t>
  </si>
  <si>
    <t>0075 M</t>
  </si>
  <si>
    <t>0076 M</t>
  </si>
  <si>
    <t>0077 M</t>
  </si>
  <si>
    <t>0078 M</t>
  </si>
  <si>
    <t>0079 M</t>
  </si>
  <si>
    <t>0080 M</t>
  </si>
  <si>
    <t>0050 M</t>
  </si>
  <si>
    <t>0082 M</t>
  </si>
  <si>
    <t>0083 M</t>
  </si>
  <si>
    <t>0084 M</t>
  </si>
  <si>
    <t>0085 M</t>
  </si>
  <si>
    <t>0086 M</t>
  </si>
  <si>
    <t>0088 M</t>
  </si>
  <si>
    <t>0089 M</t>
  </si>
  <si>
    <t>0090 M</t>
  </si>
  <si>
    <t>0091 M</t>
  </si>
  <si>
    <t>0092 M</t>
  </si>
  <si>
    <t>0093 M</t>
  </si>
  <si>
    <t>0095 M</t>
  </si>
  <si>
    <t>0096 M</t>
  </si>
  <si>
    <t>0097 M</t>
  </si>
  <si>
    <t>0099 M</t>
  </si>
  <si>
    <t>0100 M</t>
  </si>
  <si>
    <t>0101 M</t>
  </si>
  <si>
    <t>0102 M</t>
  </si>
  <si>
    <t>0103 M</t>
  </si>
  <si>
    <t>0104 M</t>
  </si>
  <si>
    <t>0105 M</t>
  </si>
  <si>
    <t>0106 M</t>
  </si>
  <si>
    <t>0108 M</t>
  </si>
  <si>
    <t>0110 M</t>
  </si>
  <si>
    <t>0111 M</t>
  </si>
  <si>
    <t>00112 M</t>
  </si>
  <si>
    <t>0113 M</t>
  </si>
  <si>
    <t>0114 M</t>
  </si>
  <si>
    <t>0115 M</t>
  </si>
  <si>
    <t>0116 M</t>
  </si>
  <si>
    <t xml:space="preserve">Transfer B 05-Nov </t>
  </si>
  <si>
    <t xml:space="preserve">Transfer S 03-Nov </t>
  </si>
  <si>
    <t>IAI-1506</t>
  </si>
  <si>
    <t>FLP-805317</t>
  </si>
  <si>
    <t xml:space="preserve">Transfer S 10-Nov </t>
  </si>
  <si>
    <t>FLP-806642</t>
  </si>
  <si>
    <t xml:space="preserve">Transfer S 23-Nov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</si>
</sst>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sz val="11"/>
      <color theme="9" tint="-0.249977111117893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i/>
      <sz val="11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11"/>
      <name val="Times New Roman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3">
    <xf numFmtId="0" fontId="0" fillId="0" borderId="0"/>
    <xf numFmtId="44" fontId="40" fillId="0" borderId="0" applyFont="0" applyFill="0" applyBorder="0" applyAlignment="0" applyProtection="0"/>
    <xf numFmtId="43" fontId="40" fillId="0" borderId="0" applyFont="0" applyFill="0" applyBorder="0" applyAlignment="0" applyProtection="0"/>
  </cellStyleXfs>
  <cellXfs count="77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27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8" fillId="0" borderId="0" xfId="0" applyFont="1"/>
    <xf numFmtId="2" fontId="10" fillId="2" borderId="3" xfId="0" applyNumberFormat="1" applyFont="1" applyFill="1" applyBorder="1"/>
    <xf numFmtId="0" fontId="29" fillId="0" borderId="0" xfId="0" applyFont="1" applyFill="1"/>
    <xf numFmtId="16" fontId="30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1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0" fontId="7" fillId="0" borderId="0" xfId="0" applyFont="1" applyAlignment="1">
      <alignment horizontal="right"/>
    </xf>
    <xf numFmtId="164" fontId="32" fillId="0" borderId="0" xfId="0" applyNumberFormat="1" applyFont="1" applyFill="1"/>
    <xf numFmtId="2" fontId="32" fillId="0" borderId="12" xfId="0" applyNumberFormat="1" applyFont="1" applyFill="1" applyBorder="1" applyAlignment="1">
      <alignment horizontal="right"/>
    </xf>
    <xf numFmtId="0" fontId="32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1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0" fillId="0" borderId="0" xfId="0" applyNumberFormat="1" applyFont="1" applyFill="1" applyBorder="1" applyAlignment="1">
      <alignment horizontal="right"/>
    </xf>
    <xf numFmtId="0" fontId="30" fillId="0" borderId="10" xfId="0" applyFont="1" applyFill="1" applyBorder="1" applyAlignment="1">
      <alignment horizontal="right"/>
    </xf>
    <xf numFmtId="164" fontId="30" fillId="0" borderId="0" xfId="0" applyNumberFormat="1" applyFont="1" applyFill="1"/>
    <xf numFmtId="16" fontId="30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4" fontId="33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2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6" fillId="0" borderId="4" xfId="0" applyFont="1" applyBorder="1" applyAlignment="1">
      <alignment horizontal="right"/>
    </xf>
    <xf numFmtId="0" fontId="26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5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4" fillId="0" borderId="4" xfId="0" applyFont="1" applyFill="1" applyBorder="1"/>
    <xf numFmtId="0" fontId="3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31" fillId="0" borderId="4" xfId="0" applyFont="1" applyFill="1" applyBorder="1"/>
    <xf numFmtId="4" fontId="31" fillId="0" borderId="12" xfId="0" applyNumberFormat="1" applyFont="1" applyFill="1" applyBorder="1" applyAlignment="1">
      <alignment horizontal="right"/>
    </xf>
    <xf numFmtId="0" fontId="31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0" fillId="0" borderId="0" xfId="0" applyFont="1" applyFill="1"/>
    <xf numFmtId="0" fontId="26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7" fillId="0" borderId="0" xfId="0" applyFont="1" applyAlignment="1">
      <alignment horizontal="center"/>
    </xf>
    <xf numFmtId="2" fontId="7" fillId="4" borderId="0" xfId="0" applyNumberFormat="1" applyFont="1" applyFill="1"/>
    <xf numFmtId="0" fontId="32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5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164" fontId="36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1" fillId="0" borderId="0" xfId="0" applyNumberFormat="1" applyFont="1" applyFill="1"/>
    <xf numFmtId="0" fontId="31" fillId="0" borderId="0" xfId="0" applyFont="1" applyFill="1" applyAlignment="1">
      <alignment horizontal="right"/>
    </xf>
    <xf numFmtId="164" fontId="31" fillId="0" borderId="0" xfId="0" applyNumberFormat="1" applyFont="1" applyFill="1"/>
    <xf numFmtId="16" fontId="31" fillId="0" borderId="7" xfId="0" applyNumberFormat="1" applyFont="1" applyFill="1" applyBorder="1"/>
    <xf numFmtId="2" fontId="31" fillId="0" borderId="8" xfId="0" applyNumberFormat="1" applyFont="1" applyFill="1" applyBorder="1" applyAlignment="1">
      <alignment horizontal="right"/>
    </xf>
    <xf numFmtId="0" fontId="31" fillId="0" borderId="7" xfId="0" applyFont="1" applyFill="1" applyBorder="1" applyAlignment="1">
      <alignment horizontal="right"/>
    </xf>
    <xf numFmtId="164" fontId="31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39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5" fillId="0" borderId="0" xfId="0" applyNumberFormat="1" applyFont="1" applyFill="1" applyAlignment="1">
      <alignment horizontal="center"/>
    </xf>
    <xf numFmtId="2" fontId="37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7" fillId="0" borderId="0" xfId="0" applyNumberFormat="1" applyFont="1" applyFill="1" applyAlignment="1">
      <alignment horizontal="center"/>
    </xf>
    <xf numFmtId="164" fontId="30" fillId="0" borderId="0" xfId="0" applyNumberFormat="1" applyFont="1"/>
    <xf numFmtId="16" fontId="30" fillId="0" borderId="15" xfId="0" applyNumberFormat="1" applyFont="1" applyBorder="1"/>
    <xf numFmtId="0" fontId="30" fillId="0" borderId="10" xfId="0" applyFont="1" applyBorder="1" applyAlignment="1">
      <alignment horizontal="right"/>
    </xf>
    <xf numFmtId="2" fontId="30" fillId="0" borderId="12" xfId="0" applyNumberFormat="1" applyFont="1" applyFill="1" applyBorder="1" applyAlignment="1">
      <alignment horizontal="right"/>
    </xf>
    <xf numFmtId="16" fontId="30" fillId="0" borderId="16" xfId="0" applyNumberFormat="1" applyFont="1" applyBorder="1"/>
    <xf numFmtId="0" fontId="30" fillId="0" borderId="13" xfId="0" applyFont="1" applyBorder="1" applyAlignment="1">
      <alignment horizontal="right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6" fillId="0" borderId="5" xfId="0" applyNumberFormat="1" applyFont="1" applyFill="1" applyBorder="1" applyAlignment="1">
      <alignment horizontal="right"/>
    </xf>
    <xf numFmtId="0" fontId="36" fillId="0" borderId="10" xfId="0" applyFont="1" applyFill="1" applyBorder="1" applyAlignment="1">
      <alignment horizontal="right"/>
    </xf>
    <xf numFmtId="0" fontId="36" fillId="0" borderId="13" xfId="0" applyFont="1" applyFill="1" applyBorder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16" fontId="36" fillId="0" borderId="15" xfId="0" applyNumberFormat="1" applyFont="1" applyFill="1" applyBorder="1"/>
    <xf numFmtId="2" fontId="36" fillId="0" borderId="12" xfId="0" applyNumberFormat="1" applyFont="1" applyFill="1" applyBorder="1" applyAlignment="1">
      <alignment horizontal="right"/>
    </xf>
    <xf numFmtId="16" fontId="36" fillId="0" borderId="4" xfId="0" applyNumberFormat="1" applyFont="1" applyFill="1" applyBorder="1"/>
    <xf numFmtId="2" fontId="0" fillId="9" borderId="0" xfId="0" applyNumberForma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11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16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41" fillId="0" borderId="0" xfId="0" applyFont="1"/>
    <xf numFmtId="16" fontId="36" fillId="0" borderId="11" xfId="0" applyNumberFormat="1" applyFont="1" applyFill="1" applyBorder="1"/>
    <xf numFmtId="164" fontId="36" fillId="0" borderId="12" xfId="0" applyNumberFormat="1" applyFont="1" applyFill="1" applyBorder="1"/>
    <xf numFmtId="0" fontId="7" fillId="12" borderId="0" xfId="0" applyFont="1" applyFill="1" applyAlignment="1">
      <alignment horizontal="center"/>
    </xf>
    <xf numFmtId="2" fontId="42" fillId="0" borderId="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4" fontId="0" fillId="0" borderId="0" xfId="0" applyNumberFormat="1" applyFont="1" applyBorder="1" applyAlignment="1">
      <alignment horizontal="center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4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3" fillId="0" borderId="11" xfId="0" applyNumberFormat="1" applyFont="1" applyFill="1" applyBorder="1"/>
    <xf numFmtId="2" fontId="45" fillId="0" borderId="0" xfId="0" applyNumberFormat="1" applyFont="1" applyAlignment="1">
      <alignment horizontal="right"/>
    </xf>
    <xf numFmtId="0" fontId="45" fillId="0" borderId="0" xfId="0" applyFont="1"/>
    <xf numFmtId="0" fontId="7" fillId="8" borderId="0" xfId="0" applyFont="1" applyFill="1" applyAlignment="1">
      <alignment horizontal="center"/>
    </xf>
    <xf numFmtId="2" fontId="0" fillId="13" borderId="0" xfId="0" applyNumberForma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/>
    <xf numFmtId="0" fontId="0" fillId="0" borderId="55" xfId="0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0" fontId="13" fillId="0" borderId="0" xfId="0" applyFont="1"/>
    <xf numFmtId="0" fontId="5" fillId="0" borderId="0" xfId="0" applyFont="1" applyFill="1"/>
    <xf numFmtId="16" fontId="0" fillId="0" borderId="10" xfId="0" applyNumberFormat="1" applyFill="1" applyBorder="1" applyAlignment="1">
      <alignment horizontal="right"/>
    </xf>
    <xf numFmtId="44" fontId="0" fillId="0" borderId="0" xfId="1" applyFont="1"/>
    <xf numFmtId="0" fontId="13" fillId="0" borderId="0" xfId="0" applyFont="1" applyAlignment="1">
      <alignment horizontal="center"/>
    </xf>
    <xf numFmtId="16" fontId="38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0" fontId="33" fillId="0" borderId="37" xfId="0" applyFont="1" applyFill="1" applyBorder="1" applyAlignment="1">
      <alignment horizontal="left"/>
    </xf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" fontId="7" fillId="0" borderId="0" xfId="0" applyNumberFormat="1" applyFont="1" applyFill="1" applyAlignment="1"/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46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4" fontId="8" fillId="0" borderId="18" xfId="0" applyNumberFormat="1" applyFont="1" applyFill="1" applyBorder="1"/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0" fontId="30" fillId="0" borderId="37" xfId="0" applyFont="1" applyFill="1" applyBorder="1" applyAlignment="1">
      <alignment horizontal="right"/>
    </xf>
    <xf numFmtId="164" fontId="30" fillId="0" borderId="0" xfId="0" applyNumberFormat="1" applyFont="1" applyFill="1" applyBorder="1"/>
    <xf numFmtId="0" fontId="30" fillId="0" borderId="13" xfId="0" applyFont="1" applyBorder="1"/>
    <xf numFmtId="0" fontId="30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4" fontId="25" fillId="0" borderId="0" xfId="0" applyNumberFormat="1" applyFont="1" applyFill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47" fillId="0" borderId="0" xfId="0" applyFont="1" applyFill="1" applyAlignment="1">
      <alignment horizontal="left"/>
    </xf>
    <xf numFmtId="0" fontId="47" fillId="0" borderId="0" xfId="0" applyNumberFormat="1" applyFont="1" applyFill="1" applyAlignment="1">
      <alignment horizontal="left"/>
    </xf>
    <xf numFmtId="166" fontId="47" fillId="0" borderId="5" xfId="0" applyNumberFormat="1" applyFont="1" applyFill="1" applyBorder="1" applyAlignment="1">
      <alignment horizontal="left"/>
    </xf>
    <xf numFmtId="2" fontId="47" fillId="0" borderId="0" xfId="0" applyNumberFormat="1" applyFont="1" applyFill="1" applyBorder="1" applyAlignment="1">
      <alignment horizontal="left"/>
    </xf>
    <xf numFmtId="2" fontId="47" fillId="0" borderId="5" xfId="0" applyNumberFormat="1" applyFont="1" applyFill="1" applyBorder="1" applyAlignment="1">
      <alignment horizontal="left"/>
    </xf>
    <xf numFmtId="0" fontId="47" fillId="0" borderId="5" xfId="0" applyFont="1" applyFill="1" applyBorder="1" applyAlignment="1">
      <alignment horizontal="left"/>
    </xf>
    <xf numFmtId="0" fontId="47" fillId="0" borderId="37" xfId="0" applyFont="1" applyFill="1" applyBorder="1" applyAlignment="1">
      <alignment horizontal="left"/>
    </xf>
    <xf numFmtId="0" fontId="48" fillId="0" borderId="37" xfId="0" applyFont="1" applyFill="1" applyBorder="1" applyAlignment="1">
      <alignment horizontal="left"/>
    </xf>
    <xf numFmtId="0" fontId="25" fillId="0" borderId="0" xfId="0" applyNumberFormat="1" applyFont="1" applyFill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164" fontId="49" fillId="0" borderId="0" xfId="0" applyNumberFormat="1" applyFont="1" applyFill="1"/>
    <xf numFmtId="16" fontId="42" fillId="0" borderId="15" xfId="0" applyNumberFormat="1" applyFont="1" applyFill="1" applyBorder="1"/>
    <xf numFmtId="0" fontId="42" fillId="0" borderId="10" xfId="0" applyFont="1" applyFill="1" applyBorder="1" applyAlignment="1">
      <alignment horizontal="right"/>
    </xf>
    <xf numFmtId="164" fontId="42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16" fontId="7" fillId="0" borderId="11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0" fontId="32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13" borderId="0" xfId="0" applyFill="1"/>
    <xf numFmtId="4" fontId="51" fillId="0" borderId="0" xfId="0" applyNumberFormat="1" applyFont="1" applyFill="1" applyBorder="1"/>
    <xf numFmtId="0" fontId="52" fillId="0" borderId="0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7" fillId="0" borderId="39" xfId="0" applyNumberFormat="1" applyFont="1" applyFill="1" applyBorder="1"/>
    <xf numFmtId="16" fontId="7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2" fillId="0" borderId="0" xfId="0" applyNumberFormat="1" applyFont="1" applyFill="1" applyBorder="1" applyAlignment="1">
      <alignment horizontal="right"/>
    </xf>
    <xf numFmtId="16" fontId="32" fillId="0" borderId="15" xfId="0" applyNumberFormat="1" applyFont="1" applyFill="1" applyBorder="1"/>
    <xf numFmtId="0" fontId="32" fillId="0" borderId="10" xfId="0" applyFont="1" applyFill="1" applyBorder="1" applyAlignment="1">
      <alignment horizontal="right"/>
    </xf>
    <xf numFmtId="16" fontId="32" fillId="0" borderId="0" xfId="0" applyNumberFormat="1" applyFont="1" applyFill="1" applyBorder="1"/>
    <xf numFmtId="2" fontId="32" fillId="0" borderId="5" xfId="0" applyNumberFormat="1" applyFont="1" applyFill="1" applyBorder="1" applyAlignment="1">
      <alignment horizontal="right"/>
    </xf>
    <xf numFmtId="16" fontId="32" fillId="0" borderId="0" xfId="0" applyNumberFormat="1" applyFont="1" applyFill="1"/>
    <xf numFmtId="2" fontId="32" fillId="0" borderId="0" xfId="0" applyNumberFormat="1" applyFont="1" applyFill="1"/>
    <xf numFmtId="2" fontId="32" fillId="0" borderId="32" xfId="0" applyNumberFormat="1" applyFont="1" applyFill="1" applyBorder="1" applyAlignment="1">
      <alignment horizontal="right"/>
    </xf>
    <xf numFmtId="16" fontId="32" fillId="0" borderId="12" xfId="0" applyNumberFormat="1" applyFont="1" applyFill="1" applyBorder="1"/>
    <xf numFmtId="2" fontId="32" fillId="0" borderId="12" xfId="0" applyNumberFormat="1" applyFont="1" applyFill="1" applyBorder="1"/>
    <xf numFmtId="164" fontId="32" fillId="0" borderId="12" xfId="0" applyNumberFormat="1" applyFont="1" applyFill="1" applyBorder="1"/>
    <xf numFmtId="16" fontId="32" fillId="0" borderId="15" xfId="0" applyNumberFormat="1" applyFont="1" applyBorder="1"/>
    <xf numFmtId="0" fontId="32" fillId="0" borderId="10" xfId="0" applyFont="1" applyBorder="1" applyAlignment="1">
      <alignment horizontal="right"/>
    </xf>
    <xf numFmtId="164" fontId="32" fillId="0" borderId="0" xfId="0" applyNumberFormat="1" applyFont="1"/>
    <xf numFmtId="4" fontId="32" fillId="0" borderId="37" xfId="0" applyNumberFormat="1" applyFont="1" applyFill="1" applyBorder="1" applyAlignment="1">
      <alignment horizontal="right"/>
    </xf>
    <xf numFmtId="4" fontId="32" fillId="0" borderId="5" xfId="0" applyNumberFormat="1" applyFont="1" applyFill="1" applyBorder="1" applyAlignment="1">
      <alignment horizontal="right"/>
    </xf>
    <xf numFmtId="16" fontId="32" fillId="0" borderId="4" xfId="0" applyNumberFormat="1" applyFont="1" applyFill="1" applyBorder="1"/>
    <xf numFmtId="15" fontId="32" fillId="0" borderId="10" xfId="0" applyNumberFormat="1" applyFont="1" applyFill="1" applyBorder="1" applyAlignment="1">
      <alignment horizontal="right"/>
    </xf>
    <xf numFmtId="43" fontId="7" fillId="0" borderId="0" xfId="2" applyFont="1"/>
    <xf numFmtId="43" fontId="7" fillId="0" borderId="0" xfId="2" applyFont="1" applyFill="1" applyAlignment="1">
      <alignment horizontal="right"/>
    </xf>
    <xf numFmtId="0" fontId="0" fillId="12" borderId="0" xfId="0" applyFill="1"/>
    <xf numFmtId="44" fontId="0" fillId="0" borderId="0" xfId="1" applyFont="1" applyFill="1"/>
    <xf numFmtId="2" fontId="29" fillId="0" borderId="0" xfId="0" applyNumberFormat="1" applyFont="1" applyFill="1" applyBorder="1" applyAlignment="1">
      <alignment horizontal="right"/>
    </xf>
    <xf numFmtId="16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0" fontId="53" fillId="0" borderId="0" xfId="0" applyFont="1"/>
    <xf numFmtId="4" fontId="29" fillId="0" borderId="5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2" fontId="0" fillId="16" borderId="0" xfId="0" applyNumberFormat="1" applyFill="1" applyAlignment="1">
      <alignment horizontal="center"/>
    </xf>
    <xf numFmtId="2" fontId="7" fillId="16" borderId="0" xfId="0" applyNumberFormat="1" applyFont="1" applyFill="1" applyAlignment="1">
      <alignment horizontal="center"/>
    </xf>
    <xf numFmtId="0" fontId="18" fillId="0" borderId="0" xfId="0" applyFont="1" applyFill="1" applyAlignment="1">
      <alignment wrapText="1"/>
    </xf>
    <xf numFmtId="0" fontId="7" fillId="0" borderId="37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0" fontId="54" fillId="0" borderId="0" xfId="0" applyFont="1" applyFill="1" applyAlignment="1">
      <alignment horizontal="left"/>
    </xf>
    <xf numFmtId="0" fontId="54" fillId="0" borderId="37" xfId="0" applyFont="1" applyFill="1" applyBorder="1" applyAlignment="1">
      <alignment horizontal="left"/>
    </xf>
    <xf numFmtId="164" fontId="55" fillId="0" borderId="0" xfId="0" applyNumberFormat="1" applyFont="1" applyFill="1"/>
    <xf numFmtId="164" fontId="12" fillId="0" borderId="0" xfId="0" applyNumberFormat="1" applyFont="1" applyFill="1"/>
    <xf numFmtId="2" fontId="38" fillId="0" borderId="0" xfId="0" applyNumberFormat="1" applyFont="1" applyFill="1" applyBorder="1" applyAlignment="1">
      <alignment horizontal="right"/>
    </xf>
    <xf numFmtId="16" fontId="38" fillId="0" borderId="15" xfId="0" applyNumberFormat="1" applyFont="1" applyFill="1" applyBorder="1"/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7" fillId="0" borderId="46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6" fillId="17" borderId="0" xfId="0" applyFont="1" applyFill="1" applyBorder="1" applyAlignment="1">
      <alignment horizontal="center"/>
    </xf>
    <xf numFmtId="2" fontId="7" fillId="17" borderId="0" xfId="0" applyNumberFormat="1" applyFont="1" applyFill="1"/>
    <xf numFmtId="2" fontId="0" fillId="17" borderId="0" xfId="0" applyNumberFormat="1" applyFill="1"/>
    <xf numFmtId="8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6" fillId="0" borderId="0" xfId="0" applyFont="1"/>
    <xf numFmtId="2" fontId="10" fillId="0" borderId="0" xfId="0" applyNumberFormat="1" applyFont="1"/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2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12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25" fillId="13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0" fontId="57" fillId="0" borderId="37" xfId="0" applyFont="1" applyFill="1" applyBorder="1" applyAlignment="1">
      <alignment horizontal="left"/>
    </xf>
    <xf numFmtId="164" fontId="10" fillId="2" borderId="0" xfId="0" applyNumberFormat="1" applyFont="1" applyFill="1"/>
    <xf numFmtId="0" fontId="48" fillId="2" borderId="0" xfId="0" applyFont="1" applyFill="1" applyAlignment="1">
      <alignment horizontal="left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4" fontId="32" fillId="0" borderId="0" xfId="0" applyNumberFormat="1" applyFont="1" applyFill="1" applyBorder="1"/>
    <xf numFmtId="16" fontId="32" fillId="0" borderId="4" xfId="0" applyNumberFormat="1" applyFont="1" applyBorder="1"/>
    <xf numFmtId="16" fontId="32" fillId="0" borderId="11" xfId="0" applyNumberFormat="1" applyFont="1" applyBorder="1"/>
    <xf numFmtId="0" fontId="32" fillId="0" borderId="13" xfId="0" applyFont="1" applyBorder="1" applyAlignment="1">
      <alignment horizontal="right"/>
    </xf>
    <xf numFmtId="164" fontId="32" fillId="0" borderId="12" xfId="0" applyNumberFormat="1" applyFont="1" applyBorder="1"/>
    <xf numFmtId="4" fontId="0" fillId="9" borderId="0" xfId="0" applyNumberFormat="1" applyFill="1"/>
    <xf numFmtId="2" fontId="32" fillId="0" borderId="7" xfId="0" applyNumberFormat="1" applyFont="1" applyFill="1" applyBorder="1" applyAlignment="1">
      <alignment horizontal="right"/>
    </xf>
    <xf numFmtId="1" fontId="30" fillId="0" borderId="31" xfId="0" applyNumberFormat="1" applyFont="1" applyBorder="1"/>
    <xf numFmtId="0" fontId="13" fillId="0" borderId="10" xfId="0" applyFont="1" applyFill="1" applyBorder="1" applyAlignment="1">
      <alignment horizontal="right" wrapText="1"/>
    </xf>
    <xf numFmtId="16" fontId="30" fillId="0" borderId="4" xfId="0" applyNumberFormat="1" applyFont="1" applyFill="1" applyBorder="1"/>
    <xf numFmtId="2" fontId="30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6" fillId="19" borderId="0" xfId="0" applyFont="1" applyFill="1" applyBorder="1" applyAlignment="1">
      <alignment horizontal="center"/>
    </xf>
    <xf numFmtId="0" fontId="0" fillId="19" borderId="0" xfId="0" applyFill="1"/>
    <xf numFmtId="2" fontId="0" fillId="19" borderId="0" xfId="0" applyNumberFormat="1" applyFill="1"/>
    <xf numFmtId="0" fontId="7" fillId="20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48" fillId="0" borderId="0" xfId="0" applyFont="1" applyFill="1" applyAlignment="1">
      <alignment horizontal="left"/>
    </xf>
    <xf numFmtId="0" fontId="58" fillId="0" borderId="0" xfId="0" applyFont="1" applyFill="1" applyAlignment="1">
      <alignment horizontal="left"/>
    </xf>
    <xf numFmtId="0" fontId="18" fillId="0" borderId="4" xfId="0" applyFont="1" applyFill="1" applyBorder="1"/>
    <xf numFmtId="166" fontId="37" fillId="0" borderId="0" xfId="0" applyNumberFormat="1" applyFont="1" applyFill="1" applyAlignment="1">
      <alignment horizontal="left"/>
    </xf>
    <xf numFmtId="167" fontId="59" fillId="0" borderId="10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16" fontId="33" fillId="0" borderId="0" xfId="0" applyNumberFormat="1" applyFont="1" applyFill="1"/>
    <xf numFmtId="2" fontId="33" fillId="0" borderId="0" xfId="0" applyNumberFormat="1" applyFont="1" applyFill="1"/>
    <xf numFmtId="0" fontId="33" fillId="0" borderId="10" xfId="0" applyFont="1" applyFill="1" applyBorder="1" applyAlignment="1">
      <alignment horizontal="right"/>
    </xf>
    <xf numFmtId="0" fontId="33" fillId="0" borderId="13" xfId="0" applyFont="1" applyFill="1" applyBorder="1" applyAlignment="1">
      <alignment horizontal="right"/>
    </xf>
    <xf numFmtId="164" fontId="33" fillId="0" borderId="12" xfId="0" applyNumberFormat="1" applyFont="1" applyFill="1" applyBorder="1"/>
    <xf numFmtId="16" fontId="33" fillId="0" borderId="4" xfId="0" applyNumberFormat="1" applyFont="1" applyFill="1" applyBorder="1"/>
    <xf numFmtId="164" fontId="33" fillId="0" borderId="0" xfId="0" applyNumberFormat="1" applyFont="1" applyFill="1" applyBorder="1"/>
    <xf numFmtId="2" fontId="33" fillId="0" borderId="5" xfId="0" applyNumberFormat="1" applyFont="1" applyFill="1" applyBorder="1" applyAlignment="1">
      <alignment horizontal="right"/>
    </xf>
    <xf numFmtId="16" fontId="33" fillId="0" borderId="0" xfId="0" applyNumberFormat="1" applyFont="1" applyFill="1" applyBorder="1"/>
    <xf numFmtId="2" fontId="33" fillId="0" borderId="12" xfId="0" applyNumberFormat="1" applyFont="1" applyFill="1" applyBorder="1" applyAlignment="1">
      <alignment horizontal="right"/>
    </xf>
    <xf numFmtId="16" fontId="33" fillId="0" borderId="11" xfId="0" applyNumberFormat="1" applyFont="1" applyBorder="1"/>
    <xf numFmtId="0" fontId="33" fillId="0" borderId="13" xfId="0" applyFont="1" applyBorder="1" applyAlignment="1">
      <alignment horizontal="right"/>
    </xf>
    <xf numFmtId="164" fontId="33" fillId="0" borderId="12" xfId="0" applyNumberFormat="1" applyFont="1" applyBorder="1"/>
    <xf numFmtId="16" fontId="33" fillId="0" borderId="15" xfId="0" applyNumberFormat="1" applyFont="1" applyFill="1" applyBorder="1"/>
    <xf numFmtId="16" fontId="33" fillId="0" borderId="11" xfId="0" applyNumberFormat="1" applyFont="1" applyFill="1" applyBorder="1"/>
    <xf numFmtId="4" fontId="33" fillId="0" borderId="5" xfId="0" applyNumberFormat="1" applyFont="1" applyFill="1" applyBorder="1" applyAlignment="1">
      <alignment horizontal="right"/>
    </xf>
    <xf numFmtId="4" fontId="33" fillId="0" borderId="37" xfId="0" applyNumberFormat="1" applyFont="1" applyFill="1" applyBorder="1" applyAlignment="1">
      <alignment horizontal="right"/>
    </xf>
    <xf numFmtId="15" fontId="33" fillId="0" borderId="10" xfId="0" applyNumberFormat="1" applyFont="1" applyFill="1" applyBorder="1" applyAlignment="1">
      <alignment horizontal="right"/>
    </xf>
    <xf numFmtId="0" fontId="7" fillId="17" borderId="0" xfId="0" applyFont="1" applyFill="1" applyAlignment="1">
      <alignment horizontal="center"/>
    </xf>
    <xf numFmtId="4" fontId="0" fillId="17" borderId="0" xfId="0" applyNumberFormat="1" applyFill="1"/>
    <xf numFmtId="0" fontId="7" fillId="7" borderId="0" xfId="0" applyFont="1" applyFill="1" applyAlignment="1">
      <alignment horizontal="center"/>
    </xf>
    <xf numFmtId="0" fontId="0" fillId="17" borderId="0" xfId="0" applyFill="1"/>
    <xf numFmtId="2" fontId="7" fillId="17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8" fillId="0" borderId="5" xfId="0" applyNumberFormat="1" applyFont="1" applyFill="1" applyBorder="1"/>
    <xf numFmtId="164" fontId="37" fillId="0" borderId="4" xfId="0" applyNumberFormat="1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2" fontId="7" fillId="9" borderId="0" xfId="0" applyNumberFormat="1" applyFont="1" applyFill="1" applyAlignment="1">
      <alignment horizontal="center"/>
    </xf>
    <xf numFmtId="16" fontId="7" fillId="0" borderId="4" xfId="0" applyNumberFormat="1" applyFont="1" applyBorder="1"/>
    <xf numFmtId="0" fontId="7" fillId="0" borderId="10" xfId="0" applyFont="1" applyBorder="1" applyAlignment="1">
      <alignment horizontal="right"/>
    </xf>
    <xf numFmtId="16" fontId="7" fillId="0" borderId="11" xfId="0" applyNumberFormat="1" applyFont="1" applyBorder="1"/>
    <xf numFmtId="0" fontId="7" fillId="0" borderId="13" xfId="0" applyFont="1" applyBorder="1" applyAlignment="1">
      <alignment horizontal="right"/>
    </xf>
    <xf numFmtId="164" fontId="7" fillId="0" borderId="12" xfId="0" applyNumberFormat="1" applyFont="1" applyBorder="1"/>
    <xf numFmtId="2" fontId="7" fillId="14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164" fontId="6" fillId="0" borderId="0" xfId="0" applyNumberFormat="1" applyFont="1" applyFill="1"/>
    <xf numFmtId="0" fontId="0" fillId="12" borderId="0" xfId="0" applyFill="1" applyAlignment="1">
      <alignment horizontal="center"/>
    </xf>
    <xf numFmtId="0" fontId="7" fillId="0" borderId="0" xfId="0" applyFont="1" applyFill="1" applyAlignment="1"/>
    <xf numFmtId="0" fontId="19" fillId="0" borderId="0" xfId="0" applyFont="1" applyFill="1" applyAlignment="1">
      <alignment horizontal="center"/>
    </xf>
    <xf numFmtId="0" fontId="57" fillId="0" borderId="0" xfId="0" applyFont="1" applyFill="1" applyAlignment="1">
      <alignment horizontal="left"/>
    </xf>
    <xf numFmtId="0" fontId="60" fillId="0" borderId="0" xfId="0" applyFont="1" applyFill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166" fontId="13" fillId="0" borderId="0" xfId="0" applyNumberFormat="1" applyFont="1" applyFill="1"/>
    <xf numFmtId="164" fontId="7" fillId="2" borderId="0" xfId="0" applyNumberFormat="1" applyFont="1" applyFill="1"/>
    <xf numFmtId="0" fontId="47" fillId="2" borderId="0" xfId="0" applyFont="1" applyFill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30" fillId="0" borderId="0" xfId="0" applyFont="1" applyFill="1" applyAlignment="1">
      <alignment horizontal="right"/>
    </xf>
    <xf numFmtId="164" fontId="30" fillId="0" borderId="0" xfId="0" applyNumberFormat="1" applyFont="1" applyFill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61" fillId="0" borderId="0" xfId="0" applyFont="1" applyFill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4" fontId="10" fillId="0" borderId="0" xfId="0" applyNumberFormat="1" applyFont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4" fontId="10" fillId="0" borderId="47" xfId="0" applyNumberFormat="1" applyFont="1" applyFill="1" applyBorder="1" applyAlignment="1">
      <alignment horizontal="right"/>
    </xf>
    <xf numFmtId="4" fontId="0" fillId="7" borderId="0" xfId="0" applyNumberFormat="1" applyFill="1"/>
    <xf numFmtId="4" fontId="0" fillId="7" borderId="0" xfId="0" applyNumberFormat="1" applyFill="1" applyAlignment="1">
      <alignment horizontal="center"/>
    </xf>
    <xf numFmtId="4" fontId="7" fillId="7" borderId="0" xfId="0" applyNumberFormat="1" applyFont="1" applyFill="1" applyAlignment="1">
      <alignment horizontal="center"/>
    </xf>
    <xf numFmtId="16" fontId="10" fillId="0" borderId="4" xfId="0" applyNumberFormat="1" applyFont="1" applyBorder="1"/>
    <xf numFmtId="4" fontId="38" fillId="0" borderId="5" xfId="0" applyNumberFormat="1" applyFont="1" applyFill="1" applyBorder="1" applyAlignment="1">
      <alignment horizontal="right"/>
    </xf>
    <xf numFmtId="16" fontId="38" fillId="0" borderId="4" xfId="0" applyNumberFormat="1" applyFont="1" applyFill="1" applyBorder="1"/>
    <xf numFmtId="16" fontId="38" fillId="0" borderId="0" xfId="0" applyNumberFormat="1" applyFont="1" applyFill="1" applyBorder="1"/>
    <xf numFmtId="4" fontId="38" fillId="0" borderId="37" xfId="0" applyNumberFormat="1" applyFont="1" applyFill="1" applyBorder="1" applyAlignment="1">
      <alignment horizontal="right"/>
    </xf>
    <xf numFmtId="4" fontId="38" fillId="0" borderId="47" xfId="0" applyNumberFormat="1" applyFont="1" applyFill="1" applyBorder="1" applyAlignment="1">
      <alignment horizontal="right"/>
    </xf>
    <xf numFmtId="16" fontId="38" fillId="0" borderId="16" xfId="0" applyNumberFormat="1" applyFont="1" applyFill="1" applyBorder="1"/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4" fontId="10" fillId="0" borderId="12" xfId="0" applyNumberFormat="1" applyFont="1" applyFill="1" applyBorder="1"/>
    <xf numFmtId="4" fontId="8" fillId="7" borderId="0" xfId="0" applyNumberFormat="1" applyFont="1" applyFill="1" applyAlignment="1">
      <alignment horizontal="center"/>
    </xf>
    <xf numFmtId="2" fontId="29" fillId="0" borderId="5" xfId="0" applyNumberFormat="1" applyFont="1" applyFill="1" applyBorder="1" applyAlignment="1">
      <alignment horizontal="right"/>
    </xf>
    <xf numFmtId="2" fontId="62" fillId="0" borderId="0" xfId="0" applyNumberFormat="1" applyFont="1" applyFill="1" applyBorder="1" applyAlignment="1">
      <alignment horizontal="right"/>
    </xf>
    <xf numFmtId="16" fontId="62" fillId="0" borderId="15" xfId="0" applyNumberFormat="1" applyFont="1" applyFill="1" applyBorder="1"/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2" fontId="63" fillId="0" borderId="0" xfId="0" applyNumberFormat="1" applyFont="1" applyFill="1" applyBorder="1" applyAlignment="1">
      <alignment horizontal="right"/>
    </xf>
    <xf numFmtId="16" fontId="63" fillId="0" borderId="15" xfId="0" applyNumberFormat="1" applyFont="1" applyFill="1" applyBorder="1"/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0" fontId="63" fillId="0" borderId="37" xfId="0" applyFont="1" applyFill="1" applyBorder="1" applyAlignment="1">
      <alignment horizontal="right"/>
    </xf>
    <xf numFmtId="164" fontId="63" fillId="0" borderId="0" xfId="0" applyNumberFormat="1" applyFont="1" applyFill="1" applyBorder="1"/>
    <xf numFmtId="0" fontId="25" fillId="7" borderId="0" xfId="0" applyFont="1" applyFill="1" applyAlignment="1">
      <alignment horizontal="center"/>
    </xf>
    <xf numFmtId="4" fontId="7" fillId="7" borderId="0" xfId="0" applyNumberFormat="1" applyFont="1" applyFill="1"/>
    <xf numFmtId="2" fontId="0" fillId="17" borderId="5" xfId="0" applyNumberFormat="1" applyFill="1" applyBorder="1" applyAlignment="1">
      <alignment horizontal="right"/>
    </xf>
    <xf numFmtId="0" fontId="64" fillId="0" borderId="4" xfId="0" applyFont="1" applyFill="1" applyBorder="1"/>
    <xf numFmtId="2" fontId="7" fillId="7" borderId="0" xfId="0" applyNumberFormat="1" applyFont="1" applyFill="1"/>
    <xf numFmtId="0" fontId="18" fillId="7" borderId="0" xfId="0" applyFont="1" applyFill="1" applyBorder="1" applyAlignment="1">
      <alignment horizontal="center"/>
    </xf>
    <xf numFmtId="2" fontId="0" fillId="7" borderId="0" xfId="0" applyNumberFormat="1" applyFill="1"/>
    <xf numFmtId="0" fontId="7" fillId="17" borderId="0" xfId="0" applyFont="1" applyFill="1" applyBorder="1" applyAlignment="1">
      <alignment horizontal="center"/>
    </xf>
    <xf numFmtId="44" fontId="10" fillId="2" borderId="0" xfId="1" applyFont="1" applyFill="1" applyBorder="1" applyAlignment="1">
      <alignment horizontal="center" vertical="center" wrapText="1"/>
    </xf>
    <xf numFmtId="44" fontId="26" fillId="2" borderId="45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right"/>
    </xf>
    <xf numFmtId="44" fontId="7" fillId="2" borderId="0" xfId="1" applyFont="1" applyFill="1" applyBorder="1" applyAlignment="1">
      <alignment horizontal="right"/>
    </xf>
    <xf numFmtId="44" fontId="7" fillId="0" borderId="0" xfId="1" applyFont="1" applyFill="1" applyAlignment="1">
      <alignment horizontal="right"/>
    </xf>
    <xf numFmtId="44" fontId="7" fillId="10" borderId="0" xfId="1" applyFont="1" applyFill="1" applyBorder="1" applyAlignment="1">
      <alignment horizontal="right"/>
    </xf>
    <xf numFmtId="44" fontId="7" fillId="10" borderId="0" xfId="1" applyFont="1" applyFill="1" applyAlignment="1">
      <alignment horizontal="right"/>
    </xf>
    <xf numFmtId="44" fontId="7" fillId="0" borderId="18" xfId="1" applyFont="1" applyBorder="1" applyAlignment="1">
      <alignment horizontal="right"/>
    </xf>
    <xf numFmtId="44" fontId="7" fillId="0" borderId="0" xfId="1" applyFont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 wrapText="1"/>
    </xf>
    <xf numFmtId="0" fontId="18" fillId="9" borderId="0" xfId="0" applyFont="1" applyFill="1"/>
    <xf numFmtId="0" fontId="25" fillId="9" borderId="0" xfId="0" applyFont="1" applyFill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9933"/>
      <color rgb="FF00FF00"/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abSelected="1" workbookViewId="0">
      <pane xSplit="10" ySplit="2" topLeftCell="K12" activePane="bottomRight" state="frozen"/>
      <selection pane="topRight" activeCell="K1" sqref="K1"/>
      <selection pane="bottomLeft" activeCell="A3" sqref="A3"/>
      <selection pane="bottomRight" activeCell="J32" sqref="J32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1" customWidth="1"/>
    <col min="7" max="7" width="7.28515625" customWidth="1"/>
    <col min="8" max="8" width="11.85546875" bestFit="1" customWidth="1"/>
    <col min="9" max="9" width="10.7109375" bestFit="1" customWidth="1"/>
    <col min="10" max="10" width="10.5703125" style="271" customWidth="1"/>
    <col min="11" max="11" width="12.5703125" bestFit="1" customWidth="1"/>
    <col min="12" max="12" width="12.5703125" style="279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740" customWidth="1"/>
    <col min="17" max="17" width="16.5703125" style="131" bestFit="1" customWidth="1"/>
    <col min="18" max="18" width="13.42578125" style="351" customWidth="1"/>
    <col min="19" max="19" width="14.140625" bestFit="1" customWidth="1"/>
    <col min="20" max="20" width="10.28515625" customWidth="1"/>
  </cols>
  <sheetData>
    <row r="1" spans="1:20" ht="32.25" thickTop="1" thickBot="1" x14ac:dyDescent="0.5">
      <c r="A1" s="25"/>
      <c r="B1" s="418" t="s">
        <v>432</v>
      </c>
      <c r="C1" s="70"/>
      <c r="D1" s="194"/>
      <c r="E1" s="154"/>
      <c r="F1" s="85"/>
      <c r="G1" s="84"/>
      <c r="H1" s="84"/>
      <c r="I1" s="84"/>
      <c r="K1" s="741" t="s">
        <v>26</v>
      </c>
      <c r="L1" s="278"/>
      <c r="M1" s="743" t="s">
        <v>27</v>
      </c>
      <c r="N1" s="91"/>
      <c r="O1" s="248"/>
      <c r="P1" s="732" t="s">
        <v>39</v>
      </c>
      <c r="Q1" s="745" t="s">
        <v>28</v>
      </c>
      <c r="R1" s="347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55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742"/>
      <c r="L2" s="280" t="s">
        <v>29</v>
      </c>
      <c r="M2" s="744"/>
      <c r="N2" s="5" t="s">
        <v>29</v>
      </c>
      <c r="O2" s="97" t="s">
        <v>30</v>
      </c>
      <c r="P2" s="733" t="s">
        <v>40</v>
      </c>
      <c r="Q2" s="746"/>
      <c r="R2" s="348" t="s">
        <v>29</v>
      </c>
    </row>
    <row r="3" spans="1:20" s="435" customFormat="1" ht="15.75" thickTop="1" x14ac:dyDescent="0.25">
      <c r="A3" s="439"/>
      <c r="B3" s="358">
        <f>PIERNA!B3</f>
        <v>0</v>
      </c>
      <c r="C3" s="358">
        <f>PIERNA!C3</f>
        <v>0</v>
      </c>
      <c r="D3" s="266">
        <f>PIERNA!D3</f>
        <v>0</v>
      </c>
      <c r="E3" s="440">
        <f>PIERNA!E3</f>
        <v>0</v>
      </c>
      <c r="F3" s="346">
        <f>PIERNA!F3</f>
        <v>0</v>
      </c>
      <c r="G3" s="193">
        <f>PIERNA!G3</f>
        <v>0</v>
      </c>
      <c r="H3" s="65">
        <f>PIERNA!H3</f>
        <v>0</v>
      </c>
      <c r="I3" s="441">
        <f>PIERNA!I3</f>
        <v>-62.180000000000291</v>
      </c>
      <c r="J3" s="442"/>
      <c r="K3" s="210"/>
      <c r="L3" s="443"/>
      <c r="M3" s="108"/>
      <c r="N3" s="444"/>
      <c r="O3" s="181"/>
      <c r="P3" s="734"/>
      <c r="Q3" s="261"/>
      <c r="R3" s="445"/>
      <c r="S3" s="108">
        <f t="shared" ref="S3:S31" si="0">Q3+M3+K3+P3</f>
        <v>0</v>
      </c>
      <c r="T3" s="108" t="e">
        <f>S3/H3</f>
        <v>#DIV/0!</v>
      </c>
    </row>
    <row r="4" spans="1:20" s="435" customFormat="1" x14ac:dyDescent="0.25">
      <c r="A4" s="439">
        <v>1</v>
      </c>
      <c r="B4" s="358" t="str">
        <f>PIERNA!B4</f>
        <v xml:space="preserve">SEABOARD FOODS </v>
      </c>
      <c r="C4" s="358" t="str">
        <f>PIERNA!C4</f>
        <v>Seaboard</v>
      </c>
      <c r="D4" s="196" t="str">
        <f>PIERNA!D4</f>
        <v>PED. 5003978</v>
      </c>
      <c r="E4" s="156">
        <f>PIERNA!E4</f>
        <v>42278</v>
      </c>
      <c r="F4" s="346">
        <f>PIERNA!F4</f>
        <v>19095.62</v>
      </c>
      <c r="G4" s="193">
        <f>PIERNA!G4</f>
        <v>21</v>
      </c>
      <c r="H4" s="65">
        <f>PIERNA!H4</f>
        <v>19157.8</v>
      </c>
      <c r="I4" s="441">
        <f>PIERNA!I4</f>
        <v>-62.180000000000291</v>
      </c>
      <c r="J4" s="260" t="s">
        <v>515</v>
      </c>
      <c r="K4" s="210">
        <v>8655</v>
      </c>
      <c r="L4" s="477" t="s">
        <v>572</v>
      </c>
      <c r="M4" s="116">
        <v>21460</v>
      </c>
      <c r="N4" s="481" t="s">
        <v>570</v>
      </c>
      <c r="O4" s="181">
        <v>1185766</v>
      </c>
      <c r="P4" s="735">
        <v>2958</v>
      </c>
      <c r="Q4" s="328">
        <v>508258.55</v>
      </c>
      <c r="R4" s="601" t="s">
        <v>568</v>
      </c>
      <c r="S4" s="108">
        <f t="shared" si="0"/>
        <v>541331.55000000005</v>
      </c>
      <c r="T4" s="108">
        <f>S4/H4</f>
        <v>28.256456900061597</v>
      </c>
    </row>
    <row r="5" spans="1:20" s="435" customFormat="1" x14ac:dyDescent="0.25">
      <c r="A5" s="439">
        <v>2</v>
      </c>
      <c r="B5" s="358" t="str">
        <f>PIERNA!B5</f>
        <v>SEABAORD FOODS</v>
      </c>
      <c r="C5" s="358" t="str">
        <f>PIERNA!C5</f>
        <v>Seaboard</v>
      </c>
      <c r="D5" s="196" t="str">
        <f>PIERNA!D5</f>
        <v>PED. 5003984</v>
      </c>
      <c r="E5" s="156">
        <f>PIERNA!E5</f>
        <v>42279</v>
      </c>
      <c r="F5" s="346">
        <f>PIERNA!F5</f>
        <v>19152.57</v>
      </c>
      <c r="G5" s="193">
        <f>PIERNA!G5</f>
        <v>21</v>
      </c>
      <c r="H5" s="65">
        <f>PIERNA!H5</f>
        <v>19292.900000000001</v>
      </c>
      <c r="I5" s="441">
        <f>PIERNA!I5</f>
        <v>-140.33000000000175</v>
      </c>
      <c r="J5" s="273" t="s">
        <v>516</v>
      </c>
      <c r="K5" s="210">
        <v>8642</v>
      </c>
      <c r="L5" s="477" t="s">
        <v>572</v>
      </c>
      <c r="M5" s="116">
        <v>20300</v>
      </c>
      <c r="N5" s="481" t="s">
        <v>575</v>
      </c>
      <c r="O5" s="181">
        <v>1185767</v>
      </c>
      <c r="P5" s="734">
        <v>3074</v>
      </c>
      <c r="Q5" s="328">
        <v>519618.23</v>
      </c>
      <c r="R5" s="674" t="s">
        <v>568</v>
      </c>
      <c r="S5" s="108">
        <f t="shared" si="0"/>
        <v>551634.23</v>
      </c>
      <c r="T5" s="108">
        <f>S5/H5+0.1</f>
        <v>28.692602978297714</v>
      </c>
    </row>
    <row r="6" spans="1:20" s="435" customFormat="1" x14ac:dyDescent="0.25">
      <c r="A6" s="439">
        <v>3</v>
      </c>
      <c r="B6" s="358" t="str">
        <f>PIERNA!B6</f>
        <v>INDIANA PACKERS Co</v>
      </c>
      <c r="C6" s="358" t="str">
        <f>PIERNA!C6</f>
        <v>INDIANA</v>
      </c>
      <c r="D6" s="196" t="str">
        <f>PIERNA!D6</f>
        <v>PED. 5003991</v>
      </c>
      <c r="E6" s="448">
        <f>PIERNA!E6</f>
        <v>42280</v>
      </c>
      <c r="F6" s="346">
        <f>PIERNA!F6</f>
        <v>18740.13</v>
      </c>
      <c r="G6" s="193">
        <f>PIERNA!G6</f>
        <v>19</v>
      </c>
      <c r="H6" s="65">
        <f>PIERNA!H6</f>
        <v>18825</v>
      </c>
      <c r="I6" s="441">
        <f>PIERNA!I6</f>
        <v>-84.869999999998981</v>
      </c>
      <c r="J6" s="772" t="s">
        <v>517</v>
      </c>
      <c r="K6" s="210">
        <v>8668</v>
      </c>
      <c r="L6" s="477" t="s">
        <v>573</v>
      </c>
      <c r="M6" s="116">
        <v>21460</v>
      </c>
      <c r="N6" s="481" t="s">
        <v>571</v>
      </c>
      <c r="O6" s="731"/>
      <c r="P6" s="734">
        <v>2958</v>
      </c>
      <c r="Q6" s="328">
        <f>30000*16.91</f>
        <v>507300</v>
      </c>
      <c r="R6" s="675" t="s">
        <v>568</v>
      </c>
      <c r="S6" s="108">
        <f t="shared" si="0"/>
        <v>540386</v>
      </c>
      <c r="T6" s="108">
        <f t="shared" ref="T6:T63" si="1">S6/H6+0.1</f>
        <v>28.805763612217795</v>
      </c>
    </row>
    <row r="7" spans="1:20" s="435" customFormat="1" ht="15.75" customHeight="1" x14ac:dyDescent="0.25">
      <c r="A7" s="439">
        <v>4</v>
      </c>
      <c r="B7" s="358" t="str">
        <f>PIERNA!B7</f>
        <v>SMITHFIELD FARMLAND</v>
      </c>
      <c r="C7" s="358" t="str">
        <f>PIERNA!C7</f>
        <v>Farmland</v>
      </c>
      <c r="D7" s="196" t="str">
        <f>PIERNA!D7</f>
        <v>PED. 5003992</v>
      </c>
      <c r="E7" s="156">
        <f>PIERNA!E7</f>
        <v>42280</v>
      </c>
      <c r="F7" s="346">
        <f>PIERNA!F7</f>
        <v>18536.96</v>
      </c>
      <c r="G7" s="193">
        <f>PIERNA!G7</f>
        <v>20</v>
      </c>
      <c r="H7" s="65">
        <f>PIERNA!H7</f>
        <v>18445.37</v>
      </c>
      <c r="I7" s="441">
        <f>PIERNA!I7</f>
        <v>91.590000000000146</v>
      </c>
      <c r="J7" s="133" t="s">
        <v>518</v>
      </c>
      <c r="K7" s="228">
        <v>8668</v>
      </c>
      <c r="L7" s="477" t="s">
        <v>573</v>
      </c>
      <c r="M7" s="116">
        <v>21460</v>
      </c>
      <c r="N7" s="482" t="s">
        <v>571</v>
      </c>
      <c r="O7" s="181">
        <v>95068716</v>
      </c>
      <c r="P7" s="734">
        <v>2668</v>
      </c>
      <c r="Q7" s="212">
        <f>27969.21*16.725</f>
        <v>467785.03725000005</v>
      </c>
      <c r="R7" s="484" t="s">
        <v>606</v>
      </c>
      <c r="S7" s="108">
        <f t="shared" si="0"/>
        <v>500581.03725000005</v>
      </c>
      <c r="T7" s="108">
        <f t="shared" si="1"/>
        <v>27.238573921260464</v>
      </c>
    </row>
    <row r="8" spans="1:20" s="435" customFormat="1" x14ac:dyDescent="0.25">
      <c r="A8" s="439">
        <v>5</v>
      </c>
      <c r="B8" s="358" t="str">
        <f>PIERNA!B8</f>
        <v xml:space="preserve">MANSIVA Comercializadora </v>
      </c>
      <c r="C8" s="358" t="str">
        <f>PIERNA!C8</f>
        <v xml:space="preserve">INDIANA </v>
      </c>
      <c r="D8" s="196" t="str">
        <f>PIERNA!D8</f>
        <v>PED. 5020771</v>
      </c>
      <c r="E8" s="156">
        <f>PIERNA!E8</f>
        <v>42281</v>
      </c>
      <c r="F8" s="346">
        <f>PIERNA!F8</f>
        <v>18980.13</v>
      </c>
      <c r="G8" s="193">
        <f>PIERNA!G8</f>
        <v>19</v>
      </c>
      <c r="H8" s="65">
        <f>PIERNA!H8</f>
        <v>19046.21</v>
      </c>
      <c r="I8" s="441">
        <f>PIERNA!I8</f>
        <v>-66.079999999998108</v>
      </c>
      <c r="J8" s="273"/>
      <c r="K8" s="210"/>
      <c r="L8" s="477"/>
      <c r="M8" s="116"/>
      <c r="N8" s="481"/>
      <c r="O8" s="527" t="s">
        <v>608</v>
      </c>
      <c r="P8" s="734">
        <v>0</v>
      </c>
      <c r="Q8" s="212">
        <f>32667.44*16.76</f>
        <v>547506.29440000001</v>
      </c>
      <c r="R8" s="484" t="s">
        <v>609</v>
      </c>
      <c r="S8" s="108">
        <f t="shared" si="0"/>
        <v>547506.29440000001</v>
      </c>
      <c r="T8" s="108">
        <f t="shared" si="1"/>
        <v>28.846206956659621</v>
      </c>
    </row>
    <row r="9" spans="1:20" s="435" customFormat="1" x14ac:dyDescent="0.25">
      <c r="A9" s="439">
        <v>6</v>
      </c>
      <c r="B9" s="358" t="str">
        <f>PIERNA!B9</f>
        <v>SEABOARD FOODS</v>
      </c>
      <c r="C9" s="358" t="str">
        <f>PIERNA!C9</f>
        <v>Seaboard</v>
      </c>
      <c r="D9" s="196" t="str">
        <f>PIERNA!D9</f>
        <v>PED. 5003993</v>
      </c>
      <c r="E9" s="156">
        <f>PIERNA!E9</f>
        <v>42281</v>
      </c>
      <c r="F9" s="346">
        <f>PIERNA!F9</f>
        <v>19115.25</v>
      </c>
      <c r="G9" s="193">
        <f>PIERNA!G9</f>
        <v>21</v>
      </c>
      <c r="H9" s="65">
        <f>PIERNA!H9</f>
        <v>19286.7</v>
      </c>
      <c r="I9" s="441">
        <f>PIERNA!I9</f>
        <v>-171.45000000000073</v>
      </c>
      <c r="J9" s="273" t="s">
        <v>519</v>
      </c>
      <c r="K9" s="210">
        <v>8668</v>
      </c>
      <c r="L9" s="478" t="s">
        <v>573</v>
      </c>
      <c r="M9" s="116">
        <v>21460</v>
      </c>
      <c r="N9" s="481" t="s">
        <v>571</v>
      </c>
      <c r="O9" s="181">
        <v>1186171</v>
      </c>
      <c r="P9" s="734">
        <v>3074</v>
      </c>
      <c r="Q9" s="328">
        <v>535959.4</v>
      </c>
      <c r="R9" s="625" t="s">
        <v>569</v>
      </c>
      <c r="S9" s="108">
        <f t="shared" si="0"/>
        <v>569161.4</v>
      </c>
      <c r="T9" s="108">
        <f t="shared" si="1"/>
        <v>29.610564274862991</v>
      </c>
    </row>
    <row r="10" spans="1:20" s="435" customFormat="1" x14ac:dyDescent="0.25">
      <c r="A10" s="439">
        <v>7</v>
      </c>
      <c r="B10" s="358" t="str">
        <f>PIERNA!B10</f>
        <v>SMITHFIELD FARMLAND</v>
      </c>
      <c r="C10" s="358" t="str">
        <f>PIERNA!C10</f>
        <v>Farmland</v>
      </c>
      <c r="D10" s="196" t="str">
        <f>PIERNA!D10</f>
        <v>PED. 5004011</v>
      </c>
      <c r="E10" s="156">
        <f>PIERNA!E10</f>
        <v>42283</v>
      </c>
      <c r="F10" s="346">
        <f>PIERNA!F10</f>
        <v>18610.61</v>
      </c>
      <c r="G10" s="193">
        <f>PIERNA!G10</f>
        <v>20</v>
      </c>
      <c r="H10" s="65">
        <f>PIERNA!H10</f>
        <v>18621.759999999998</v>
      </c>
      <c r="I10" s="441">
        <f>PIERNA!I10</f>
        <v>-11.149999999997817</v>
      </c>
      <c r="J10" s="133" t="s">
        <v>523</v>
      </c>
      <c r="K10" s="210">
        <v>8616</v>
      </c>
      <c r="L10" s="477" t="s">
        <v>574</v>
      </c>
      <c r="M10" s="116">
        <v>21460</v>
      </c>
      <c r="N10" s="481" t="s">
        <v>575</v>
      </c>
      <c r="O10" s="181">
        <v>95073287</v>
      </c>
      <c r="P10" s="734">
        <v>3074</v>
      </c>
      <c r="Q10" s="116">
        <f>30162.48*16.725</f>
        <v>504467.47800000006</v>
      </c>
      <c r="R10" s="484" t="s">
        <v>606</v>
      </c>
      <c r="S10" s="108">
        <f t="shared" si="0"/>
        <v>537617.47800000012</v>
      </c>
      <c r="T10" s="108">
        <f t="shared" si="1"/>
        <v>28.970390231642991</v>
      </c>
    </row>
    <row r="11" spans="1:20" s="435" customFormat="1" x14ac:dyDescent="0.25">
      <c r="A11" s="439">
        <v>8</v>
      </c>
      <c r="B11" s="358" t="str">
        <f>PIERNA!B11</f>
        <v>SMITHFIELD FARMLAND</v>
      </c>
      <c r="C11" s="358" t="str">
        <f>PIERNA!C11</f>
        <v>Farmland</v>
      </c>
      <c r="D11" s="196" t="str">
        <f>PIERNA!D11</f>
        <v>PED. 5004012</v>
      </c>
      <c r="E11" s="156">
        <f>PIERNA!E11</f>
        <v>42283</v>
      </c>
      <c r="F11" s="346">
        <f>PIERNA!F11</f>
        <v>18431.509999999998</v>
      </c>
      <c r="G11" s="193">
        <f>PIERNA!G11</f>
        <v>20</v>
      </c>
      <c r="H11" s="65">
        <f>PIERNA!H11</f>
        <v>18463.939999999999</v>
      </c>
      <c r="I11" s="441">
        <f>PIERNA!I11</f>
        <v>-32.430000000000291</v>
      </c>
      <c r="J11" s="260" t="s">
        <v>524</v>
      </c>
      <c r="K11" s="210">
        <v>8616</v>
      </c>
      <c r="L11" s="477" t="s">
        <v>574</v>
      </c>
      <c r="M11" s="116">
        <v>21460</v>
      </c>
      <c r="N11" s="481" t="s">
        <v>577</v>
      </c>
      <c r="O11" s="181">
        <v>95073288</v>
      </c>
      <c r="P11" s="734">
        <v>3074</v>
      </c>
      <c r="Q11" s="676">
        <f>31198.37*16.63</f>
        <v>518828.89309999993</v>
      </c>
      <c r="R11" s="484" t="s">
        <v>606</v>
      </c>
      <c r="S11" s="108">
        <f t="shared" si="0"/>
        <v>551978.89309999999</v>
      </c>
      <c r="T11" s="108">
        <f>S11/H11</f>
        <v>29.894967872512584</v>
      </c>
    </row>
    <row r="12" spans="1:20" s="435" customFormat="1" x14ac:dyDescent="0.25">
      <c r="A12" s="439">
        <v>9</v>
      </c>
      <c r="B12" s="358" t="str">
        <f>PIERNA!B12</f>
        <v>SMITHFIELD FARMLAND</v>
      </c>
      <c r="C12" s="358" t="str">
        <f>PIERNA!C12</f>
        <v>Farmland</v>
      </c>
      <c r="D12" s="196" t="str">
        <f>PIERNA!D12</f>
        <v>PED. 5004016</v>
      </c>
      <c r="E12" s="156">
        <f>PIERNA!E12</f>
        <v>42284</v>
      </c>
      <c r="F12" s="346">
        <f>PIERNA!F12</f>
        <v>18301.060000000001</v>
      </c>
      <c r="G12" s="193">
        <f>PIERNA!G12</f>
        <v>20</v>
      </c>
      <c r="H12" s="65">
        <f>PIERNA!H12</f>
        <v>18480.27</v>
      </c>
      <c r="I12" s="441">
        <f>PIERNA!I12</f>
        <v>-179.20999999999913</v>
      </c>
      <c r="J12" s="515" t="s">
        <v>525</v>
      </c>
      <c r="K12" s="210">
        <v>8629</v>
      </c>
      <c r="L12" s="477" t="s">
        <v>576</v>
      </c>
      <c r="M12" s="116">
        <v>21460</v>
      </c>
      <c r="N12" s="481" t="s">
        <v>577</v>
      </c>
      <c r="O12" s="181">
        <v>95075063</v>
      </c>
      <c r="P12" s="734">
        <v>3074</v>
      </c>
      <c r="Q12" s="116">
        <f>29882*16.63</f>
        <v>496937.66</v>
      </c>
      <c r="R12" s="484" t="s">
        <v>607</v>
      </c>
      <c r="S12" s="108">
        <f t="shared" si="0"/>
        <v>530100.65999999992</v>
      </c>
      <c r="T12" s="108">
        <f t="shared" si="1"/>
        <v>28.784681554977276</v>
      </c>
    </row>
    <row r="13" spans="1:20" s="435" customFormat="1" x14ac:dyDescent="0.25">
      <c r="A13" s="439">
        <v>10</v>
      </c>
      <c r="B13" s="358" t="str">
        <f>PIERNA!B13</f>
        <v>SEABOARD FOODS</v>
      </c>
      <c r="C13" s="358" t="str">
        <f>PIERNA!C13</f>
        <v>Seaboard</v>
      </c>
      <c r="D13" s="196" t="str">
        <f>PIERNA!D13</f>
        <v>PED. 5004025</v>
      </c>
      <c r="E13" s="156">
        <f>PIERNA!E13</f>
        <v>42285</v>
      </c>
      <c r="F13" s="346">
        <f>PIERNA!F13</f>
        <v>19290.2</v>
      </c>
      <c r="G13" s="193">
        <f>PIERNA!G13</f>
        <v>21</v>
      </c>
      <c r="H13" s="65">
        <f>PIERNA!H13</f>
        <v>19349.3</v>
      </c>
      <c r="I13" s="441">
        <f>PIERNA!I13</f>
        <v>-59.099999999998545</v>
      </c>
      <c r="J13" s="260" t="s">
        <v>604</v>
      </c>
      <c r="K13" s="210">
        <v>8564</v>
      </c>
      <c r="L13" s="477" t="s">
        <v>577</v>
      </c>
      <c r="M13" s="116">
        <v>21460</v>
      </c>
      <c r="N13" s="481" t="s">
        <v>578</v>
      </c>
      <c r="O13" s="181">
        <v>1187893</v>
      </c>
      <c r="P13" s="734">
        <v>3190</v>
      </c>
      <c r="Q13" s="116">
        <f>32044.69*16.885</f>
        <v>541074.59065000003</v>
      </c>
      <c r="R13" s="484" t="s">
        <v>603</v>
      </c>
      <c r="S13" s="108">
        <f t="shared" si="0"/>
        <v>574288.59065000003</v>
      </c>
      <c r="T13" s="108">
        <f t="shared" si="1"/>
        <v>29.780070630462088</v>
      </c>
    </row>
    <row r="14" spans="1:20" s="435" customFormat="1" x14ac:dyDescent="0.25">
      <c r="A14" s="439">
        <v>11</v>
      </c>
      <c r="B14" s="358" t="str">
        <f>PIERNA!B14</f>
        <v>ADAMS INT  MORELIA</v>
      </c>
      <c r="C14" s="358" t="str">
        <f>PIERNA!C14</f>
        <v>INDIANA</v>
      </c>
      <c r="D14" s="196" t="str">
        <f>PIERNA!D14</f>
        <v>PED. 5021595</v>
      </c>
      <c r="E14" s="156">
        <f>PIERNA!E14</f>
        <v>42287</v>
      </c>
      <c r="F14" s="346">
        <f>PIERNA!F14</f>
        <v>18980.13</v>
      </c>
      <c r="G14" s="193">
        <f>PIERNA!G14</f>
        <v>19</v>
      </c>
      <c r="H14" s="65">
        <f>PIERNA!H14</f>
        <v>19031</v>
      </c>
      <c r="I14" s="441">
        <f>PIERNA!I14</f>
        <v>-50.869999999998981</v>
      </c>
      <c r="J14" s="260"/>
      <c r="K14" s="210"/>
      <c r="L14" s="477"/>
      <c r="M14" s="116"/>
      <c r="N14" s="481"/>
      <c r="O14" s="181" t="s">
        <v>587</v>
      </c>
      <c r="P14" s="734">
        <v>0</v>
      </c>
      <c r="Q14" s="116">
        <v>576605.36</v>
      </c>
      <c r="R14" s="484" t="s">
        <v>585</v>
      </c>
      <c r="S14" s="108">
        <f t="shared" si="0"/>
        <v>576605.36</v>
      </c>
      <c r="T14" s="108">
        <f t="shared" si="1"/>
        <v>30.398216593978248</v>
      </c>
    </row>
    <row r="15" spans="1:20" s="435" customFormat="1" x14ac:dyDescent="0.25">
      <c r="A15" s="439">
        <v>12</v>
      </c>
      <c r="B15" s="358" t="str">
        <f>PIERNA!B15</f>
        <v>SEABOARD FOODS</v>
      </c>
      <c r="C15" s="358" t="str">
        <f>PIERNA!C15</f>
        <v>Seaboard</v>
      </c>
      <c r="D15" s="196" t="str">
        <f>PIERNA!D15</f>
        <v>PED. 5004029</v>
      </c>
      <c r="E15" s="156">
        <f>PIERNA!E15</f>
        <v>42286</v>
      </c>
      <c r="F15" s="346">
        <f>PIERNA!F15</f>
        <v>18429.23</v>
      </c>
      <c r="G15" s="193">
        <f>PIERNA!G15</f>
        <v>20</v>
      </c>
      <c r="H15" s="65">
        <f>PIERNA!H15</f>
        <v>18383.099999999999</v>
      </c>
      <c r="I15" s="441">
        <f>PIERNA!I15</f>
        <v>46.130000000001019</v>
      </c>
      <c r="J15" s="260" t="s">
        <v>526</v>
      </c>
      <c r="K15" s="210">
        <v>8616</v>
      </c>
      <c r="L15" s="477" t="s">
        <v>578</v>
      </c>
      <c r="M15" s="116">
        <v>21460</v>
      </c>
      <c r="N15" s="481" t="s">
        <v>579</v>
      </c>
      <c r="O15" s="181">
        <v>1188029</v>
      </c>
      <c r="P15" s="734">
        <v>3132</v>
      </c>
      <c r="Q15" s="116">
        <f>31595.63*16.885</f>
        <v>533492.21255000005</v>
      </c>
      <c r="R15" s="484" t="s">
        <v>603</v>
      </c>
      <c r="S15" s="108">
        <f t="shared" si="0"/>
        <v>566700.21255000005</v>
      </c>
      <c r="T15" s="108">
        <f>S15/H15</f>
        <v>30.82723874373746</v>
      </c>
    </row>
    <row r="16" spans="1:20" s="435" customFormat="1" x14ac:dyDescent="0.25">
      <c r="A16" s="439">
        <v>13</v>
      </c>
      <c r="B16" s="358" t="str">
        <f>PIERNA!B16</f>
        <v>SEABOARD FOODS</v>
      </c>
      <c r="C16" s="358" t="str">
        <f>PIERNA!C16</f>
        <v>Seaboard</v>
      </c>
      <c r="D16" s="196" t="str">
        <f>PIERNA!D16</f>
        <v>PED. 5004036</v>
      </c>
      <c r="E16" s="156">
        <f>PIERNA!E16</f>
        <v>42287</v>
      </c>
      <c r="F16" s="346">
        <f>PIERNA!F16</f>
        <v>19185.830000000002</v>
      </c>
      <c r="G16" s="193">
        <f>PIERNA!G16</f>
        <v>21</v>
      </c>
      <c r="H16" s="65">
        <f>PIERNA!H16</f>
        <v>19305</v>
      </c>
      <c r="I16" s="441">
        <f>PIERNA!I16</f>
        <v>-119.16999999999825</v>
      </c>
      <c r="J16" s="260" t="s">
        <v>527</v>
      </c>
      <c r="K16" s="210">
        <v>8590</v>
      </c>
      <c r="L16" s="477" t="s">
        <v>580</v>
      </c>
      <c r="M16" s="116">
        <v>21460</v>
      </c>
      <c r="N16" s="481" t="s">
        <v>581</v>
      </c>
      <c r="O16" s="181">
        <v>1188436</v>
      </c>
      <c r="P16" s="734">
        <v>3248</v>
      </c>
      <c r="Q16" s="116">
        <f>33426.62*16.73</f>
        <v>559227.3526000001</v>
      </c>
      <c r="R16" s="484" t="s">
        <v>605</v>
      </c>
      <c r="S16" s="108">
        <f t="shared" si="0"/>
        <v>592525.3526000001</v>
      </c>
      <c r="T16" s="108">
        <f t="shared" si="1"/>
        <v>30.792843957523964</v>
      </c>
    </row>
    <row r="17" spans="1:20" s="435" customFormat="1" x14ac:dyDescent="0.25">
      <c r="A17" s="439">
        <v>14</v>
      </c>
      <c r="B17" s="358" t="str">
        <f>PIERNA!B17</f>
        <v>SMTHFIELD FARMLAND</v>
      </c>
      <c r="C17" s="358" t="str">
        <f>PIERNA!C17</f>
        <v>Smithfield</v>
      </c>
      <c r="D17" s="196" t="str">
        <f>PIERNA!D17</f>
        <v>PED. 5004035</v>
      </c>
      <c r="E17" s="156">
        <f>PIERNA!E17</f>
        <v>42287</v>
      </c>
      <c r="F17" s="346">
        <f>PIERNA!F17</f>
        <v>18920.61</v>
      </c>
      <c r="G17" s="193">
        <f>PIERNA!G17</f>
        <v>20</v>
      </c>
      <c r="H17" s="65">
        <f>PIERNA!H17</f>
        <v>18999.55</v>
      </c>
      <c r="I17" s="441">
        <f>PIERNA!I17</f>
        <v>-78.93999999999869</v>
      </c>
      <c r="J17" s="492" t="s">
        <v>528</v>
      </c>
      <c r="K17" s="210">
        <v>8590</v>
      </c>
      <c r="L17" s="477" t="s">
        <v>580</v>
      </c>
      <c r="M17" s="116">
        <v>21460</v>
      </c>
      <c r="N17" s="481" t="s">
        <v>581</v>
      </c>
      <c r="O17" s="181">
        <v>95078374</v>
      </c>
      <c r="P17" s="734">
        <v>3190</v>
      </c>
      <c r="Q17" s="116">
        <f>32451.09*16.475</f>
        <v>534631.70775000006</v>
      </c>
      <c r="R17" s="485" t="s">
        <v>612</v>
      </c>
      <c r="S17" s="108">
        <f t="shared" si="0"/>
        <v>567871.70775000006</v>
      </c>
      <c r="T17" s="108">
        <f t="shared" si="1"/>
        <v>29.988692508506787</v>
      </c>
    </row>
    <row r="18" spans="1:20" s="435" customFormat="1" x14ac:dyDescent="0.25">
      <c r="A18" s="439">
        <v>15</v>
      </c>
      <c r="B18" s="358" t="str">
        <f>PIERNA!B18</f>
        <v xml:space="preserve">INDIANA PACKERS Co </v>
      </c>
      <c r="C18" s="358" t="str">
        <f>PIERNA!C18</f>
        <v>INDIANA</v>
      </c>
      <c r="D18" s="196" t="str">
        <f>PIERNA!D18</f>
        <v>PED. 5004037</v>
      </c>
      <c r="E18" s="156">
        <f>PIERNA!E18</f>
        <v>42288</v>
      </c>
      <c r="F18" s="346">
        <f>PIERNA!F18</f>
        <v>18668.669999999998</v>
      </c>
      <c r="G18" s="193">
        <f>PIERNA!G18</f>
        <v>19</v>
      </c>
      <c r="H18" s="65">
        <f>PIERNA!H18</f>
        <v>18771</v>
      </c>
      <c r="I18" s="441">
        <f>PIERNA!I18</f>
        <v>-102.33000000000175</v>
      </c>
      <c r="J18" s="773" t="s">
        <v>529</v>
      </c>
      <c r="K18" s="210">
        <v>8590</v>
      </c>
      <c r="L18" s="477" t="s">
        <v>580</v>
      </c>
      <c r="M18" s="116">
        <v>20880</v>
      </c>
      <c r="N18" s="481" t="s">
        <v>581</v>
      </c>
      <c r="O18" s="124">
        <v>725975</v>
      </c>
      <c r="P18" s="734">
        <v>3248</v>
      </c>
      <c r="Q18" s="116">
        <f>32366.43*16.993</f>
        <v>550002.74498999992</v>
      </c>
      <c r="R18" s="484" t="s">
        <v>603</v>
      </c>
      <c r="S18" s="108">
        <f t="shared" si="0"/>
        <v>582720.74498999992</v>
      </c>
      <c r="T18" s="108">
        <f>S18/H18</f>
        <v>31.043670821479939</v>
      </c>
    </row>
    <row r="19" spans="1:20" s="435" customFormat="1" x14ac:dyDescent="0.25">
      <c r="A19" s="439">
        <v>16</v>
      </c>
      <c r="B19" s="358" t="str">
        <f>PIERNA!B19</f>
        <v>GRANJERO FELIZ</v>
      </c>
      <c r="C19" s="358" t="str">
        <f>PIERNA!C19</f>
        <v>Jhon Morrell</v>
      </c>
      <c r="D19" s="196" t="str">
        <f>PIERNA!D19</f>
        <v>PED. 5009902</v>
      </c>
      <c r="E19" s="156">
        <f>PIERNA!E19</f>
        <v>42289</v>
      </c>
      <c r="F19" s="346">
        <f>PIERNA!F19</f>
        <v>18848.34</v>
      </c>
      <c r="G19" s="193">
        <f>PIERNA!G19</f>
        <v>21</v>
      </c>
      <c r="H19" s="65">
        <f>PIERNA!H19</f>
        <v>18819.400000000001</v>
      </c>
      <c r="I19" s="441">
        <f>PIERNA!I19</f>
        <v>28.93999999999869</v>
      </c>
      <c r="J19" s="260"/>
      <c r="K19" s="210"/>
      <c r="L19" s="477"/>
      <c r="M19" s="116"/>
      <c r="N19" s="481"/>
      <c r="O19" s="181" t="s">
        <v>615</v>
      </c>
      <c r="P19" s="734">
        <v>0</v>
      </c>
      <c r="Q19" s="116">
        <v>574015.80000000005</v>
      </c>
      <c r="R19" s="484" t="s">
        <v>614</v>
      </c>
      <c r="S19" s="108">
        <f t="shared" si="0"/>
        <v>574015.80000000005</v>
      </c>
      <c r="T19" s="108">
        <f t="shared" si="1"/>
        <v>30.601280593430186</v>
      </c>
    </row>
    <row r="20" spans="1:20" s="435" customFormat="1" x14ac:dyDescent="0.25">
      <c r="A20" s="439">
        <v>17</v>
      </c>
      <c r="B20" s="358" t="str">
        <f>PIERNA!B20</f>
        <v>SMITHFIELD FARMLAND</v>
      </c>
      <c r="C20" s="133" t="str">
        <f>PIERNA!C20</f>
        <v>Smithfield</v>
      </c>
      <c r="D20" s="196" t="str">
        <f>PIERNA!D20</f>
        <v>PED. 5004046</v>
      </c>
      <c r="E20" s="156">
        <f>PIERNA!E20</f>
        <v>42290</v>
      </c>
      <c r="F20" s="346">
        <f>PIERNA!F20</f>
        <v>18368.28</v>
      </c>
      <c r="G20" s="193">
        <f>PIERNA!G20</f>
        <v>20</v>
      </c>
      <c r="H20" s="65">
        <f>PIERNA!H20</f>
        <v>18323.8</v>
      </c>
      <c r="I20" s="441">
        <f>PIERNA!I20</f>
        <v>44.479999999999563</v>
      </c>
      <c r="J20" s="260" t="s">
        <v>532</v>
      </c>
      <c r="K20" s="210">
        <v>8590</v>
      </c>
      <c r="L20" s="477" t="s">
        <v>581</v>
      </c>
      <c r="M20" s="116">
        <v>21460</v>
      </c>
      <c r="N20" s="481" t="s">
        <v>582</v>
      </c>
      <c r="O20" s="262">
        <v>95080648</v>
      </c>
      <c r="P20" s="734">
        <v>3074</v>
      </c>
      <c r="Q20" s="116">
        <f>31111.67*16.59</f>
        <v>516142.6053</v>
      </c>
      <c r="R20" s="484" t="s">
        <v>611</v>
      </c>
      <c r="S20" s="108">
        <f t="shared" si="0"/>
        <v>549266.60529999994</v>
      </c>
      <c r="T20" s="108">
        <f>S20/H20</f>
        <v>29.97558395638459</v>
      </c>
    </row>
    <row r="21" spans="1:20" s="435" customFormat="1" x14ac:dyDescent="0.25">
      <c r="A21" s="439">
        <v>18</v>
      </c>
      <c r="B21" s="358" t="str">
        <f>PIERNA!B21</f>
        <v>SMITHFIELD FARMLAND</v>
      </c>
      <c r="C21" s="358" t="str">
        <f>PIERNA!C21</f>
        <v>Smithfield</v>
      </c>
      <c r="D21" s="196" t="str">
        <f>PIERNA!D21</f>
        <v>PED. 5004045</v>
      </c>
      <c r="E21" s="156">
        <f>PIERNA!E21</f>
        <v>42290</v>
      </c>
      <c r="F21" s="346">
        <f>PIERNA!F21</f>
        <v>19252.41</v>
      </c>
      <c r="G21" s="193">
        <f>PIERNA!G21</f>
        <v>21</v>
      </c>
      <c r="H21" s="65">
        <f>PIERNA!H21</f>
        <v>19165.89</v>
      </c>
      <c r="I21" s="441">
        <f>PIERNA!I21</f>
        <v>86.520000000000437</v>
      </c>
      <c r="J21" s="260" t="s">
        <v>533</v>
      </c>
      <c r="K21" s="210">
        <v>8590</v>
      </c>
      <c r="L21" s="477" t="s">
        <v>581</v>
      </c>
      <c r="M21" s="116">
        <v>21460</v>
      </c>
      <c r="N21" s="481" t="s">
        <v>582</v>
      </c>
      <c r="O21" s="181">
        <v>95081511</v>
      </c>
      <c r="P21" s="734">
        <v>3248</v>
      </c>
      <c r="Q21" s="116">
        <f>34016.61*16.59</f>
        <v>564335.55989999999</v>
      </c>
      <c r="R21" s="484" t="s">
        <v>611</v>
      </c>
      <c r="S21" s="108">
        <f t="shared" si="0"/>
        <v>597633.55989999999</v>
      </c>
      <c r="T21" s="108">
        <f t="shared" si="1"/>
        <v>31.282144940829777</v>
      </c>
    </row>
    <row r="22" spans="1:20" s="435" customFormat="1" x14ac:dyDescent="0.25">
      <c r="A22" s="439">
        <v>19</v>
      </c>
      <c r="B22" s="358" t="str">
        <f>PIERNA!B22</f>
        <v>SMITHFIELD FARMLAND</v>
      </c>
      <c r="C22" s="358" t="str">
        <f>PIERNA!C22</f>
        <v>Smithfield</v>
      </c>
      <c r="D22" s="196" t="str">
        <f>PIERNA!D22</f>
        <v>PED. 5004060</v>
      </c>
      <c r="E22" s="156">
        <f>PIERNA!E22</f>
        <v>42291</v>
      </c>
      <c r="F22" s="346">
        <f>PIERNA!F22</f>
        <v>18452.419999999998</v>
      </c>
      <c r="G22" s="193">
        <f>PIERNA!G22</f>
        <v>20</v>
      </c>
      <c r="H22" s="65">
        <f>PIERNA!H22</f>
        <v>18479.37</v>
      </c>
      <c r="I22" s="441">
        <f>PIERNA!I22</f>
        <v>-26.950000000000728</v>
      </c>
      <c r="J22" s="260" t="s">
        <v>534</v>
      </c>
      <c r="K22" s="210">
        <v>8616</v>
      </c>
      <c r="L22" s="657" t="s">
        <v>582</v>
      </c>
      <c r="M22" s="116">
        <v>21460</v>
      </c>
      <c r="N22" s="481" t="s">
        <v>583</v>
      </c>
      <c r="O22" s="124">
        <v>95081512</v>
      </c>
      <c r="P22" s="736">
        <v>3132</v>
      </c>
      <c r="Q22" s="116">
        <f>31325.38*16.617</f>
        <v>520533.83946000005</v>
      </c>
      <c r="R22" s="484" t="s">
        <v>612</v>
      </c>
      <c r="S22" s="108">
        <f t="shared" si="0"/>
        <v>553741.83946000005</v>
      </c>
      <c r="T22" s="108">
        <f t="shared" si="1"/>
        <v>30.065406800123604</v>
      </c>
    </row>
    <row r="23" spans="1:20" s="435" customFormat="1" x14ac:dyDescent="0.25">
      <c r="A23" s="439">
        <v>20</v>
      </c>
      <c r="B23" s="358" t="str">
        <f>PIERNA!B23</f>
        <v>GRANJERO FELIZ</v>
      </c>
      <c r="C23" s="358" t="str">
        <f>PIERNA!C23</f>
        <v>Jhon Morrel</v>
      </c>
      <c r="D23" s="196" t="str">
        <f>PIERNA!D23</f>
        <v>PED. 5009935</v>
      </c>
      <c r="E23" s="156">
        <f>PIERNA!E23</f>
        <v>42291</v>
      </c>
      <c r="F23" s="346">
        <f>PIERNA!F23</f>
        <v>18754.669999999998</v>
      </c>
      <c r="G23" s="193">
        <f>PIERNA!G23</f>
        <v>21</v>
      </c>
      <c r="H23" s="65">
        <f>PIERNA!H23</f>
        <v>18813.2</v>
      </c>
      <c r="I23" s="441">
        <f>PIERNA!I23</f>
        <v>-58.530000000002474</v>
      </c>
      <c r="J23" s="260"/>
      <c r="K23" s="210"/>
      <c r="L23" s="477"/>
      <c r="M23" s="116"/>
      <c r="N23" s="481"/>
      <c r="O23" s="181" t="s">
        <v>620</v>
      </c>
      <c r="P23" s="734">
        <v>0</v>
      </c>
      <c r="Q23" s="116">
        <v>590768.71</v>
      </c>
      <c r="R23" s="484" t="s">
        <v>621</v>
      </c>
      <c r="S23" s="108">
        <f t="shared" si="0"/>
        <v>590768.71</v>
      </c>
      <c r="T23" s="108">
        <f t="shared" si="1"/>
        <v>31.501819467182614</v>
      </c>
    </row>
    <row r="24" spans="1:20" s="435" customFormat="1" x14ac:dyDescent="0.25">
      <c r="A24" s="439">
        <v>21</v>
      </c>
      <c r="B24" s="358" t="str">
        <f>PIERNA!B24</f>
        <v>SEABOARD FOODS</v>
      </c>
      <c r="C24" s="358" t="str">
        <f>PIERNA!C24</f>
        <v>Seaboard</v>
      </c>
      <c r="D24" s="195" t="str">
        <f>PIERNA!D24</f>
        <v>PED. 5004067</v>
      </c>
      <c r="E24" s="156">
        <f>PIERNA!E24</f>
        <v>42292</v>
      </c>
      <c r="F24" s="346">
        <f>PIERNA!F24</f>
        <v>19335.14</v>
      </c>
      <c r="G24" s="193">
        <f>PIERNA!G24</f>
        <v>21</v>
      </c>
      <c r="H24" s="65">
        <f>PIERNA!H24</f>
        <v>19420.8</v>
      </c>
      <c r="I24" s="441">
        <f>PIERNA!I24</f>
        <v>-85.659999999999854</v>
      </c>
      <c r="J24" s="260" t="s">
        <v>535</v>
      </c>
      <c r="K24" s="210">
        <v>8603</v>
      </c>
      <c r="L24" s="477" t="s">
        <v>583</v>
      </c>
      <c r="M24" s="116">
        <v>21460</v>
      </c>
      <c r="N24" s="483" t="s">
        <v>585</v>
      </c>
      <c r="O24" s="181">
        <v>1190075</v>
      </c>
      <c r="P24" s="734">
        <v>3364</v>
      </c>
      <c r="Q24" s="116">
        <f>35074.87*16.56</f>
        <v>580839.84719999996</v>
      </c>
      <c r="R24" s="484" t="s">
        <v>609</v>
      </c>
      <c r="S24" s="108">
        <f t="shared" si="0"/>
        <v>614266.84719999996</v>
      </c>
      <c r="T24" s="108">
        <f t="shared" si="1"/>
        <v>31.729327689899488</v>
      </c>
    </row>
    <row r="25" spans="1:20" s="435" customFormat="1" x14ac:dyDescent="0.25">
      <c r="A25" s="439">
        <v>22</v>
      </c>
      <c r="B25" s="358" t="str">
        <f>PIERNA!GR5</f>
        <v xml:space="preserve">MANSIVA SA DE CV </v>
      </c>
      <c r="C25" s="108" t="str">
        <f>PIERNA!GS5</f>
        <v>INDIANA</v>
      </c>
      <c r="D25" s="195" t="str">
        <f>PIERNA!GT5</f>
        <v>PED. 5021062</v>
      </c>
      <c r="E25" s="156">
        <f>PIERNA!E25</f>
        <v>42293</v>
      </c>
      <c r="F25" s="346">
        <f>PIERNA!GV5</f>
        <v>18389.2</v>
      </c>
      <c r="G25" s="193">
        <f>PIERNA!GW5</f>
        <v>20</v>
      </c>
      <c r="H25" s="65">
        <f>PIERNA!GX5</f>
        <v>18464.5</v>
      </c>
      <c r="I25" s="441">
        <f>PIERNA!I25</f>
        <v>-75.299999999999272</v>
      </c>
      <c r="J25" s="260"/>
      <c r="K25" s="210"/>
      <c r="L25" s="477"/>
      <c r="M25" s="116"/>
      <c r="N25" s="483"/>
      <c r="O25" s="181" t="s">
        <v>627</v>
      </c>
      <c r="P25" s="734">
        <v>0</v>
      </c>
      <c r="Q25" s="116">
        <v>576103.63</v>
      </c>
      <c r="R25" s="484" t="s">
        <v>626</v>
      </c>
      <c r="S25" s="108">
        <f t="shared" si="0"/>
        <v>576103.63</v>
      </c>
      <c r="T25" s="108">
        <f t="shared" si="1"/>
        <v>31.300608194102196</v>
      </c>
    </row>
    <row r="26" spans="1:20" s="435" customFormat="1" x14ac:dyDescent="0.25">
      <c r="A26" s="439">
        <v>23</v>
      </c>
      <c r="B26" s="358" t="str">
        <f>PIERNA!HA5</f>
        <v>SEABOARD FOODS</v>
      </c>
      <c r="C26" s="358" t="str">
        <f>PIERNA!HB5</f>
        <v>Seaboard</v>
      </c>
      <c r="D26" s="195" t="str">
        <f>PIERNA!HC5</f>
        <v>PED. 5004080</v>
      </c>
      <c r="E26" s="156">
        <f>PIERNA!HD5</f>
        <v>42293</v>
      </c>
      <c r="F26" s="346">
        <f>PIERNA!HE5</f>
        <v>19316.63</v>
      </c>
      <c r="G26" s="450">
        <f>PIERNA!HF5</f>
        <v>21</v>
      </c>
      <c r="H26" s="65">
        <f>PIERNA!HG5</f>
        <v>19428.2</v>
      </c>
      <c r="I26" s="204">
        <f>PIERNA!I26</f>
        <v>-111.56999999999971</v>
      </c>
      <c r="J26" s="260" t="s">
        <v>536</v>
      </c>
      <c r="K26" s="210">
        <v>8590</v>
      </c>
      <c r="L26" s="477" t="s">
        <v>586</v>
      </c>
      <c r="M26" s="116">
        <v>21460</v>
      </c>
      <c r="N26" s="483" t="s">
        <v>588</v>
      </c>
      <c r="O26" s="181">
        <v>1190221</v>
      </c>
      <c r="P26" s="734">
        <v>3422</v>
      </c>
      <c r="Q26" s="116">
        <f>35532.6*16.56</f>
        <v>588419.85599999991</v>
      </c>
      <c r="R26" s="484" t="s">
        <v>609</v>
      </c>
      <c r="S26" s="108">
        <f t="shared" si="0"/>
        <v>621891.85599999991</v>
      </c>
      <c r="T26" s="108">
        <f>S26/H26+0.1</f>
        <v>32.109751598192311</v>
      </c>
    </row>
    <row r="27" spans="1:20" s="435" customFormat="1" x14ac:dyDescent="0.25">
      <c r="A27" s="439">
        <v>24</v>
      </c>
      <c r="B27" s="358" t="str">
        <f>PIERNA!HJ5</f>
        <v>GRANJERO FELIZ</v>
      </c>
      <c r="C27" s="358" t="str">
        <f>PIERNA!HK5</f>
        <v>Seaboard</v>
      </c>
      <c r="D27" s="195" t="str">
        <f>PIERNA!HL5</f>
        <v>PED. 5010091</v>
      </c>
      <c r="E27" s="156">
        <f>PIERNA!HM5</f>
        <v>42293</v>
      </c>
      <c r="F27" s="346">
        <f>PIERNA!HN5</f>
        <v>19400.61</v>
      </c>
      <c r="G27" s="450">
        <f>PIERNA!HO5</f>
        <v>21</v>
      </c>
      <c r="H27" s="65">
        <f>PIERNA!HP5</f>
        <v>19471.7</v>
      </c>
      <c r="I27" s="441">
        <f>PIERNA!I27</f>
        <v>-71.090000000000146</v>
      </c>
      <c r="J27" s="260"/>
      <c r="K27" s="210"/>
      <c r="L27" s="477"/>
      <c r="M27" s="116"/>
      <c r="N27" s="483"/>
      <c r="O27" s="181" t="s">
        <v>622</v>
      </c>
      <c r="P27" s="737"/>
      <c r="Q27" s="116">
        <v>630893.12</v>
      </c>
      <c r="R27" s="484" t="s">
        <v>623</v>
      </c>
      <c r="S27" s="108">
        <f t="shared" si="0"/>
        <v>630893.12</v>
      </c>
      <c r="T27" s="108">
        <f>S27/H27</f>
        <v>32.400515620105075</v>
      </c>
    </row>
    <row r="28" spans="1:20" s="435" customFormat="1" x14ac:dyDescent="0.25">
      <c r="A28" s="439">
        <v>25</v>
      </c>
      <c r="B28" s="358" t="str">
        <f>PIERNA!HS5</f>
        <v>INDIANA PACKERS Co</v>
      </c>
      <c r="C28" s="358" t="str">
        <f>PIERNA!HT5</f>
        <v>INDIANA</v>
      </c>
      <c r="D28" s="195" t="str">
        <f>PIERNA!HU5</f>
        <v>PED. 5004088</v>
      </c>
      <c r="E28" s="156">
        <f>PIERNA!HV5</f>
        <v>42294</v>
      </c>
      <c r="F28" s="346">
        <f>PIERNA!HW5</f>
        <v>17895.990000000002</v>
      </c>
      <c r="G28" s="450">
        <f>PIERNA!HX5</f>
        <v>19</v>
      </c>
      <c r="H28" s="65">
        <f>PIERNA!HY5</f>
        <v>17974</v>
      </c>
      <c r="I28" s="441">
        <f>PIERNA!I28</f>
        <v>-78.009999999998399</v>
      </c>
      <c r="J28" s="773" t="s">
        <v>537</v>
      </c>
      <c r="K28" s="210">
        <v>8577</v>
      </c>
      <c r="L28" s="477" t="s">
        <v>588</v>
      </c>
      <c r="M28" s="116">
        <v>21460</v>
      </c>
      <c r="N28" s="483" t="s">
        <v>589</v>
      </c>
      <c r="O28" s="181">
        <v>727067</v>
      </c>
      <c r="P28" s="737">
        <v>3190</v>
      </c>
      <c r="Q28" s="116">
        <f>32972.79*16.56</f>
        <v>546029.40240000002</v>
      </c>
      <c r="R28" s="484" t="s">
        <v>609</v>
      </c>
      <c r="S28" s="108">
        <f t="shared" si="0"/>
        <v>579256.40240000002</v>
      </c>
      <c r="T28" s="108">
        <f t="shared" si="1"/>
        <v>32.327462022921999</v>
      </c>
    </row>
    <row r="29" spans="1:20" s="435" customFormat="1" x14ac:dyDescent="0.25">
      <c r="A29" s="439">
        <v>26</v>
      </c>
      <c r="B29" s="358" t="str">
        <f>PIERNA!IB5</f>
        <v>SEABOARD FOODS</v>
      </c>
      <c r="C29" s="358" t="str">
        <f>PIERNA!IC5</f>
        <v>Seaboard</v>
      </c>
      <c r="D29" s="195" t="str">
        <f>PIERNA!ID5</f>
        <v>PED. 5004325</v>
      </c>
      <c r="E29" s="156">
        <f>PIERNA!IE5</f>
        <v>42294</v>
      </c>
      <c r="F29" s="346">
        <f>PIERNA!IF5</f>
        <v>19242.919999999998</v>
      </c>
      <c r="G29" s="450">
        <f>PIERNA!IG5</f>
        <v>21</v>
      </c>
      <c r="H29" s="65">
        <f>PIERNA!IH5</f>
        <v>19322.400000000001</v>
      </c>
      <c r="I29" s="441">
        <f>PIERNA!II5</f>
        <v>-79.480000000003201</v>
      </c>
      <c r="J29" s="260" t="s">
        <v>538</v>
      </c>
      <c r="K29" s="210">
        <v>8577</v>
      </c>
      <c r="L29" s="477" t="s">
        <v>588</v>
      </c>
      <c r="M29" s="116">
        <v>21460</v>
      </c>
      <c r="N29" s="483" t="s">
        <v>589</v>
      </c>
      <c r="O29" s="181">
        <v>1190469</v>
      </c>
      <c r="P29" s="737">
        <v>3364</v>
      </c>
      <c r="Q29" s="116">
        <f>34799.13*16.475</f>
        <v>573315.66674999997</v>
      </c>
      <c r="R29" s="484" t="s">
        <v>610</v>
      </c>
      <c r="S29" s="108">
        <f t="shared" si="0"/>
        <v>606716.66674999997</v>
      </c>
      <c r="T29" s="108">
        <f t="shared" si="1"/>
        <v>31.499653601519476</v>
      </c>
    </row>
    <row r="30" spans="1:20" s="435" customFormat="1" x14ac:dyDescent="0.25">
      <c r="A30" s="439">
        <v>27</v>
      </c>
      <c r="B30" s="358" t="str">
        <f>PIERNA!IK5</f>
        <v>SMITHFIELD FARMLAND</v>
      </c>
      <c r="C30" s="358" t="str">
        <f>PIERNA!IL5</f>
        <v>Smithfield</v>
      </c>
      <c r="D30" s="195" t="str">
        <f>PIERNA!IM5</f>
        <v>PED. 5004086</v>
      </c>
      <c r="E30" s="156">
        <f>PIERNA!IN5</f>
        <v>42294</v>
      </c>
      <c r="F30" s="346">
        <f>PIERNA!IO5</f>
        <v>18371.97</v>
      </c>
      <c r="G30" s="450">
        <f>PIERNA!IP5</f>
        <v>20</v>
      </c>
      <c r="H30" s="65">
        <f>PIERNA!IQ5</f>
        <v>18476.48</v>
      </c>
      <c r="I30" s="441">
        <f>PIERNA!IR5</f>
        <v>-104.5099999999984</v>
      </c>
      <c r="J30" s="260" t="s">
        <v>539</v>
      </c>
      <c r="K30" s="210">
        <v>8577</v>
      </c>
      <c r="L30" s="477" t="s">
        <v>588</v>
      </c>
      <c r="M30" s="116">
        <v>21460</v>
      </c>
      <c r="N30" s="483" t="s">
        <v>589</v>
      </c>
      <c r="O30" s="181">
        <v>95086474</v>
      </c>
      <c r="P30" s="737">
        <v>3364</v>
      </c>
      <c r="Q30" s="116">
        <f>33594.2*16.525</f>
        <v>555144.15499999991</v>
      </c>
      <c r="R30" s="484" t="s">
        <v>617</v>
      </c>
      <c r="S30" s="108">
        <f t="shared" si="0"/>
        <v>588545.15499999991</v>
      </c>
      <c r="T30" s="108">
        <f t="shared" si="1"/>
        <v>31.953748928367304</v>
      </c>
    </row>
    <row r="31" spans="1:20" s="435" customFormat="1" x14ac:dyDescent="0.25">
      <c r="A31" s="439">
        <v>28</v>
      </c>
      <c r="B31" s="358" t="str">
        <f>PIERNA!IT5</f>
        <v>GRANJERO FELIZ</v>
      </c>
      <c r="C31" s="359" t="str">
        <f>PIERNA!IU5</f>
        <v>Jhon Morrell</v>
      </c>
      <c r="D31" s="195" t="str">
        <f>PIERNA!IV5</f>
        <v>PED 5010144</v>
      </c>
      <c r="E31" s="156">
        <f>PIERNA!IW5</f>
        <v>42296</v>
      </c>
      <c r="F31" s="346">
        <f>PIERNA!IX5</f>
        <v>19314.73</v>
      </c>
      <c r="G31" s="450">
        <f>PIERNA!IY5</f>
        <v>22</v>
      </c>
      <c r="H31" s="65">
        <f>PIERNA!IZ5</f>
        <v>19180.2</v>
      </c>
      <c r="I31" s="441">
        <f>PIERNA!JA5</f>
        <v>134.52999999999884</v>
      </c>
      <c r="J31" s="260"/>
      <c r="K31" s="210"/>
      <c r="L31" s="477"/>
      <c r="M31" s="116"/>
      <c r="N31" s="483"/>
      <c r="O31" s="472" t="s">
        <v>796</v>
      </c>
      <c r="P31" s="737"/>
      <c r="Q31" s="602">
        <v>617651.06000000006</v>
      </c>
      <c r="R31" s="603" t="s">
        <v>795</v>
      </c>
      <c r="S31" s="108">
        <f t="shared" si="0"/>
        <v>617651.06000000006</v>
      </c>
      <c r="T31" s="108">
        <f t="shared" si="1"/>
        <v>32.302534905788264</v>
      </c>
    </row>
    <row r="32" spans="1:20" s="435" customFormat="1" x14ac:dyDescent="0.25">
      <c r="A32" s="439">
        <v>29</v>
      </c>
      <c r="B32" s="358" t="str">
        <f>PIERNA!JC5</f>
        <v xml:space="preserve">INDIANA PACKERS Co </v>
      </c>
      <c r="C32" s="358" t="str">
        <f>PIERNA!JD5</f>
        <v>INDIANA</v>
      </c>
      <c r="D32" s="195" t="str">
        <f>PIERNA!JE5</f>
        <v>PED. 5004098</v>
      </c>
      <c r="E32" s="156">
        <f>PIERNA!JF5</f>
        <v>42297</v>
      </c>
      <c r="F32" s="346">
        <f>PIERNA!JG5</f>
        <v>19090.13</v>
      </c>
      <c r="G32" s="450">
        <f>PIERNA!JH5</f>
        <v>19</v>
      </c>
      <c r="H32" s="65">
        <f>PIERNA!JI5</f>
        <v>19090</v>
      </c>
      <c r="I32" s="441">
        <f>PIERNA!JJ5</f>
        <v>0.13000000000101863</v>
      </c>
      <c r="J32" s="773" t="s">
        <v>540</v>
      </c>
      <c r="K32" s="210">
        <v>8577</v>
      </c>
      <c r="L32" s="477" t="s">
        <v>590</v>
      </c>
      <c r="M32" s="116">
        <v>21460</v>
      </c>
      <c r="N32" s="483" t="s">
        <v>591</v>
      </c>
      <c r="O32" s="124">
        <v>7275636</v>
      </c>
      <c r="P32" s="738">
        <v>3480</v>
      </c>
      <c r="Q32" s="228">
        <f>35373.29*16.478</f>
        <v>582881.07262000011</v>
      </c>
      <c r="R32" s="484" t="s">
        <v>613</v>
      </c>
      <c r="S32" s="108">
        <f t="shared" ref="S32:S34" si="2">Q32+M32+K32+P32</f>
        <v>616398.07262000011</v>
      </c>
      <c r="T32" s="108">
        <f t="shared" si="1"/>
        <v>32.389055663698279</v>
      </c>
    </row>
    <row r="33" spans="1:20" s="435" customFormat="1" x14ac:dyDescent="0.25">
      <c r="A33" s="439">
        <v>30</v>
      </c>
      <c r="B33" s="358" t="str">
        <f>PIERNA!JL5</f>
        <v>ADAMAS Int MORELIA</v>
      </c>
      <c r="C33" s="358" t="str">
        <f>PIERNA!JM5</f>
        <v xml:space="preserve">INDIANA </v>
      </c>
      <c r="D33" s="195" t="str">
        <f>PIERNA!JN5</f>
        <v>PED. 5022220</v>
      </c>
      <c r="E33" s="156">
        <f>PIERNA!JO5</f>
        <v>42297</v>
      </c>
      <c r="F33" s="346">
        <f>PIERNA!JP5</f>
        <v>18860.13</v>
      </c>
      <c r="G33" s="450">
        <f>PIERNA!JQ5</f>
        <v>19</v>
      </c>
      <c r="H33" s="65">
        <f>PIERNA!JR5</f>
        <v>18878</v>
      </c>
      <c r="I33" s="441">
        <f>PIERNA!JS5</f>
        <v>-17.869999999998981</v>
      </c>
      <c r="J33" s="260"/>
      <c r="K33" s="210"/>
      <c r="L33" s="477"/>
      <c r="M33" s="116"/>
      <c r="N33" s="483"/>
      <c r="O33" s="181" t="s">
        <v>625</v>
      </c>
      <c r="P33" s="737"/>
      <c r="Q33" s="116">
        <v>609786.21</v>
      </c>
      <c r="R33" s="484" t="s">
        <v>626</v>
      </c>
      <c r="S33" s="108">
        <f t="shared" si="2"/>
        <v>609786.21</v>
      </c>
      <c r="T33" s="108">
        <f>S33/H33</f>
        <v>32.301420171628351</v>
      </c>
    </row>
    <row r="34" spans="1:20" s="435" customFormat="1" x14ac:dyDescent="0.25">
      <c r="A34" s="439">
        <v>31</v>
      </c>
      <c r="B34" s="358" t="str">
        <f>PIERNA!B34</f>
        <v>SMITHFIELD FARMLAND</v>
      </c>
      <c r="C34" s="451" t="str">
        <f>PIERNA!C34</f>
        <v>Smithfield</v>
      </c>
      <c r="D34" s="195" t="str">
        <f>PIERNA!D34</f>
        <v>PED. 5004092</v>
      </c>
      <c r="E34" s="156">
        <f>PIERNA!E34</f>
        <v>42297</v>
      </c>
      <c r="F34" s="346">
        <f>PIERNA!F34</f>
        <v>17981.060000000001</v>
      </c>
      <c r="G34" s="450">
        <f>PIERNA!G34</f>
        <v>20</v>
      </c>
      <c r="H34" s="65">
        <f>PIERNA!H34</f>
        <v>18024.47</v>
      </c>
      <c r="I34" s="441">
        <f t="shared" ref="I34" si="3">F34-H34</f>
        <v>-43.409999999999854</v>
      </c>
      <c r="J34" s="260" t="s">
        <v>541</v>
      </c>
      <c r="K34" s="210">
        <v>8577</v>
      </c>
      <c r="L34" s="477" t="s">
        <v>590</v>
      </c>
      <c r="M34" s="116">
        <v>21460</v>
      </c>
      <c r="N34" s="483" t="s">
        <v>591</v>
      </c>
      <c r="O34" s="124">
        <v>95090215</v>
      </c>
      <c r="P34" s="737">
        <v>2958</v>
      </c>
      <c r="Q34" s="116">
        <f>31613.07*16.595</f>
        <v>524618.89665000001</v>
      </c>
      <c r="R34" s="484" t="s">
        <v>616</v>
      </c>
      <c r="S34" s="108">
        <f t="shared" si="2"/>
        <v>557613.89665000001</v>
      </c>
      <c r="T34" s="108">
        <f t="shared" si="1"/>
        <v>31.03649336984666</v>
      </c>
    </row>
    <row r="35" spans="1:20" s="435" customFormat="1" x14ac:dyDescent="0.25">
      <c r="A35" s="439">
        <v>32</v>
      </c>
      <c r="B35" s="358" t="str">
        <f>PIERNA!B35</f>
        <v>SMITHFIELD FARMLAND</v>
      </c>
      <c r="C35" s="451" t="str">
        <f>PIERNA!C35</f>
        <v>Smithfield</v>
      </c>
      <c r="D35" s="195" t="str">
        <f>PIERNA!D35</f>
        <v>PED. 5004091</v>
      </c>
      <c r="E35" s="156">
        <f>PIERNA!E35</f>
        <v>42298</v>
      </c>
      <c r="F35" s="346">
        <f>PIERNA!F35</f>
        <v>18173.330000000002</v>
      </c>
      <c r="G35" s="193">
        <f>PIERNA!G35</f>
        <v>20</v>
      </c>
      <c r="H35" s="65">
        <f>PIERNA!H35</f>
        <v>18062.12</v>
      </c>
      <c r="I35" s="441">
        <f>PIERNA!I35</f>
        <v>111.21000000000276</v>
      </c>
      <c r="J35" s="260" t="s">
        <v>542</v>
      </c>
      <c r="K35" s="210">
        <v>8577</v>
      </c>
      <c r="L35" s="477" t="s">
        <v>590</v>
      </c>
      <c r="M35" s="116">
        <v>21460</v>
      </c>
      <c r="N35" s="481" t="s">
        <v>593</v>
      </c>
      <c r="O35" s="181">
        <v>95090214</v>
      </c>
      <c r="P35" s="737">
        <v>3248</v>
      </c>
      <c r="Q35" s="116">
        <f>33179.87*16.595</f>
        <v>550619.94264999998</v>
      </c>
      <c r="R35" s="484" t="s">
        <v>617</v>
      </c>
      <c r="S35" s="108">
        <f t="shared" ref="S35:S36" si="4">Q35+M35+K35</f>
        <v>580656.94264999998</v>
      </c>
      <c r="T35" s="108">
        <f t="shared" si="1"/>
        <v>32.247773497795386</v>
      </c>
    </row>
    <row r="36" spans="1:20" s="435" customFormat="1" x14ac:dyDescent="0.25">
      <c r="A36" s="439">
        <v>33</v>
      </c>
      <c r="B36" s="452" t="str">
        <f>PIERNA!B36</f>
        <v>SMITHFIELD FARMLAND</v>
      </c>
      <c r="C36" s="453" t="str">
        <f>PIERNA!C36</f>
        <v>Smithfield</v>
      </c>
      <c r="D36" s="480" t="str">
        <f>PIERNA!D36</f>
        <v>PED. 5004113</v>
      </c>
      <c r="E36" s="233">
        <f>PIERNA!E36</f>
        <v>42298</v>
      </c>
      <c r="F36" s="454">
        <f>PIERNA!F36</f>
        <v>18177.86</v>
      </c>
      <c r="G36" s="455">
        <f>PIERNA!G36</f>
        <v>20</v>
      </c>
      <c r="H36" s="456">
        <f>PIERNA!H36</f>
        <v>18201.849999999999</v>
      </c>
      <c r="I36" s="457">
        <f>PIERNA!I36</f>
        <v>-23.989999999997963</v>
      </c>
      <c r="J36" s="260" t="s">
        <v>543</v>
      </c>
      <c r="K36" s="212">
        <v>8603</v>
      </c>
      <c r="L36" s="477" t="s">
        <v>591</v>
      </c>
      <c r="M36" s="212">
        <v>21460</v>
      </c>
      <c r="N36" s="482" t="s">
        <v>592</v>
      </c>
      <c r="O36" s="181">
        <v>95095750</v>
      </c>
      <c r="P36" s="737">
        <v>2958</v>
      </c>
      <c r="Q36" s="212">
        <f>31876.88*16.545</f>
        <v>527402.97960000008</v>
      </c>
      <c r="R36" s="486" t="s">
        <v>618</v>
      </c>
      <c r="S36" s="108">
        <f t="shared" si="4"/>
        <v>557465.97960000008</v>
      </c>
      <c r="T36" s="108">
        <f t="shared" si="1"/>
        <v>30.726885706672682</v>
      </c>
    </row>
    <row r="37" spans="1:20" s="435" customFormat="1" x14ac:dyDescent="0.25">
      <c r="A37" s="439">
        <v>34</v>
      </c>
      <c r="B37" s="358" t="str">
        <f>PIERNA!B37</f>
        <v xml:space="preserve">SEABOARD FOODS </v>
      </c>
      <c r="C37" s="451" t="str">
        <f>PIERNA!C37</f>
        <v>Seaboard</v>
      </c>
      <c r="D37" s="196" t="str">
        <f>PIERNA!D37</f>
        <v>PED. 5004116</v>
      </c>
      <c r="E37" s="156">
        <f>PIERNA!E37</f>
        <v>42299</v>
      </c>
      <c r="F37" s="346">
        <f>PIERNA!F37</f>
        <v>19386.05</v>
      </c>
      <c r="G37" s="193">
        <f>PIERNA!G37</f>
        <v>21</v>
      </c>
      <c r="H37" s="65">
        <f>PIERNA!H37</f>
        <v>19447.7</v>
      </c>
      <c r="I37" s="441">
        <f>PIERNA!I37</f>
        <v>-61.650000000001455</v>
      </c>
      <c r="J37" s="493" t="s">
        <v>547</v>
      </c>
      <c r="K37" s="212">
        <v>8603</v>
      </c>
      <c r="L37" s="479" t="s">
        <v>592</v>
      </c>
      <c r="M37" s="116">
        <v>21460</v>
      </c>
      <c r="N37" s="481" t="s">
        <v>593</v>
      </c>
      <c r="O37" s="181">
        <v>1192260</v>
      </c>
      <c r="P37" s="737">
        <v>3480</v>
      </c>
      <c r="Q37" s="116">
        <f>36105.04*16.478</f>
        <v>594938.84912000003</v>
      </c>
      <c r="R37" s="487" t="s">
        <v>613</v>
      </c>
      <c r="S37" s="108">
        <f t="shared" ref="S37:S54" si="5">Q37+M37+K37</f>
        <v>625001.84912000003</v>
      </c>
      <c r="T37" s="108">
        <f t="shared" si="1"/>
        <v>32.237571492772929</v>
      </c>
    </row>
    <row r="38" spans="1:20" s="435" customFormat="1" x14ac:dyDescent="0.25">
      <c r="A38" s="439">
        <v>35</v>
      </c>
      <c r="B38" s="358" t="str">
        <f>PIERNA!B38</f>
        <v>SEABOARD FOODS</v>
      </c>
      <c r="C38" s="451" t="str">
        <f>PIERNA!C38</f>
        <v>Seaboard</v>
      </c>
      <c r="D38" s="260" t="str">
        <f>PIERNA!D38</f>
        <v>PED. 5004125</v>
      </c>
      <c r="E38" s="156">
        <f>PIERNA!E38</f>
        <v>42300</v>
      </c>
      <c r="F38" s="458">
        <f>PIERNA!F38</f>
        <v>19269.27</v>
      </c>
      <c r="G38" s="193">
        <f>PIERNA!G38</f>
        <v>21</v>
      </c>
      <c r="H38" s="274">
        <f>PIERNA!H38</f>
        <v>19372.3</v>
      </c>
      <c r="I38" s="441">
        <f>PIERNA!I38</f>
        <v>-103.02999999999884</v>
      </c>
      <c r="J38" s="494" t="s">
        <v>548</v>
      </c>
      <c r="K38" s="116">
        <v>8616</v>
      </c>
      <c r="L38" s="477" t="s">
        <v>594</v>
      </c>
      <c r="M38" s="116">
        <v>21460</v>
      </c>
      <c r="N38" s="481" t="s">
        <v>595</v>
      </c>
      <c r="O38" s="124">
        <v>1192450</v>
      </c>
      <c r="P38" s="738">
        <v>3480</v>
      </c>
      <c r="Q38" s="228">
        <f>35704.73*16.478</f>
        <v>588342.54094000009</v>
      </c>
      <c r="R38" s="488" t="s">
        <v>613</v>
      </c>
      <c r="S38" s="108">
        <f>Q38+M38+K38+P38</f>
        <v>621898.54094000009</v>
      </c>
      <c r="T38" s="108">
        <f t="shared" si="1"/>
        <v>32.202462843338175</v>
      </c>
    </row>
    <row r="39" spans="1:20" s="435" customFormat="1" x14ac:dyDescent="0.25">
      <c r="A39" s="439">
        <v>36</v>
      </c>
      <c r="B39" s="358" t="str">
        <f>PIERNA!B39</f>
        <v>SMITHFIELD FARMLAND</v>
      </c>
      <c r="C39" s="451" t="str">
        <f>PIERNA!C39</f>
        <v>Farmland</v>
      </c>
      <c r="D39" s="260" t="str">
        <f>PIERNA!D39</f>
        <v>PED. 5004131</v>
      </c>
      <c r="E39" s="156">
        <f>PIERNA!E39</f>
        <v>42301</v>
      </c>
      <c r="F39" s="458">
        <f>PIERNA!F39</f>
        <v>18635.14</v>
      </c>
      <c r="G39" s="193">
        <f>PIERNA!G39</f>
        <v>20</v>
      </c>
      <c r="H39" s="274">
        <f>PIERNA!H39</f>
        <v>18617.32</v>
      </c>
      <c r="I39" s="441">
        <f>PIERNA!I39</f>
        <v>17.819999999999709</v>
      </c>
      <c r="J39" s="495" t="s">
        <v>550</v>
      </c>
      <c r="K39" s="116">
        <v>8603</v>
      </c>
      <c r="L39" s="477" t="s">
        <v>595</v>
      </c>
      <c r="M39" s="116">
        <v>21460</v>
      </c>
      <c r="N39" s="481" t="s">
        <v>596</v>
      </c>
      <c r="O39" s="124">
        <v>95095334</v>
      </c>
      <c r="P39" s="738">
        <v>3422</v>
      </c>
      <c r="Q39" s="228">
        <f>34120.86*16.545</f>
        <v>564529.62870000012</v>
      </c>
      <c r="R39" s="488" t="s">
        <v>624</v>
      </c>
      <c r="S39" s="108">
        <f t="shared" ref="S39:S40" si="6">Q39+M39+K39+P39</f>
        <v>598014.62870000012</v>
      </c>
      <c r="T39" s="108">
        <f t="shared" si="1"/>
        <v>32.221413216295375</v>
      </c>
    </row>
    <row r="40" spans="1:20" s="435" customFormat="1" x14ac:dyDescent="0.25">
      <c r="A40" s="439">
        <v>37</v>
      </c>
      <c r="B40" s="358" t="str">
        <f>PIERNA!B40</f>
        <v>SEABOARD FOODS</v>
      </c>
      <c r="C40" s="451" t="str">
        <f>PIERNA!C40</f>
        <v>Seaboard</v>
      </c>
      <c r="D40" s="260" t="str">
        <f>PIERNA!D40</f>
        <v>PED. 5004127</v>
      </c>
      <c r="E40" s="156">
        <f>PIERNA!E40</f>
        <v>42301</v>
      </c>
      <c r="F40" s="458">
        <f>PIERNA!F40</f>
        <v>19238.919999999998</v>
      </c>
      <c r="G40" s="193">
        <f>PIERNA!G40</f>
        <v>21</v>
      </c>
      <c r="H40" s="274">
        <f>PIERNA!H40</f>
        <v>19296.900000000001</v>
      </c>
      <c r="I40" s="441">
        <f>PIERNA!I40</f>
        <v>-57.980000000003201</v>
      </c>
      <c r="J40" s="495" t="s">
        <v>551</v>
      </c>
      <c r="K40" s="116">
        <v>8603</v>
      </c>
      <c r="L40" s="477" t="s">
        <v>595</v>
      </c>
      <c r="M40" s="116">
        <v>21460</v>
      </c>
      <c r="N40" s="481" t="s">
        <v>596</v>
      </c>
      <c r="O40" s="124">
        <v>1192697</v>
      </c>
      <c r="P40" s="738">
        <v>3422</v>
      </c>
      <c r="Q40" s="228">
        <f>35251.13*16.525</f>
        <v>582524.92324999988</v>
      </c>
      <c r="R40" s="488" t="s">
        <v>614</v>
      </c>
      <c r="S40" s="108">
        <f t="shared" si="6"/>
        <v>616009.92324999988</v>
      </c>
      <c r="T40" s="108">
        <f t="shared" si="1"/>
        <v>32.022740090377205</v>
      </c>
    </row>
    <row r="41" spans="1:20" s="435" customFormat="1" x14ac:dyDescent="0.25">
      <c r="A41" s="439">
        <v>38</v>
      </c>
      <c r="B41" s="358" t="str">
        <f>PIERNA!B41</f>
        <v>SMITHFIELD FARMLAND</v>
      </c>
      <c r="C41" s="447" t="str">
        <f>PIERNA!C41</f>
        <v>Smithfield</v>
      </c>
      <c r="D41" s="260" t="str">
        <f>PIERNA!D41</f>
        <v>PED. 5004134</v>
      </c>
      <c r="E41" s="156">
        <f>PIERNA!E41</f>
        <v>42304</v>
      </c>
      <c r="F41" s="458">
        <f>PIERNA!F41</f>
        <v>18331.97</v>
      </c>
      <c r="G41" s="193">
        <f>PIERNA!G41</f>
        <v>20</v>
      </c>
      <c r="H41" s="274">
        <f>PIERNA!H41</f>
        <v>18339.66</v>
      </c>
      <c r="I41" s="441">
        <f>PIERNA!I41</f>
        <v>-7.6899999999986903</v>
      </c>
      <c r="J41" s="495" t="s">
        <v>556</v>
      </c>
      <c r="K41" s="116">
        <v>8603</v>
      </c>
      <c r="L41" s="477" t="s">
        <v>596</v>
      </c>
      <c r="M41" s="116">
        <v>21460</v>
      </c>
      <c r="N41" s="481" t="s">
        <v>597</v>
      </c>
      <c r="O41" s="124">
        <v>95099504</v>
      </c>
      <c r="P41" s="738">
        <v>2958</v>
      </c>
      <c r="Q41" s="228">
        <f>29766.14*16.6</f>
        <v>494117.92400000006</v>
      </c>
      <c r="R41" s="488" t="s">
        <v>623</v>
      </c>
      <c r="S41" s="108">
        <f t="shared" ref="S41" si="7">Q41+M41+K41+P41</f>
        <v>527138.92400000012</v>
      </c>
      <c r="T41" s="108">
        <f t="shared" si="1"/>
        <v>28.843113231106802</v>
      </c>
    </row>
    <row r="42" spans="1:20" s="435" customFormat="1" x14ac:dyDescent="0.25">
      <c r="A42" s="439">
        <v>39</v>
      </c>
      <c r="B42" s="358" t="str">
        <f>PIERNA!B42</f>
        <v>SMITHFIELD FARMLADN</v>
      </c>
      <c r="C42" s="459" t="str">
        <f>PIERNA!C42</f>
        <v>Smithfield</v>
      </c>
      <c r="D42" s="600" t="str">
        <f>PIERNA!D42</f>
        <v>PED. 5004135</v>
      </c>
      <c r="E42" s="156">
        <f>PIERNA!E42</f>
        <v>42304</v>
      </c>
      <c r="F42" s="346">
        <f>PIERNA!F42</f>
        <v>18501.97</v>
      </c>
      <c r="G42" s="193">
        <f>PIERNA!G42</f>
        <v>20</v>
      </c>
      <c r="H42" s="65">
        <f>PIERNA!H42</f>
        <v>18518.349999999999</v>
      </c>
      <c r="I42" s="441">
        <f>PIERNA!I42</f>
        <v>-16.379999999997381</v>
      </c>
      <c r="J42" s="496" t="s">
        <v>557</v>
      </c>
      <c r="K42" s="116">
        <v>8603</v>
      </c>
      <c r="L42" s="477" t="s">
        <v>596</v>
      </c>
      <c r="M42" s="116">
        <v>21460</v>
      </c>
      <c r="N42" s="481" t="s">
        <v>597</v>
      </c>
      <c r="O42" s="181">
        <v>95097821</v>
      </c>
      <c r="P42" s="737">
        <v>3132</v>
      </c>
      <c r="Q42" s="116">
        <f>31429.16*16.6</f>
        <v>521724.05600000004</v>
      </c>
      <c r="R42" s="489" t="s">
        <v>623</v>
      </c>
      <c r="S42" s="108">
        <f t="shared" si="5"/>
        <v>551787.0560000001</v>
      </c>
      <c r="T42" s="108">
        <f t="shared" si="1"/>
        <v>29.896772174626797</v>
      </c>
    </row>
    <row r="43" spans="1:20" s="435" customFormat="1" x14ac:dyDescent="0.25">
      <c r="A43" s="439">
        <v>40</v>
      </c>
      <c r="B43" s="358" t="str">
        <f>PIERNA!B43</f>
        <v>SMITHFIELD FARMLAND</v>
      </c>
      <c r="C43" s="451" t="str">
        <f>PIERNA!C43</f>
        <v xml:space="preserve">Smithfield </v>
      </c>
      <c r="D43" s="227" t="str">
        <f>PIERNA!D43</f>
        <v>PED. 5004397</v>
      </c>
      <c r="E43" s="156">
        <f>PIERNA!E43</f>
        <v>42305</v>
      </c>
      <c r="F43" s="346">
        <f>PIERNA!F43</f>
        <v>18197.41</v>
      </c>
      <c r="G43" s="193">
        <f>PIERNA!G43</f>
        <v>20</v>
      </c>
      <c r="H43" s="65">
        <f>PIERNA!H43</f>
        <v>18216.78</v>
      </c>
      <c r="I43" s="441">
        <f>PIERNA!I43</f>
        <v>-19.369999999998981</v>
      </c>
      <c r="J43" s="515" t="s">
        <v>560</v>
      </c>
      <c r="K43" s="210">
        <v>8603</v>
      </c>
      <c r="L43" s="477" t="s">
        <v>597</v>
      </c>
      <c r="M43" s="116">
        <v>21460</v>
      </c>
      <c r="N43" s="481" t="s">
        <v>599</v>
      </c>
      <c r="O43" s="181">
        <v>95099505</v>
      </c>
      <c r="P43" s="737">
        <v>2958</v>
      </c>
      <c r="Q43" s="116">
        <f>29640*16.48</f>
        <v>488467.20000000001</v>
      </c>
      <c r="R43" s="484" t="s">
        <v>624</v>
      </c>
      <c r="S43" s="108">
        <f t="shared" si="5"/>
        <v>518530.2</v>
      </c>
      <c r="T43" s="108">
        <f t="shared" si="1"/>
        <v>28.564426753795132</v>
      </c>
    </row>
    <row r="44" spans="1:20" s="435" customFormat="1" x14ac:dyDescent="0.25">
      <c r="A44" s="439">
        <v>41</v>
      </c>
      <c r="B44" s="452" t="str">
        <f>PIERNA!B44</f>
        <v>SEABOARD FOODS</v>
      </c>
      <c r="C44" s="451" t="str">
        <f>PIERNA!C44</f>
        <v>Seaboard</v>
      </c>
      <c r="D44" s="600" t="str">
        <f>PIERNA!D44</f>
        <v>PED. 5004410</v>
      </c>
      <c r="E44" s="156">
        <f>PIERNA!E44</f>
        <v>42306</v>
      </c>
      <c r="F44" s="346">
        <f>PIERNA!F44</f>
        <v>19259.310000000001</v>
      </c>
      <c r="G44" s="193">
        <f>PIERNA!G44</f>
        <v>21</v>
      </c>
      <c r="H44" s="65">
        <f>PIERNA!H44</f>
        <v>19349.5</v>
      </c>
      <c r="I44" s="441">
        <f>PIERNA!I44</f>
        <v>-90.18999999999869</v>
      </c>
      <c r="J44" s="260" t="s">
        <v>561</v>
      </c>
      <c r="K44" s="210">
        <v>8603</v>
      </c>
      <c r="L44" s="477" t="s">
        <v>598</v>
      </c>
      <c r="M44" s="116">
        <v>21460</v>
      </c>
      <c r="N44" s="481" t="s">
        <v>600</v>
      </c>
      <c r="O44" s="181">
        <v>1194359</v>
      </c>
      <c r="P44" s="737">
        <v>3074</v>
      </c>
      <c r="Q44" s="116">
        <f>31315.97*16.58</f>
        <v>519218.78259999998</v>
      </c>
      <c r="R44" s="484" t="s">
        <v>619</v>
      </c>
      <c r="S44" s="108">
        <f t="shared" si="5"/>
        <v>549281.78260000004</v>
      </c>
      <c r="T44" s="108">
        <f t="shared" si="1"/>
        <v>28.487388955786976</v>
      </c>
    </row>
    <row r="45" spans="1:20" s="435" customFormat="1" x14ac:dyDescent="0.25">
      <c r="A45" s="439">
        <v>42</v>
      </c>
      <c r="B45" s="452" t="str">
        <f>PIERNA!B45</f>
        <v>SEABOARD FOODS</v>
      </c>
      <c r="C45" s="451" t="str">
        <f>PIERNA!C45</f>
        <v>Seabaord</v>
      </c>
      <c r="D45" s="600" t="str">
        <f>PIERNA!D45</f>
        <v>PED. 5004414</v>
      </c>
      <c r="E45" s="156">
        <f>PIERNA!E45</f>
        <v>42307</v>
      </c>
      <c r="F45" s="346">
        <f>PIERNA!F45</f>
        <v>19288.36</v>
      </c>
      <c r="G45" s="193">
        <f>PIERNA!G45</f>
        <v>21</v>
      </c>
      <c r="H45" s="65">
        <f>PIERNA!H45</f>
        <v>19317.599999999999</v>
      </c>
      <c r="I45" s="441">
        <f>PIERNA!I45</f>
        <v>-29.239999999997963</v>
      </c>
      <c r="J45" s="260" t="s">
        <v>562</v>
      </c>
      <c r="K45" s="210">
        <v>8590</v>
      </c>
      <c r="L45" s="477" t="s">
        <v>601</v>
      </c>
      <c r="M45" s="116">
        <v>21460</v>
      </c>
      <c r="N45" s="481" t="s">
        <v>602</v>
      </c>
      <c r="O45" s="181">
        <v>1194477</v>
      </c>
      <c r="P45" s="737">
        <v>2900</v>
      </c>
      <c r="Q45" s="116">
        <f>29543.3*16.58</f>
        <v>489827.91399999993</v>
      </c>
      <c r="R45" s="484" t="s">
        <v>619</v>
      </c>
      <c r="S45" s="108">
        <f t="shared" ref="S45:S48" si="8">Q45+M45+K45</f>
        <v>519877.91399999993</v>
      </c>
      <c r="T45" s="108">
        <f t="shared" si="1"/>
        <v>27.012137843210336</v>
      </c>
    </row>
    <row r="46" spans="1:20" s="435" customFormat="1" x14ac:dyDescent="0.25">
      <c r="A46" s="439">
        <v>43</v>
      </c>
      <c r="B46" s="452" t="str">
        <f>PIERNA!B46</f>
        <v>SMITHFIELD FARMLAND</v>
      </c>
      <c r="C46" s="451" t="str">
        <f>PIERNA!C46</f>
        <v>Smithfield</v>
      </c>
      <c r="D46" s="600" t="str">
        <f>PIERNA!D46</f>
        <v>PED. 5004417</v>
      </c>
      <c r="E46" s="156">
        <f>PIERNA!E46</f>
        <v>42307</v>
      </c>
      <c r="F46" s="346">
        <f>PIERNA!F46</f>
        <v>18478.84</v>
      </c>
      <c r="G46" s="193">
        <f>PIERNA!G46</f>
        <v>20</v>
      </c>
      <c r="H46" s="65">
        <f>PIERNA!H46</f>
        <v>18575.98</v>
      </c>
      <c r="I46" s="441">
        <f>PIERNA!I46</f>
        <v>-97.139999999999418</v>
      </c>
      <c r="J46" s="260" t="s">
        <v>563</v>
      </c>
      <c r="K46" s="210">
        <v>8616</v>
      </c>
      <c r="L46" s="477" t="s">
        <v>602</v>
      </c>
      <c r="M46" s="116"/>
      <c r="N46" s="481"/>
      <c r="O46" s="472">
        <v>95103828</v>
      </c>
      <c r="P46" s="737">
        <v>2842</v>
      </c>
      <c r="Q46" s="602">
        <f>28209.15*16.46</f>
        <v>464322.60900000005</v>
      </c>
      <c r="R46" s="603" t="s">
        <v>795</v>
      </c>
      <c r="S46" s="108">
        <f t="shared" si="8"/>
        <v>472938.60900000005</v>
      </c>
      <c r="T46" s="108">
        <f t="shared" si="1"/>
        <v>25.559685518610596</v>
      </c>
    </row>
    <row r="47" spans="1:20" s="435" customFormat="1" x14ac:dyDescent="0.25">
      <c r="A47" s="439">
        <v>44</v>
      </c>
      <c r="B47" s="452" t="str">
        <f>PIERNA!B47</f>
        <v>SMITFIELD FARMLAND</v>
      </c>
      <c r="C47" s="451" t="str">
        <f>PIERNA!C47</f>
        <v>Farmland</v>
      </c>
      <c r="D47" s="600" t="str">
        <f>PIERNA!D47</f>
        <v>PED. 5004418</v>
      </c>
      <c r="E47" s="156">
        <f>PIERNA!E47</f>
        <v>42308</v>
      </c>
      <c r="F47" s="346">
        <f>PIERNA!E47</f>
        <v>42308</v>
      </c>
      <c r="G47" s="193">
        <f>PIERNA!G47</f>
        <v>20</v>
      </c>
      <c r="H47" s="65">
        <f>PIERNA!H47</f>
        <v>18397.28</v>
      </c>
      <c r="I47" s="441">
        <f>PIERNA!I47</f>
        <v>-98.959999999999127</v>
      </c>
      <c r="J47" s="260" t="s">
        <v>564</v>
      </c>
      <c r="K47" s="210">
        <v>8590</v>
      </c>
      <c r="L47" s="477" t="s">
        <v>601</v>
      </c>
      <c r="M47" s="116">
        <v>21460</v>
      </c>
      <c r="N47" s="481" t="s">
        <v>602</v>
      </c>
      <c r="O47" s="472">
        <v>95104626</v>
      </c>
      <c r="P47" s="737">
        <v>2784</v>
      </c>
      <c r="Q47" s="678">
        <f>27930.23*16.46</f>
        <v>459731.5858</v>
      </c>
      <c r="R47" s="679" t="s">
        <v>794</v>
      </c>
      <c r="S47" s="108">
        <f t="shared" si="8"/>
        <v>489781.5858</v>
      </c>
      <c r="T47" s="108">
        <f t="shared" si="1"/>
        <v>26.722499945644142</v>
      </c>
    </row>
    <row r="48" spans="1:20" s="435" customFormat="1" x14ac:dyDescent="0.25">
      <c r="A48" s="439">
        <v>45</v>
      </c>
      <c r="B48" s="452" t="str">
        <f>PIERNA!B48</f>
        <v>INDIANA PACKERS Co</v>
      </c>
      <c r="C48" s="451" t="str">
        <f>PIERNA!C48</f>
        <v>INDIANA</v>
      </c>
      <c r="D48" s="600" t="str">
        <f>PIERNA!D48</f>
        <v>PED. 5004421</v>
      </c>
      <c r="E48" s="156">
        <f>PIERNA!E48</f>
        <v>42308</v>
      </c>
      <c r="F48" s="346">
        <f>PIERNA!F48</f>
        <v>18480.13</v>
      </c>
      <c r="G48" s="193">
        <f>PIERNA!G48</f>
        <v>19</v>
      </c>
      <c r="H48" s="65">
        <f>PIERNA!H48</f>
        <v>18600</v>
      </c>
      <c r="I48" s="441">
        <f>PIERNA!I48</f>
        <v>-119.86999999999898</v>
      </c>
      <c r="J48" s="260" t="s">
        <v>565</v>
      </c>
      <c r="K48" s="210">
        <v>8616</v>
      </c>
      <c r="L48" s="477" t="s">
        <v>602</v>
      </c>
      <c r="M48" s="116"/>
      <c r="N48" s="481"/>
      <c r="O48" s="181">
        <v>728681</v>
      </c>
      <c r="P48" s="737">
        <v>2784</v>
      </c>
      <c r="Q48" s="116">
        <f>28547.68*16.58</f>
        <v>473320.53439999995</v>
      </c>
      <c r="R48" s="484" t="s">
        <v>619</v>
      </c>
      <c r="S48" s="108">
        <f t="shared" si="8"/>
        <v>481936.53439999995</v>
      </c>
      <c r="T48" s="108">
        <f t="shared" si="1"/>
        <v>26.010566365591398</v>
      </c>
    </row>
    <row r="49" spans="1:20" s="435" customFormat="1" x14ac:dyDescent="0.25">
      <c r="A49" s="439">
        <v>46</v>
      </c>
      <c r="B49" s="452" t="str">
        <f>PIERNA!B49</f>
        <v>SEABOARD FOODS</v>
      </c>
      <c r="C49" s="451" t="str">
        <f>PIERNA!C49</f>
        <v>Seaboard</v>
      </c>
      <c r="D49" s="365" t="str">
        <f>PIERNA!D49</f>
        <v>PED. 5004422</v>
      </c>
      <c r="E49" s="156">
        <f>PIERNA!E49</f>
        <v>42308</v>
      </c>
      <c r="F49" s="346">
        <f>PIERNA!F49</f>
        <v>19173.099999999999</v>
      </c>
      <c r="G49" s="193">
        <f>PIERNA!G49</f>
        <v>21</v>
      </c>
      <c r="H49" s="65">
        <f>PIERNA!H49</f>
        <v>19292.5</v>
      </c>
      <c r="I49" s="441">
        <f>H49-F49</f>
        <v>119.40000000000146</v>
      </c>
      <c r="J49" s="260" t="s">
        <v>567</v>
      </c>
      <c r="K49" s="210">
        <v>8616</v>
      </c>
      <c r="L49" s="477" t="s">
        <v>602</v>
      </c>
      <c r="M49" s="116"/>
      <c r="N49" s="481"/>
      <c r="O49" s="181">
        <v>1195378</v>
      </c>
      <c r="P49" s="737">
        <v>2784</v>
      </c>
      <c r="Q49" s="116">
        <f>28654.48*16.54</f>
        <v>473945.0992</v>
      </c>
      <c r="R49" s="484" t="s">
        <v>621</v>
      </c>
      <c r="S49" s="108">
        <f t="shared" si="5"/>
        <v>482561.0992</v>
      </c>
      <c r="T49" s="108">
        <f t="shared" si="1"/>
        <v>25.112885794998057</v>
      </c>
    </row>
    <row r="50" spans="1:20" s="435" customFormat="1" hidden="1" x14ac:dyDescent="0.25">
      <c r="A50" s="439">
        <v>47</v>
      </c>
      <c r="B50" s="452">
        <f>PIERNA!B50</f>
        <v>0</v>
      </c>
      <c r="C50" s="451">
        <f>PIERNA!C50</f>
        <v>0</v>
      </c>
      <c r="D50" s="365">
        <f>PIERNA!D50</f>
        <v>0</v>
      </c>
      <c r="E50" s="156">
        <f>PIERNA!E50</f>
        <v>0</v>
      </c>
      <c r="F50" s="346">
        <f>PIERNA!F50</f>
        <v>0</v>
      </c>
      <c r="G50" s="193">
        <f>PIERNA!G50</f>
        <v>0</v>
      </c>
      <c r="H50" s="65">
        <f>PIERNA!H50</f>
        <v>0</v>
      </c>
      <c r="I50" s="441">
        <f t="shared" ref="I50" si="9">H50-F50</f>
        <v>0</v>
      </c>
      <c r="J50" s="260"/>
      <c r="K50" s="210"/>
      <c r="L50" s="477"/>
      <c r="M50" s="116"/>
      <c r="N50" s="481"/>
      <c r="O50" s="181"/>
      <c r="P50" s="734"/>
      <c r="Q50" s="116"/>
      <c r="R50" s="484"/>
      <c r="S50" s="108">
        <f t="shared" si="5"/>
        <v>0</v>
      </c>
      <c r="T50" s="108" t="e">
        <f t="shared" si="1"/>
        <v>#DIV/0!</v>
      </c>
    </row>
    <row r="51" spans="1:20" s="435" customFormat="1" hidden="1" x14ac:dyDescent="0.25">
      <c r="A51" s="439">
        <v>48</v>
      </c>
      <c r="B51" s="452">
        <f>PIERNA!B51</f>
        <v>0</v>
      </c>
      <c r="C51" s="451">
        <f>PIERNA!C51</f>
        <v>0</v>
      </c>
      <c r="D51" s="365">
        <f>PIERNA!D51</f>
        <v>0</v>
      </c>
      <c r="E51" s="156">
        <f>PIERNA!E51</f>
        <v>0</v>
      </c>
      <c r="F51" s="346">
        <f>PIERNA!F51</f>
        <v>0</v>
      </c>
      <c r="G51" s="193">
        <f>PIERNA!G51</f>
        <v>0</v>
      </c>
      <c r="H51" s="65">
        <f>PIERNA!H51</f>
        <v>0</v>
      </c>
      <c r="I51" s="441">
        <f t="shared" ref="I51:I62" si="10">H51-F51</f>
        <v>0</v>
      </c>
      <c r="J51" s="260"/>
      <c r="K51" s="210"/>
      <c r="L51" s="477"/>
      <c r="M51" s="116"/>
      <c r="N51" s="481"/>
      <c r="O51" s="181"/>
      <c r="P51" s="734"/>
      <c r="Q51" s="116"/>
      <c r="R51" s="484"/>
      <c r="S51" s="108">
        <f t="shared" si="5"/>
        <v>0</v>
      </c>
      <c r="T51" s="108" t="e">
        <f t="shared" si="1"/>
        <v>#DIV/0!</v>
      </c>
    </row>
    <row r="52" spans="1:20" s="435" customFormat="1" hidden="1" x14ac:dyDescent="0.25">
      <c r="A52" s="439">
        <v>49</v>
      </c>
      <c r="B52" s="452">
        <f>PIERNA!B52</f>
        <v>0</v>
      </c>
      <c r="C52" s="451">
        <f>PIERNA!C52</f>
        <v>0</v>
      </c>
      <c r="D52" s="365">
        <f>PIERNA!D52</f>
        <v>0</v>
      </c>
      <c r="E52" s="156">
        <f>PIERNA!E52</f>
        <v>0</v>
      </c>
      <c r="F52" s="346">
        <f>PIERNA!F52</f>
        <v>0</v>
      </c>
      <c r="G52" s="193">
        <f>PIERNA!G52</f>
        <v>0</v>
      </c>
      <c r="H52" s="65">
        <f>PIERNA!H52</f>
        <v>0</v>
      </c>
      <c r="I52" s="441">
        <f t="shared" si="10"/>
        <v>0</v>
      </c>
      <c r="J52" s="260"/>
      <c r="K52" s="210"/>
      <c r="L52" s="477"/>
      <c r="M52" s="116"/>
      <c r="N52" s="481"/>
      <c r="O52" s="181"/>
      <c r="P52" s="734"/>
      <c r="Q52" s="116"/>
      <c r="R52" s="484"/>
      <c r="S52" s="108">
        <f t="shared" si="5"/>
        <v>0</v>
      </c>
      <c r="T52" s="108" t="e">
        <f t="shared" si="1"/>
        <v>#DIV/0!</v>
      </c>
    </row>
    <row r="53" spans="1:20" s="435" customFormat="1" hidden="1" x14ac:dyDescent="0.25">
      <c r="A53" s="439">
        <v>50</v>
      </c>
      <c r="B53" s="452">
        <f>PIERNA!B53</f>
        <v>0</v>
      </c>
      <c r="C53" s="451">
        <f>PIERNA!C53</f>
        <v>0</v>
      </c>
      <c r="D53" s="365">
        <f>PIERNA!D53</f>
        <v>0</v>
      </c>
      <c r="E53" s="156">
        <f>PIERNA!E53</f>
        <v>0</v>
      </c>
      <c r="F53" s="346">
        <f>PIERNA!F53</f>
        <v>0</v>
      </c>
      <c r="G53" s="193">
        <f>PIERNA!G53</f>
        <v>0</v>
      </c>
      <c r="H53" s="65">
        <f>PIERNA!H53</f>
        <v>0</v>
      </c>
      <c r="I53" s="441">
        <f t="shared" si="10"/>
        <v>0</v>
      </c>
      <c r="J53" s="260"/>
      <c r="K53" s="210"/>
      <c r="L53" s="477"/>
      <c r="M53" s="116"/>
      <c r="N53" s="481"/>
      <c r="O53" s="181"/>
      <c r="P53" s="734"/>
      <c r="Q53" s="116"/>
      <c r="R53" s="484"/>
      <c r="S53" s="108">
        <f t="shared" si="5"/>
        <v>0</v>
      </c>
      <c r="T53" s="108" t="e">
        <f t="shared" si="1"/>
        <v>#DIV/0!</v>
      </c>
    </row>
    <row r="54" spans="1:20" s="435" customFormat="1" hidden="1" x14ac:dyDescent="0.25">
      <c r="A54" s="439">
        <v>51</v>
      </c>
      <c r="B54" s="452">
        <f>PIERNA!B54</f>
        <v>0</v>
      </c>
      <c r="C54" s="451">
        <f>PIERNA!C54</f>
        <v>0</v>
      </c>
      <c r="D54" s="365">
        <f>PIERNA!D54</f>
        <v>0</v>
      </c>
      <c r="E54" s="156">
        <f>PIERNA!E54</f>
        <v>0</v>
      </c>
      <c r="F54" s="346">
        <f>PIERNA!F54</f>
        <v>0</v>
      </c>
      <c r="G54" s="193">
        <f>PIERNA!G54</f>
        <v>0</v>
      </c>
      <c r="H54" s="65">
        <f>PIERNA!H54</f>
        <v>0</v>
      </c>
      <c r="I54" s="441">
        <f t="shared" si="10"/>
        <v>0</v>
      </c>
      <c r="J54" s="260"/>
      <c r="K54" s="210"/>
      <c r="L54" s="477"/>
      <c r="M54" s="116"/>
      <c r="N54" s="481"/>
      <c r="O54" s="181"/>
      <c r="P54" s="734"/>
      <c r="Q54" s="116"/>
      <c r="R54" s="484"/>
      <c r="S54" s="108">
        <f t="shared" si="5"/>
        <v>0</v>
      </c>
      <c r="T54" s="108" t="e">
        <f t="shared" si="1"/>
        <v>#DIV/0!</v>
      </c>
    </row>
    <row r="55" spans="1:20" s="435" customFormat="1" hidden="1" x14ac:dyDescent="0.25">
      <c r="A55" s="439">
        <v>52</v>
      </c>
      <c r="B55" s="452">
        <f>PIERNA!B55</f>
        <v>0</v>
      </c>
      <c r="C55" s="451">
        <f>PIERNA!C55</f>
        <v>0</v>
      </c>
      <c r="D55" s="365">
        <f>PIERNA!D55</f>
        <v>0</v>
      </c>
      <c r="E55" s="156">
        <f>PIERNA!E55</f>
        <v>0</v>
      </c>
      <c r="F55" s="346">
        <f>PIERNA!F55</f>
        <v>0</v>
      </c>
      <c r="G55" s="193">
        <f>PIERNA!G55</f>
        <v>0</v>
      </c>
      <c r="H55" s="65">
        <f>PIERNA!H55</f>
        <v>0</v>
      </c>
      <c r="I55" s="441">
        <f t="shared" si="10"/>
        <v>0</v>
      </c>
      <c r="J55" s="260"/>
      <c r="K55" s="210"/>
      <c r="L55" s="477"/>
      <c r="M55" s="116"/>
      <c r="N55" s="481"/>
      <c r="O55" s="181"/>
      <c r="P55" s="734"/>
      <c r="Q55" s="116"/>
      <c r="R55" s="484"/>
      <c r="S55" s="108">
        <f t="shared" ref="S55:S77" si="11">Q55+M55+K55</f>
        <v>0</v>
      </c>
      <c r="T55" s="108" t="e">
        <f t="shared" si="1"/>
        <v>#DIV/0!</v>
      </c>
    </row>
    <row r="56" spans="1:20" s="435" customFormat="1" hidden="1" x14ac:dyDescent="0.25">
      <c r="A56" s="439">
        <v>53</v>
      </c>
      <c r="B56" s="452">
        <f>PIERNA!B56</f>
        <v>0</v>
      </c>
      <c r="C56" s="451">
        <f>PIERNA!C56</f>
        <v>0</v>
      </c>
      <c r="D56" s="365">
        <f>PIERNA!D56</f>
        <v>0</v>
      </c>
      <c r="E56" s="156">
        <f>PIERNA!E56</f>
        <v>0</v>
      </c>
      <c r="F56" s="346">
        <f>PIERNA!F56</f>
        <v>0</v>
      </c>
      <c r="G56" s="193">
        <f>PIERNA!G56</f>
        <v>0</v>
      </c>
      <c r="H56" s="65">
        <f>PIERNA!H56</f>
        <v>0</v>
      </c>
      <c r="I56" s="441">
        <f t="shared" si="10"/>
        <v>0</v>
      </c>
      <c r="J56" s="260"/>
      <c r="K56" s="210"/>
      <c r="L56" s="477"/>
      <c r="M56" s="116"/>
      <c r="N56" s="481"/>
      <c r="O56" s="181"/>
      <c r="P56" s="734"/>
      <c r="Q56" s="116"/>
      <c r="R56" s="484"/>
      <c r="S56" s="108">
        <f t="shared" si="11"/>
        <v>0</v>
      </c>
      <c r="T56" s="108" t="e">
        <f t="shared" si="1"/>
        <v>#DIV/0!</v>
      </c>
    </row>
    <row r="57" spans="1:20" s="435" customFormat="1" hidden="1" x14ac:dyDescent="0.25">
      <c r="A57" s="439">
        <v>54</v>
      </c>
      <c r="B57" s="452">
        <f>PIERNA!B57</f>
        <v>0</v>
      </c>
      <c r="C57" s="451">
        <f>PIERNA!C57</f>
        <v>0</v>
      </c>
      <c r="D57" s="365">
        <f>PIERNA!D57</f>
        <v>0</v>
      </c>
      <c r="E57" s="156">
        <f>PIERNA!E57</f>
        <v>0</v>
      </c>
      <c r="F57" s="346">
        <f>PIERNA!F57</f>
        <v>0</v>
      </c>
      <c r="G57" s="450">
        <f>PIERNA!G57</f>
        <v>0</v>
      </c>
      <c r="H57" s="65">
        <f>PIERNA!H57</f>
        <v>0</v>
      </c>
      <c r="I57" s="441">
        <f t="shared" si="10"/>
        <v>0</v>
      </c>
      <c r="J57" s="260"/>
      <c r="K57" s="210"/>
      <c r="L57" s="477"/>
      <c r="M57" s="116"/>
      <c r="N57" s="481"/>
      <c r="O57" s="181"/>
      <c r="P57" s="734"/>
      <c r="Q57" s="116"/>
      <c r="R57" s="484"/>
      <c r="S57" s="108">
        <f t="shared" si="11"/>
        <v>0</v>
      </c>
      <c r="T57" s="108" t="e">
        <f t="shared" si="1"/>
        <v>#DIV/0!</v>
      </c>
    </row>
    <row r="58" spans="1:20" s="435" customFormat="1" hidden="1" x14ac:dyDescent="0.25">
      <c r="A58" s="439">
        <v>55</v>
      </c>
      <c r="B58" s="452">
        <f>PIERNA!B58</f>
        <v>0</v>
      </c>
      <c r="C58" s="451">
        <f>PIERNA!C58</f>
        <v>0</v>
      </c>
      <c r="D58" s="365">
        <f>PIERNA!D58</f>
        <v>0</v>
      </c>
      <c r="E58" s="156">
        <f>PIERNA!E58</f>
        <v>0</v>
      </c>
      <c r="F58" s="346">
        <f>PIERNA!F58</f>
        <v>0</v>
      </c>
      <c r="G58" s="450">
        <f>PIERNA!G58</f>
        <v>0</v>
      </c>
      <c r="H58" s="65">
        <f>PIERNA!H58</f>
        <v>0</v>
      </c>
      <c r="I58" s="441">
        <f t="shared" si="10"/>
        <v>0</v>
      </c>
      <c r="J58" s="260"/>
      <c r="K58" s="210"/>
      <c r="L58" s="477"/>
      <c r="M58" s="116"/>
      <c r="N58" s="481"/>
      <c r="O58" s="181"/>
      <c r="P58" s="734"/>
      <c r="Q58" s="116"/>
      <c r="R58" s="484"/>
      <c r="S58" s="108">
        <f t="shared" si="11"/>
        <v>0</v>
      </c>
      <c r="T58" s="108" t="e">
        <f t="shared" si="1"/>
        <v>#DIV/0!</v>
      </c>
    </row>
    <row r="59" spans="1:20" s="435" customFormat="1" hidden="1" x14ac:dyDescent="0.25">
      <c r="A59" s="439">
        <v>56</v>
      </c>
      <c r="B59" s="452">
        <f>PIERNA!B59</f>
        <v>0</v>
      </c>
      <c r="C59" s="451">
        <f>PIERNA!C59</f>
        <v>0</v>
      </c>
      <c r="D59" s="365">
        <f>PIERNA!D59</f>
        <v>0</v>
      </c>
      <c r="E59" s="156">
        <f>PIERNA!E59</f>
        <v>0</v>
      </c>
      <c r="F59" s="346">
        <f>PIERNA!F59</f>
        <v>0</v>
      </c>
      <c r="G59" s="450">
        <f>PIERNA!G59</f>
        <v>0</v>
      </c>
      <c r="H59" s="65">
        <f>PIERNA!H59</f>
        <v>0</v>
      </c>
      <c r="I59" s="441">
        <f t="shared" si="10"/>
        <v>0</v>
      </c>
      <c r="J59" s="260"/>
      <c r="K59" s="210"/>
      <c r="L59" s="477"/>
      <c r="M59" s="116"/>
      <c r="N59" s="481"/>
      <c r="O59" s="181"/>
      <c r="P59" s="734"/>
      <c r="Q59" s="116"/>
      <c r="R59" s="484"/>
      <c r="S59" s="108">
        <f t="shared" si="11"/>
        <v>0</v>
      </c>
      <c r="T59" s="108" t="e">
        <f t="shared" si="1"/>
        <v>#DIV/0!</v>
      </c>
    </row>
    <row r="60" spans="1:20" s="435" customFormat="1" hidden="1" x14ac:dyDescent="0.25">
      <c r="A60" s="439">
        <v>57</v>
      </c>
      <c r="B60" s="452">
        <f>PIERNA!B60</f>
        <v>0</v>
      </c>
      <c r="C60" s="451">
        <f>PIERNA!C60</f>
        <v>0</v>
      </c>
      <c r="D60" s="365">
        <f>PIERNA!D60</f>
        <v>0</v>
      </c>
      <c r="E60" s="156">
        <f>PIERNA!E60</f>
        <v>0</v>
      </c>
      <c r="F60" s="346">
        <f>PIERNA!F60</f>
        <v>0</v>
      </c>
      <c r="G60" s="450">
        <f>PIERNA!G60</f>
        <v>0</v>
      </c>
      <c r="H60" s="65">
        <f>PIERNA!H60</f>
        <v>0</v>
      </c>
      <c r="I60" s="441">
        <f t="shared" si="10"/>
        <v>0</v>
      </c>
      <c r="J60" s="260"/>
      <c r="K60" s="210"/>
      <c r="L60" s="477"/>
      <c r="M60" s="116"/>
      <c r="N60" s="481"/>
      <c r="O60" s="181"/>
      <c r="P60" s="734"/>
      <c r="Q60" s="116"/>
      <c r="R60" s="484"/>
      <c r="S60" s="108">
        <f t="shared" si="11"/>
        <v>0</v>
      </c>
      <c r="T60" s="108" t="e">
        <f t="shared" si="1"/>
        <v>#DIV/0!</v>
      </c>
    </row>
    <row r="61" spans="1:20" s="435" customFormat="1" hidden="1" x14ac:dyDescent="0.25">
      <c r="A61" s="439">
        <v>58</v>
      </c>
      <c r="B61" s="452">
        <f>PIERNA!B61</f>
        <v>0</v>
      </c>
      <c r="C61" s="451">
        <f>PIERNA!C61</f>
        <v>0</v>
      </c>
      <c r="D61" s="365">
        <f>PIERNA!D61</f>
        <v>0</v>
      </c>
      <c r="E61" s="156">
        <f>PIERNA!E61</f>
        <v>0</v>
      </c>
      <c r="F61" s="346">
        <f>PIERNA!F61</f>
        <v>0</v>
      </c>
      <c r="G61" s="450">
        <f>PIERNA!G61</f>
        <v>0</v>
      </c>
      <c r="H61" s="65">
        <f>PIERNA!H61</f>
        <v>0</v>
      </c>
      <c r="I61" s="441">
        <f t="shared" si="10"/>
        <v>0</v>
      </c>
      <c r="J61" s="260"/>
      <c r="K61" s="210"/>
      <c r="L61" s="477"/>
      <c r="M61" s="116"/>
      <c r="N61" s="481"/>
      <c r="O61" s="181"/>
      <c r="P61" s="734"/>
      <c r="Q61" s="116"/>
      <c r="R61" s="484"/>
      <c r="S61" s="108">
        <f t="shared" si="11"/>
        <v>0</v>
      </c>
      <c r="T61" s="108" t="e">
        <f t="shared" si="1"/>
        <v>#DIV/0!</v>
      </c>
    </row>
    <row r="62" spans="1:20" s="435" customFormat="1" hidden="1" x14ac:dyDescent="0.25">
      <c r="A62" s="439"/>
      <c r="B62" s="452"/>
      <c r="C62" s="451"/>
      <c r="D62" s="365"/>
      <c r="E62" s="156"/>
      <c r="F62" s="346"/>
      <c r="G62" s="450"/>
      <c r="H62" s="65"/>
      <c r="I62" s="441">
        <f t="shared" si="10"/>
        <v>0</v>
      </c>
      <c r="J62" s="260"/>
      <c r="K62" s="210"/>
      <c r="L62" s="477"/>
      <c r="M62" s="116"/>
      <c r="N62" s="481"/>
      <c r="O62" s="181"/>
      <c r="P62" s="734"/>
      <c r="Q62" s="116"/>
      <c r="R62" s="484"/>
      <c r="S62" s="108">
        <f t="shared" si="11"/>
        <v>0</v>
      </c>
      <c r="T62" s="108" t="e">
        <f t="shared" si="1"/>
        <v>#DIV/0!</v>
      </c>
    </row>
    <row r="63" spans="1:20" s="435" customFormat="1" x14ac:dyDescent="0.25">
      <c r="A63" s="439"/>
      <c r="B63" s="135"/>
      <c r="C63" s="447"/>
      <c r="D63" s="195"/>
      <c r="E63" s="156"/>
      <c r="F63" s="346"/>
      <c r="G63" s="450"/>
      <c r="H63" s="65"/>
      <c r="I63" s="441"/>
      <c r="J63" s="260"/>
      <c r="K63" s="210"/>
      <c r="L63" s="477"/>
      <c r="M63" s="116"/>
      <c r="N63" s="481"/>
      <c r="O63" s="181"/>
      <c r="P63" s="734"/>
      <c r="Q63" s="116"/>
      <c r="R63" s="484"/>
      <c r="S63" s="108">
        <f t="shared" si="11"/>
        <v>0</v>
      </c>
      <c r="T63" s="108" t="e">
        <f t="shared" si="1"/>
        <v>#DIV/0!</v>
      </c>
    </row>
    <row r="64" spans="1:20" s="435" customFormat="1" x14ac:dyDescent="0.25">
      <c r="A64" s="439">
        <v>59</v>
      </c>
      <c r="B64" s="135" t="s">
        <v>520</v>
      </c>
      <c r="C64" s="324" t="s">
        <v>521</v>
      </c>
      <c r="D64" s="195"/>
      <c r="E64" s="156">
        <v>42282</v>
      </c>
      <c r="F64" s="346">
        <v>204.3</v>
      </c>
      <c r="G64" s="193">
        <v>15</v>
      </c>
      <c r="H64" s="65">
        <v>204.3</v>
      </c>
      <c r="I64" s="441">
        <f t="shared" ref="I64:I69" si="12">H64-F64</f>
        <v>0</v>
      </c>
      <c r="J64" s="260"/>
      <c r="K64" s="210"/>
      <c r="L64" s="477"/>
      <c r="M64" s="116"/>
      <c r="N64" s="481"/>
      <c r="O64" s="181" t="s">
        <v>522</v>
      </c>
      <c r="P64" s="737"/>
      <c r="Q64" s="116">
        <v>21860.1</v>
      </c>
      <c r="R64" s="484" t="s">
        <v>584</v>
      </c>
      <c r="S64" s="498">
        <f t="shared" si="11"/>
        <v>21860.1</v>
      </c>
      <c r="T64" s="108">
        <f t="shared" ref="T64:T65" si="13">S64/H64</f>
        <v>106.99999999999999</v>
      </c>
    </row>
    <row r="65" spans="1:20" s="435" customFormat="1" x14ac:dyDescent="0.25">
      <c r="A65" s="439">
        <v>60</v>
      </c>
      <c r="B65" s="135" t="s">
        <v>520</v>
      </c>
      <c r="C65" s="324" t="s">
        <v>530</v>
      </c>
      <c r="D65" s="195"/>
      <c r="E65" s="156">
        <v>42289</v>
      </c>
      <c r="F65" s="346">
        <v>2002.14</v>
      </c>
      <c r="G65" s="450">
        <v>147</v>
      </c>
      <c r="H65" s="65">
        <v>2002.14</v>
      </c>
      <c r="I65" s="460">
        <f t="shared" si="12"/>
        <v>0</v>
      </c>
      <c r="J65" s="260"/>
      <c r="K65" s="210"/>
      <c r="L65" s="477"/>
      <c r="M65" s="116"/>
      <c r="N65" s="481"/>
      <c r="O65" s="181" t="s">
        <v>531</v>
      </c>
      <c r="P65" s="737"/>
      <c r="Q65" s="116">
        <v>60064.2</v>
      </c>
      <c r="R65" s="484" t="s">
        <v>592</v>
      </c>
      <c r="S65" s="498">
        <f>Q65+M65+K65</f>
        <v>60064.2</v>
      </c>
      <c r="T65" s="108">
        <f t="shared" si="13"/>
        <v>29.999999999999996</v>
      </c>
    </row>
    <row r="66" spans="1:20" s="435" customFormat="1" x14ac:dyDescent="0.25">
      <c r="A66" s="439">
        <v>61</v>
      </c>
      <c r="B66" s="135" t="s">
        <v>544</v>
      </c>
      <c r="C66" s="324" t="s">
        <v>545</v>
      </c>
      <c r="D66" s="195"/>
      <c r="E66" s="156">
        <v>42298</v>
      </c>
      <c r="F66" s="346">
        <v>8913.18</v>
      </c>
      <c r="G66" s="450">
        <v>655</v>
      </c>
      <c r="H66" s="65">
        <v>8913.18</v>
      </c>
      <c r="I66" s="441">
        <f t="shared" si="12"/>
        <v>0</v>
      </c>
      <c r="J66" s="260"/>
      <c r="K66" s="210"/>
      <c r="L66" s="477"/>
      <c r="M66" s="116"/>
      <c r="N66" s="628"/>
      <c r="O66" s="181" t="s">
        <v>546</v>
      </c>
      <c r="P66" s="737"/>
      <c r="Q66" s="116">
        <v>236199.25700000001</v>
      </c>
      <c r="R66" s="484" t="s">
        <v>618</v>
      </c>
      <c r="S66" s="108">
        <f t="shared" si="11"/>
        <v>236199.25700000001</v>
      </c>
      <c r="T66" s="108">
        <f>S66/H66</f>
        <v>26.499998541485756</v>
      </c>
    </row>
    <row r="67" spans="1:20" s="435" customFormat="1" x14ac:dyDescent="0.25">
      <c r="A67" s="439">
        <v>62</v>
      </c>
      <c r="B67" s="135" t="s">
        <v>167</v>
      </c>
      <c r="C67" s="324" t="s">
        <v>48</v>
      </c>
      <c r="D67" s="195"/>
      <c r="E67" s="156">
        <v>42298</v>
      </c>
      <c r="F67" s="346">
        <v>5000</v>
      </c>
      <c r="G67" s="450">
        <v>1000</v>
      </c>
      <c r="H67" s="65">
        <v>5000</v>
      </c>
      <c r="I67" s="441">
        <f t="shared" si="12"/>
        <v>0</v>
      </c>
      <c r="J67" s="260"/>
      <c r="K67" s="210"/>
      <c r="L67" s="477"/>
      <c r="M67" s="116"/>
      <c r="N67" s="481"/>
      <c r="O67" s="181" t="s">
        <v>549</v>
      </c>
      <c r="P67" s="737"/>
      <c r="Q67" s="678"/>
      <c r="R67" s="679"/>
      <c r="S67" s="498">
        <f t="shared" si="11"/>
        <v>0</v>
      </c>
      <c r="T67" s="108">
        <f t="shared" ref="T67:T75" si="14">S67/H67</f>
        <v>0</v>
      </c>
    </row>
    <row r="68" spans="1:20" s="435" customFormat="1" x14ac:dyDescent="0.25">
      <c r="A68" s="439">
        <v>63</v>
      </c>
      <c r="B68" s="135" t="s">
        <v>43</v>
      </c>
      <c r="C68" s="324" t="s">
        <v>552</v>
      </c>
      <c r="D68" s="195" t="s">
        <v>497</v>
      </c>
      <c r="E68" s="156">
        <v>42301</v>
      </c>
      <c r="F68" s="346">
        <v>2041.2</v>
      </c>
      <c r="G68" s="450">
        <v>150</v>
      </c>
      <c r="H68" s="65">
        <v>2041.2</v>
      </c>
      <c r="I68" s="441">
        <f t="shared" si="12"/>
        <v>0</v>
      </c>
      <c r="J68" s="673" t="s">
        <v>555</v>
      </c>
      <c r="K68" s="210">
        <v>3313.5</v>
      </c>
      <c r="L68" s="477" t="s">
        <v>595</v>
      </c>
      <c r="M68" s="116">
        <v>8265.5</v>
      </c>
      <c r="N68" s="481" t="s">
        <v>599</v>
      </c>
      <c r="O68" s="181">
        <v>1192536</v>
      </c>
      <c r="P68" s="737">
        <v>596</v>
      </c>
      <c r="Q68" s="116">
        <v>63150.75</v>
      </c>
      <c r="R68" s="484" t="s">
        <v>614</v>
      </c>
      <c r="S68" s="108">
        <f t="shared" si="11"/>
        <v>74729.75</v>
      </c>
      <c r="T68" s="108">
        <f t="shared" si="14"/>
        <v>36.610694689398393</v>
      </c>
    </row>
    <row r="69" spans="1:20" s="435" customFormat="1" x14ac:dyDescent="0.25">
      <c r="A69" s="439">
        <v>64</v>
      </c>
      <c r="B69" s="135" t="s">
        <v>43</v>
      </c>
      <c r="C69" s="324" t="s">
        <v>553</v>
      </c>
      <c r="D69" s="195" t="s">
        <v>497</v>
      </c>
      <c r="E69" s="156">
        <v>42301</v>
      </c>
      <c r="F69" s="346">
        <v>10614.24</v>
      </c>
      <c r="G69" s="450">
        <v>975</v>
      </c>
      <c r="H69" s="65">
        <v>10614.24</v>
      </c>
      <c r="I69" s="441">
        <f t="shared" si="12"/>
        <v>0</v>
      </c>
      <c r="J69" s="673" t="s">
        <v>555</v>
      </c>
      <c r="K69" s="210">
        <v>3545.2</v>
      </c>
      <c r="L69" s="477" t="s">
        <v>595</v>
      </c>
      <c r="M69" s="116">
        <v>8843.6</v>
      </c>
      <c r="N69" s="481" t="s">
        <v>599</v>
      </c>
      <c r="O69" s="181">
        <v>1192536</v>
      </c>
      <c r="P69" s="737">
        <v>3099</v>
      </c>
      <c r="Q69" s="116">
        <f>39780*16.51</f>
        <v>656767.80000000005</v>
      </c>
      <c r="R69" s="484" t="s">
        <v>614</v>
      </c>
      <c r="S69" s="108">
        <f t="shared" si="11"/>
        <v>669156.6</v>
      </c>
      <c r="T69" s="677">
        <f>S69/H69</f>
        <v>63.043289015511235</v>
      </c>
    </row>
    <row r="70" spans="1:20" s="435" customFormat="1" x14ac:dyDescent="0.25">
      <c r="A70" s="439">
        <v>65</v>
      </c>
      <c r="B70" s="135" t="s">
        <v>43</v>
      </c>
      <c r="C70" s="497" t="s">
        <v>554</v>
      </c>
      <c r="D70" s="195" t="s">
        <v>497</v>
      </c>
      <c r="E70" s="156">
        <v>42301</v>
      </c>
      <c r="F70" s="346">
        <v>3180.96</v>
      </c>
      <c r="G70" s="193">
        <v>180</v>
      </c>
      <c r="H70" s="65">
        <v>3180.96</v>
      </c>
      <c r="I70" s="441">
        <f t="shared" ref="I70:I72" si="15">H70-F70</f>
        <v>0</v>
      </c>
      <c r="J70" s="673" t="s">
        <v>555</v>
      </c>
      <c r="K70" s="210">
        <v>1062.5</v>
      </c>
      <c r="L70" s="477" t="s">
        <v>595</v>
      </c>
      <c r="M70" s="116">
        <v>2650.4</v>
      </c>
      <c r="N70" s="481" t="s">
        <v>599</v>
      </c>
      <c r="O70" s="181">
        <v>1192536</v>
      </c>
      <c r="P70" s="737">
        <v>929</v>
      </c>
      <c r="Q70" s="116">
        <f>6101.06*16.51</f>
        <v>100728.50060000001</v>
      </c>
      <c r="R70" s="484" t="s">
        <v>614</v>
      </c>
      <c r="S70" s="108">
        <f t="shared" si="11"/>
        <v>104441.40060000001</v>
      </c>
      <c r="T70" s="108">
        <f t="shared" si="14"/>
        <v>32.833295797495097</v>
      </c>
    </row>
    <row r="71" spans="1:20" s="435" customFormat="1" x14ac:dyDescent="0.25">
      <c r="A71" s="439">
        <v>66</v>
      </c>
      <c r="B71" s="135" t="s">
        <v>43</v>
      </c>
      <c r="C71" s="324" t="s">
        <v>56</v>
      </c>
      <c r="D71" s="569" t="s">
        <v>497</v>
      </c>
      <c r="E71" s="156">
        <v>42301</v>
      </c>
      <c r="F71" s="346">
        <v>2041.2</v>
      </c>
      <c r="G71" s="193">
        <v>150</v>
      </c>
      <c r="H71" s="65">
        <v>2041.2</v>
      </c>
      <c r="I71" s="441">
        <f t="shared" si="15"/>
        <v>0</v>
      </c>
      <c r="J71" s="673" t="s">
        <v>555</v>
      </c>
      <c r="K71" s="210">
        <v>681.8</v>
      </c>
      <c r="L71" s="477" t="s">
        <v>595</v>
      </c>
      <c r="M71" s="116">
        <v>1700.5</v>
      </c>
      <c r="N71" s="481" t="s">
        <v>599</v>
      </c>
      <c r="O71" s="181">
        <v>119536</v>
      </c>
      <c r="P71" s="737">
        <v>596</v>
      </c>
      <c r="Q71" s="116">
        <f>3240*16.51</f>
        <v>53492.4</v>
      </c>
      <c r="R71" s="484" t="s">
        <v>614</v>
      </c>
      <c r="S71" s="108">
        <f t="shared" si="11"/>
        <v>55874.700000000004</v>
      </c>
      <c r="T71" s="108">
        <f t="shared" si="14"/>
        <v>27.373456790123459</v>
      </c>
    </row>
    <row r="72" spans="1:20" s="435" customFormat="1" x14ac:dyDescent="0.25">
      <c r="A72" s="439">
        <v>67</v>
      </c>
      <c r="B72" s="135" t="s">
        <v>558</v>
      </c>
      <c r="C72" s="324" t="s">
        <v>559</v>
      </c>
      <c r="D72" s="569" t="s">
        <v>501</v>
      </c>
      <c r="E72" s="156">
        <v>42304</v>
      </c>
      <c r="F72" s="346">
        <v>17906.2</v>
      </c>
      <c r="G72" s="193">
        <v>595</v>
      </c>
      <c r="H72" s="65">
        <v>17906.2</v>
      </c>
      <c r="I72" s="441">
        <f t="shared" si="15"/>
        <v>0</v>
      </c>
      <c r="J72" s="260"/>
      <c r="K72" s="210"/>
      <c r="L72" s="477"/>
      <c r="M72" s="116"/>
      <c r="N72" s="481"/>
      <c r="O72" s="680" t="s">
        <v>797</v>
      </c>
      <c r="P72" s="737"/>
      <c r="Q72" s="602">
        <v>1575903.47</v>
      </c>
      <c r="R72" s="603" t="s">
        <v>798</v>
      </c>
      <c r="S72" s="108">
        <f t="shared" si="11"/>
        <v>1575903.47</v>
      </c>
      <c r="T72" s="108">
        <f t="shared" si="14"/>
        <v>88.008816499313085</v>
      </c>
    </row>
    <row r="73" spans="1:20" s="435" customFormat="1" x14ac:dyDescent="0.25">
      <c r="A73" s="439">
        <v>68</v>
      </c>
      <c r="B73" s="135" t="s">
        <v>558</v>
      </c>
      <c r="C73" s="324" t="s">
        <v>566</v>
      </c>
      <c r="D73" s="195" t="s">
        <v>505</v>
      </c>
      <c r="E73" s="156">
        <v>42308</v>
      </c>
      <c r="F73" s="346">
        <v>18427.939999999999</v>
      </c>
      <c r="G73" s="193">
        <v>677</v>
      </c>
      <c r="H73" s="65">
        <v>18427.939999999999</v>
      </c>
      <c r="I73" s="441">
        <f t="shared" ref="I73:I75" si="16">H73-F73</f>
        <v>0</v>
      </c>
      <c r="J73" s="260"/>
      <c r="K73" s="210"/>
      <c r="L73" s="477"/>
      <c r="M73" s="116"/>
      <c r="N73" s="478"/>
      <c r="O73" s="680" t="s">
        <v>799</v>
      </c>
      <c r="P73" s="737"/>
      <c r="Q73" s="602">
        <v>865970.63</v>
      </c>
      <c r="R73" s="603" t="s">
        <v>800</v>
      </c>
      <c r="S73" s="108">
        <f t="shared" si="11"/>
        <v>865970.63</v>
      </c>
      <c r="T73" s="108">
        <f t="shared" si="14"/>
        <v>46.992264463635117</v>
      </c>
    </row>
    <row r="74" spans="1:20" s="435" customFormat="1" x14ac:dyDescent="0.25">
      <c r="A74" s="439">
        <v>69</v>
      </c>
      <c r="B74" s="135"/>
      <c r="C74" s="324"/>
      <c r="D74" s="195"/>
      <c r="E74" s="156"/>
      <c r="F74" s="346"/>
      <c r="G74" s="193"/>
      <c r="H74" s="65"/>
      <c r="I74" s="441">
        <f t="shared" si="16"/>
        <v>0</v>
      </c>
      <c r="J74" s="260"/>
      <c r="K74" s="210"/>
      <c r="L74" s="477"/>
      <c r="M74" s="116"/>
      <c r="N74" s="478"/>
      <c r="O74" s="181"/>
      <c r="P74" s="734"/>
      <c r="Q74" s="101"/>
      <c r="R74" s="624"/>
      <c r="S74" s="108">
        <f t="shared" si="11"/>
        <v>0</v>
      </c>
      <c r="T74" s="108" t="e">
        <f t="shared" si="14"/>
        <v>#DIV/0!</v>
      </c>
    </row>
    <row r="75" spans="1:20" s="435" customFormat="1" x14ac:dyDescent="0.25">
      <c r="A75" s="439">
        <v>70</v>
      </c>
      <c r="B75" s="135"/>
      <c r="C75" s="324"/>
      <c r="D75" s="324"/>
      <c r="E75" s="156"/>
      <c r="F75" s="346"/>
      <c r="G75" s="193"/>
      <c r="H75" s="65"/>
      <c r="I75" s="441">
        <f t="shared" si="16"/>
        <v>0</v>
      </c>
      <c r="J75" s="124"/>
      <c r="K75" s="210"/>
      <c r="L75" s="477"/>
      <c r="M75" s="116"/>
      <c r="N75" s="478"/>
      <c r="O75" s="181"/>
      <c r="P75" s="734"/>
      <c r="Q75" s="101"/>
      <c r="R75" s="624"/>
      <c r="S75" s="108">
        <f t="shared" si="11"/>
        <v>0</v>
      </c>
      <c r="T75" s="108" t="e">
        <f t="shared" si="14"/>
        <v>#DIV/0!</v>
      </c>
    </row>
    <row r="76" spans="1:20" s="435" customFormat="1" ht="15.75" thickBot="1" x14ac:dyDescent="0.3">
      <c r="A76" s="439">
        <v>71</v>
      </c>
      <c r="B76" s="135"/>
      <c r="C76" s="324"/>
      <c r="D76" s="324"/>
      <c r="E76" s="156"/>
      <c r="F76" s="346"/>
      <c r="G76" s="193"/>
      <c r="H76" s="65"/>
      <c r="I76" s="441">
        <f t="shared" ref="I76:I88" si="17">H76-F76</f>
        <v>0</v>
      </c>
      <c r="J76" s="124"/>
      <c r="K76" s="210"/>
      <c r="L76" s="477"/>
      <c r="M76" s="116"/>
      <c r="N76" s="478"/>
      <c r="O76" s="181"/>
      <c r="P76" s="734"/>
      <c r="Q76" s="602"/>
      <c r="R76" s="603"/>
      <c r="S76" s="108">
        <f t="shared" si="11"/>
        <v>0</v>
      </c>
      <c r="T76" s="108" t="e">
        <f t="shared" ref="T76:T84" si="18">S76/H76+0.1</f>
        <v>#DIV/0!</v>
      </c>
    </row>
    <row r="77" spans="1:20" s="435" customFormat="1" hidden="1" x14ac:dyDescent="0.25">
      <c r="A77" s="439">
        <v>72</v>
      </c>
      <c r="B77" s="135"/>
      <c r="C77" s="358"/>
      <c r="D77" s="324"/>
      <c r="E77" s="156"/>
      <c r="F77" s="346"/>
      <c r="G77" s="193"/>
      <c r="H77" s="65"/>
      <c r="I77" s="441">
        <f t="shared" ref="I77" si="19">H77-F77</f>
        <v>0</v>
      </c>
      <c r="J77" s="124"/>
      <c r="K77" s="210"/>
      <c r="L77" s="477"/>
      <c r="M77" s="116"/>
      <c r="N77" s="478"/>
      <c r="O77" s="181"/>
      <c r="P77" s="734"/>
      <c r="Q77" s="572"/>
      <c r="R77" s="570"/>
      <c r="S77" s="108">
        <f t="shared" si="11"/>
        <v>0</v>
      </c>
      <c r="T77" s="108" t="e">
        <f t="shared" si="18"/>
        <v>#DIV/0!</v>
      </c>
    </row>
    <row r="78" spans="1:20" s="435" customFormat="1" hidden="1" x14ac:dyDescent="0.25">
      <c r="A78" s="439">
        <v>73</v>
      </c>
      <c r="B78" s="135"/>
      <c r="C78" s="358"/>
      <c r="D78" s="324"/>
      <c r="E78" s="156"/>
      <c r="F78" s="346"/>
      <c r="G78" s="193"/>
      <c r="H78" s="65"/>
      <c r="I78" s="441">
        <f t="shared" si="17"/>
        <v>0</v>
      </c>
      <c r="J78" s="124"/>
      <c r="K78" s="210"/>
      <c r="L78" s="477"/>
      <c r="M78" s="116"/>
      <c r="N78" s="478"/>
      <c r="O78" s="181"/>
      <c r="P78" s="734"/>
      <c r="Q78" s="572"/>
      <c r="R78" s="570"/>
      <c r="S78" s="108">
        <f t="shared" ref="S78:S80" si="20">Q78+M78+K78</f>
        <v>0</v>
      </c>
      <c r="T78" s="108" t="e">
        <f t="shared" si="18"/>
        <v>#DIV/0!</v>
      </c>
    </row>
    <row r="79" spans="1:20" s="435" customFormat="1" hidden="1" x14ac:dyDescent="0.25">
      <c r="A79" s="439">
        <v>74</v>
      </c>
      <c r="B79" s="135"/>
      <c r="C79" s="358"/>
      <c r="D79" s="324"/>
      <c r="E79" s="156"/>
      <c r="F79" s="346"/>
      <c r="G79" s="193"/>
      <c r="H79" s="65"/>
      <c r="I79" s="441">
        <f t="shared" si="17"/>
        <v>0</v>
      </c>
      <c r="J79" s="124"/>
      <c r="K79" s="210"/>
      <c r="L79" s="477"/>
      <c r="M79" s="116"/>
      <c r="N79" s="478"/>
      <c r="O79" s="181"/>
      <c r="P79" s="734"/>
      <c r="Q79" s="572"/>
      <c r="R79" s="571"/>
      <c r="S79" s="108">
        <f t="shared" si="20"/>
        <v>0</v>
      </c>
      <c r="T79" s="108" t="e">
        <f t="shared" si="18"/>
        <v>#DIV/0!</v>
      </c>
    </row>
    <row r="80" spans="1:20" s="435" customFormat="1" hidden="1" x14ac:dyDescent="0.25">
      <c r="A80" s="439">
        <v>75</v>
      </c>
      <c r="B80" s="135"/>
      <c r="C80" s="358"/>
      <c r="D80" s="324"/>
      <c r="E80" s="156"/>
      <c r="F80" s="346"/>
      <c r="G80" s="193"/>
      <c r="H80" s="65"/>
      <c r="I80" s="441">
        <f t="shared" ref="I80" si="21">H80-F80</f>
        <v>0</v>
      </c>
      <c r="J80" s="124"/>
      <c r="K80" s="210"/>
      <c r="L80" s="477"/>
      <c r="M80" s="116"/>
      <c r="N80" s="478"/>
      <c r="O80" s="181"/>
      <c r="P80" s="734"/>
      <c r="Q80" s="572"/>
      <c r="R80" s="571"/>
      <c r="S80" s="108">
        <f t="shared" si="20"/>
        <v>0</v>
      </c>
      <c r="T80" s="108" t="e">
        <f t="shared" si="18"/>
        <v>#DIV/0!</v>
      </c>
    </row>
    <row r="81" spans="1:20" s="435" customFormat="1" hidden="1" x14ac:dyDescent="0.25">
      <c r="A81" s="439">
        <v>76</v>
      </c>
      <c r="B81" s="135"/>
      <c r="C81" s="324"/>
      <c r="D81" s="358"/>
      <c r="E81" s="156"/>
      <c r="F81" s="346"/>
      <c r="G81" s="193"/>
      <c r="H81" s="65"/>
      <c r="I81" s="441">
        <f t="shared" si="17"/>
        <v>0</v>
      </c>
      <c r="J81" s="124"/>
      <c r="K81" s="210"/>
      <c r="L81" s="477"/>
      <c r="M81" s="116"/>
      <c r="N81" s="478"/>
      <c r="O81" s="181"/>
      <c r="P81" s="734"/>
      <c r="Q81" s="116"/>
      <c r="R81" s="490"/>
      <c r="S81" s="108">
        <f t="shared" ref="S81" si="22">Q81+M81+K81</f>
        <v>0</v>
      </c>
      <c r="T81" s="108" t="e">
        <f t="shared" si="18"/>
        <v>#DIV/0!</v>
      </c>
    </row>
    <row r="82" spans="1:20" s="435" customFormat="1" hidden="1" x14ac:dyDescent="0.25">
      <c r="A82" s="439">
        <v>77</v>
      </c>
      <c r="B82" s="135"/>
      <c r="C82" s="324"/>
      <c r="D82" s="195"/>
      <c r="E82" s="156"/>
      <c r="F82" s="346"/>
      <c r="G82" s="193"/>
      <c r="H82" s="65"/>
      <c r="I82" s="441">
        <f t="shared" si="17"/>
        <v>0</v>
      </c>
      <c r="J82" s="124"/>
      <c r="K82" s="210"/>
      <c r="L82" s="446"/>
      <c r="M82" s="116"/>
      <c r="N82" s="478"/>
      <c r="O82" s="181"/>
      <c r="P82" s="734"/>
      <c r="Q82" s="116"/>
      <c r="R82" s="490"/>
      <c r="S82" s="108">
        <f t="shared" ref="S82:S87" si="23">Q82+M82+K82</f>
        <v>0</v>
      </c>
      <c r="T82" s="108" t="e">
        <f t="shared" si="18"/>
        <v>#DIV/0!</v>
      </c>
    </row>
    <row r="83" spans="1:20" s="435" customFormat="1" hidden="1" x14ac:dyDescent="0.25">
      <c r="A83" s="439">
        <v>77</v>
      </c>
      <c r="B83" s="135"/>
      <c r="C83" s="447"/>
      <c r="D83" s="195"/>
      <c r="E83" s="156"/>
      <c r="F83" s="346"/>
      <c r="G83" s="193"/>
      <c r="H83" s="65"/>
      <c r="I83" s="441">
        <f t="shared" si="17"/>
        <v>0</v>
      </c>
      <c r="J83" s="124"/>
      <c r="K83" s="210"/>
      <c r="L83" s="446"/>
      <c r="M83" s="116"/>
      <c r="N83" s="478"/>
      <c r="O83" s="181"/>
      <c r="P83" s="734"/>
      <c r="Q83" s="116"/>
      <c r="R83" s="490"/>
      <c r="S83" s="108">
        <f t="shared" si="23"/>
        <v>0</v>
      </c>
      <c r="T83" s="108" t="e">
        <f t="shared" si="18"/>
        <v>#DIV/0!</v>
      </c>
    </row>
    <row r="84" spans="1:20" s="435" customFormat="1" hidden="1" x14ac:dyDescent="0.25">
      <c r="A84" s="439">
        <v>78</v>
      </c>
      <c r="B84" s="135"/>
      <c r="C84" s="447"/>
      <c r="D84" s="195"/>
      <c r="E84" s="156"/>
      <c r="F84" s="346"/>
      <c r="G84" s="193"/>
      <c r="H84" s="65"/>
      <c r="I84" s="441">
        <f t="shared" si="17"/>
        <v>0</v>
      </c>
      <c r="J84" s="124"/>
      <c r="K84" s="210"/>
      <c r="L84" s="446"/>
      <c r="M84" s="116"/>
      <c r="N84" s="478"/>
      <c r="O84" s="181"/>
      <c r="P84" s="734"/>
      <c r="Q84" s="116"/>
      <c r="R84" s="490"/>
      <c r="S84" s="108">
        <f t="shared" si="23"/>
        <v>0</v>
      </c>
      <c r="T84" s="108" t="e">
        <f t="shared" si="18"/>
        <v>#DIV/0!</v>
      </c>
    </row>
    <row r="85" spans="1:20" s="435" customFormat="1" hidden="1" x14ac:dyDescent="0.25">
      <c r="A85" s="439"/>
      <c r="B85" s="135"/>
      <c r="C85" s="447"/>
      <c r="D85" s="195"/>
      <c r="E85" s="156"/>
      <c r="F85" s="346"/>
      <c r="G85" s="193"/>
      <c r="H85" s="65"/>
      <c r="I85" s="441">
        <f t="shared" si="17"/>
        <v>0</v>
      </c>
      <c r="J85" s="124"/>
      <c r="K85" s="210"/>
      <c r="L85" s="446"/>
      <c r="M85" s="116"/>
      <c r="N85" s="449"/>
      <c r="O85" s="181"/>
      <c r="P85" s="734"/>
      <c r="Q85" s="116"/>
      <c r="R85" s="490"/>
      <c r="S85" s="108">
        <f t="shared" si="23"/>
        <v>0</v>
      </c>
      <c r="T85" s="108" t="e">
        <f t="shared" ref="T85:T87" si="24">S85/H85</f>
        <v>#DIV/0!</v>
      </c>
    </row>
    <row r="86" spans="1:20" s="435" customFormat="1" hidden="1" x14ac:dyDescent="0.25">
      <c r="A86" s="439"/>
      <c r="B86" s="135"/>
      <c r="C86" s="447"/>
      <c r="D86" s="365"/>
      <c r="E86" s="156"/>
      <c r="F86" s="346"/>
      <c r="G86" s="193"/>
      <c r="H86" s="65"/>
      <c r="I86" s="441">
        <f t="shared" si="17"/>
        <v>0</v>
      </c>
      <c r="J86" s="124"/>
      <c r="K86" s="210"/>
      <c r="L86" s="446"/>
      <c r="M86" s="116"/>
      <c r="N86" s="449"/>
      <c r="O86" s="181"/>
      <c r="P86" s="734"/>
      <c r="Q86" s="101"/>
      <c r="R86" s="491"/>
      <c r="S86" s="108">
        <f t="shared" si="23"/>
        <v>0</v>
      </c>
      <c r="T86" s="108" t="e">
        <f t="shared" si="24"/>
        <v>#DIV/0!</v>
      </c>
    </row>
    <row r="87" spans="1:20" s="435" customFormat="1" hidden="1" x14ac:dyDescent="0.25">
      <c r="A87" s="439"/>
      <c r="B87" s="135"/>
      <c r="C87" s="447"/>
      <c r="D87" s="365"/>
      <c r="E87" s="156"/>
      <c r="F87" s="346"/>
      <c r="G87" s="193"/>
      <c r="H87" s="65"/>
      <c r="I87" s="441">
        <f t="shared" si="17"/>
        <v>0</v>
      </c>
      <c r="J87" s="124"/>
      <c r="K87" s="210"/>
      <c r="L87" s="446"/>
      <c r="M87" s="116"/>
      <c r="N87" s="449"/>
      <c r="O87" s="181"/>
      <c r="P87" s="734"/>
      <c r="Q87" s="101"/>
      <c r="R87" s="461"/>
      <c r="S87" s="108">
        <f t="shared" si="23"/>
        <v>0</v>
      </c>
      <c r="T87" s="108" t="e">
        <f t="shared" si="24"/>
        <v>#DIV/0!</v>
      </c>
    </row>
    <row r="88" spans="1:20" s="435" customFormat="1" ht="15.75" hidden="1" thickBot="1" x14ac:dyDescent="0.3">
      <c r="A88" s="439"/>
      <c r="B88" s="452"/>
      <c r="C88" s="129"/>
      <c r="D88" s="365"/>
      <c r="E88" s="217"/>
      <c r="F88" s="346"/>
      <c r="G88" s="193"/>
      <c r="H88" s="65"/>
      <c r="I88" s="441">
        <f t="shared" si="17"/>
        <v>0</v>
      </c>
      <c r="J88" s="193"/>
      <c r="K88" s="462"/>
      <c r="L88" s="463"/>
      <c r="M88" s="116"/>
      <c r="N88" s="277"/>
      <c r="O88" s="181"/>
      <c r="P88" s="734"/>
      <c r="Q88" s="133"/>
      <c r="R88" s="349"/>
      <c r="S88" s="108">
        <f t="shared" ref="S88" si="25">Q88+M88+K88</f>
        <v>0</v>
      </c>
      <c r="T88" s="108" t="e">
        <f t="shared" ref="T88" si="26">S88/H88+0.1</f>
        <v>#DIV/0!</v>
      </c>
    </row>
    <row r="89" spans="1:20" s="435" customFormat="1" ht="29.25" customHeight="1" thickTop="1" thickBot="1" x14ac:dyDescent="0.3">
      <c r="A89" s="439"/>
      <c r="B89" s="358"/>
      <c r="C89" s="129"/>
      <c r="D89" s="464"/>
      <c r="E89" s="156"/>
      <c r="F89" s="120" t="s">
        <v>32</v>
      </c>
      <c r="G89" s="121">
        <f>SUM(G5:G88)</f>
        <v>5455</v>
      </c>
      <c r="H89" s="465">
        <f>SUM(H3:H88)</f>
        <v>936728.50999999978</v>
      </c>
      <c r="I89" s="466">
        <f>PIERNA!I37</f>
        <v>-61.650000000001455</v>
      </c>
      <c r="J89" s="467"/>
      <c r="K89" s="468">
        <f>SUM(K5:K88)</f>
        <v>326979</v>
      </c>
      <c r="L89" s="469"/>
      <c r="M89" s="468">
        <f>SUM(M5:M88)</f>
        <v>749360</v>
      </c>
      <c r="N89" s="470"/>
      <c r="O89" s="467"/>
      <c r="P89" s="739"/>
      <c r="Q89" s="471">
        <f>SUM(Q5:Q88)</f>
        <v>27972088.069430005</v>
      </c>
      <c r="R89" s="350"/>
      <c r="S89" s="604">
        <f t="shared" ref="S89" si="27">Q89+M89+K89</f>
        <v>29048427.069430005</v>
      </c>
      <c r="T89" s="108"/>
    </row>
    <row r="90" spans="1:20" s="435" customFormat="1" ht="15.75" thickTop="1" x14ac:dyDescent="0.25">
      <c r="D90" s="439"/>
      <c r="E90" s="131"/>
      <c r="J90" s="439"/>
      <c r="O90" s="439"/>
      <c r="P90" s="740"/>
      <c r="Q90" s="131"/>
      <c r="R90" s="351"/>
    </row>
  </sheetData>
  <sortState ref="B64:R69">
    <sortCondition ref="E64:E69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9"/>
  <sheetViews>
    <sheetView workbookViewId="0">
      <selection activeCell="C17" sqref="C17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</cols>
  <sheetData>
    <row r="1" spans="1:8" ht="40.5" x14ac:dyDescent="0.55000000000000004">
      <c r="A1" s="751"/>
      <c r="B1" s="751"/>
      <c r="C1" s="751"/>
      <c r="D1" s="751"/>
      <c r="E1" s="751"/>
      <c r="F1" s="751"/>
      <c r="G1" s="751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549"/>
      <c r="D4" s="17"/>
      <c r="E4" s="366"/>
      <c r="F4" s="15"/>
      <c r="G4" s="52"/>
      <c r="H4" s="16"/>
    </row>
    <row r="5" spans="1:8" x14ac:dyDescent="0.25">
      <c r="A5" s="16"/>
      <c r="B5" s="260"/>
      <c r="C5" s="549"/>
      <c r="D5" s="17"/>
      <c r="E5" s="366"/>
      <c r="F5" s="15"/>
      <c r="G5" s="174"/>
      <c r="H5" s="10">
        <f>E5+E6-G5</f>
        <v>0</v>
      </c>
    </row>
    <row r="6" spans="1:8" ht="15.75" thickBot="1" x14ac:dyDescent="0.3">
      <c r="A6" s="16"/>
      <c r="B6" s="124"/>
      <c r="C6" s="273"/>
      <c r="D6" s="17"/>
      <c r="E6" s="204"/>
      <c r="F6" s="124"/>
      <c r="G6" s="16"/>
      <c r="H6"/>
    </row>
    <row r="7" spans="1:8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33</v>
      </c>
      <c r="B8" s="175"/>
      <c r="C8" s="20"/>
      <c r="D8" s="179">
        <v>0</v>
      </c>
      <c r="E8" s="156"/>
      <c r="F8" s="204">
        <f t="shared" ref="F8:F24" si="0">D8</f>
        <v>0</v>
      </c>
      <c r="G8" s="115"/>
      <c r="H8" s="116"/>
    </row>
    <row r="9" spans="1:8" x14ac:dyDescent="0.25">
      <c r="A9" s="16"/>
      <c r="B9" s="175"/>
      <c r="C9" s="20"/>
      <c r="D9" s="179">
        <v>0</v>
      </c>
      <c r="E9" s="180"/>
      <c r="F9" s="395">
        <f t="shared" si="0"/>
        <v>0</v>
      </c>
      <c r="G9" s="115"/>
      <c r="H9" s="212"/>
    </row>
    <row r="10" spans="1:8" x14ac:dyDescent="0.25">
      <c r="B10" s="175"/>
      <c r="C10" s="20"/>
      <c r="D10" s="179">
        <f t="shared" ref="D10:D12" si="1">B10*C10</f>
        <v>0</v>
      </c>
      <c r="E10" s="156"/>
      <c r="F10" s="204">
        <f t="shared" si="0"/>
        <v>0</v>
      </c>
      <c r="G10" s="115"/>
      <c r="H10" s="116"/>
    </row>
    <row r="11" spans="1:8" x14ac:dyDescent="0.25">
      <c r="A11" s="147" t="s">
        <v>34</v>
      </c>
      <c r="B11" s="175"/>
      <c r="C11" s="20"/>
      <c r="D11" s="179">
        <f t="shared" si="1"/>
        <v>0</v>
      </c>
      <c r="E11" s="156"/>
      <c r="F11" s="204">
        <f t="shared" si="0"/>
        <v>0</v>
      </c>
      <c r="G11" s="115"/>
      <c r="H11" s="116"/>
    </row>
    <row r="12" spans="1:8" x14ac:dyDescent="0.25">
      <c r="B12" s="175"/>
      <c r="C12" s="20"/>
      <c r="D12" s="179">
        <f t="shared" si="1"/>
        <v>0</v>
      </c>
      <c r="E12" s="156"/>
      <c r="F12" s="204">
        <f t="shared" si="0"/>
        <v>0</v>
      </c>
      <c r="G12" s="115"/>
      <c r="H12" s="116"/>
    </row>
    <row r="13" spans="1:8" x14ac:dyDescent="0.25">
      <c r="A13" s="182"/>
      <c r="B13" s="175"/>
      <c r="C13" s="20"/>
      <c r="D13" s="179">
        <f t="shared" ref="D13:D20" si="2">B13*C13</f>
        <v>0</v>
      </c>
      <c r="E13" s="156"/>
      <c r="F13" s="204">
        <f t="shared" si="0"/>
        <v>0</v>
      </c>
      <c r="G13" s="115"/>
      <c r="H13" s="116"/>
    </row>
    <row r="14" spans="1:8" x14ac:dyDescent="0.25">
      <c r="B14" s="175"/>
      <c r="C14" s="20"/>
      <c r="D14" s="179">
        <f t="shared" si="2"/>
        <v>0</v>
      </c>
      <c r="E14" s="156"/>
      <c r="F14" s="204">
        <f t="shared" si="0"/>
        <v>0</v>
      </c>
      <c r="G14" s="115"/>
      <c r="H14" s="116"/>
    </row>
    <row r="15" spans="1:8" x14ac:dyDescent="0.25">
      <c r="B15" s="175"/>
      <c r="C15" s="20"/>
      <c r="D15" s="179">
        <f t="shared" si="2"/>
        <v>0</v>
      </c>
      <c r="E15" s="156"/>
      <c r="F15" s="204">
        <f t="shared" si="0"/>
        <v>0</v>
      </c>
      <c r="G15" s="115"/>
      <c r="H15" s="116"/>
    </row>
    <row r="16" spans="1:8" x14ac:dyDescent="0.25">
      <c r="B16" s="175"/>
      <c r="C16" s="20"/>
      <c r="D16" s="179">
        <f t="shared" si="2"/>
        <v>0</v>
      </c>
      <c r="E16" s="156"/>
      <c r="F16" s="204">
        <f t="shared" si="0"/>
        <v>0</v>
      </c>
      <c r="G16" s="115"/>
      <c r="H16" s="116"/>
    </row>
    <row r="17" spans="1:8" x14ac:dyDescent="0.25">
      <c r="B17" s="175"/>
      <c r="C17" s="20"/>
      <c r="D17" s="179">
        <f t="shared" si="2"/>
        <v>0</v>
      </c>
      <c r="E17" s="156"/>
      <c r="F17" s="204">
        <f t="shared" si="0"/>
        <v>0</v>
      </c>
      <c r="G17" s="115"/>
      <c r="H17" s="116"/>
    </row>
    <row r="18" spans="1:8" x14ac:dyDescent="0.25">
      <c r="B18" s="175"/>
      <c r="C18" s="20"/>
      <c r="D18" s="179">
        <f t="shared" si="2"/>
        <v>0</v>
      </c>
      <c r="E18" s="156"/>
      <c r="F18" s="204">
        <f t="shared" si="0"/>
        <v>0</v>
      </c>
      <c r="G18" s="115"/>
      <c r="H18" s="116"/>
    </row>
    <row r="19" spans="1:8" x14ac:dyDescent="0.25">
      <c r="B19" s="175"/>
      <c r="C19" s="20"/>
      <c r="D19" s="179">
        <f t="shared" si="2"/>
        <v>0</v>
      </c>
      <c r="E19" s="156"/>
      <c r="F19" s="204">
        <f t="shared" si="0"/>
        <v>0</v>
      </c>
      <c r="G19" s="115"/>
      <c r="H19" s="116"/>
    </row>
    <row r="20" spans="1:8" x14ac:dyDescent="0.25">
      <c r="B20" s="175"/>
      <c r="C20" s="20"/>
      <c r="D20" s="179">
        <f t="shared" si="2"/>
        <v>0</v>
      </c>
      <c r="E20" s="156"/>
      <c r="F20" s="204">
        <f t="shared" si="0"/>
        <v>0</v>
      </c>
      <c r="G20" s="115"/>
      <c r="H20" s="116"/>
    </row>
    <row r="21" spans="1:8" x14ac:dyDescent="0.25">
      <c r="B21" s="175"/>
      <c r="C21" s="20"/>
      <c r="D21" s="179">
        <f t="shared" ref="D21:D24" si="3">B21*C21</f>
        <v>0</v>
      </c>
      <c r="E21" s="156"/>
      <c r="F21" s="204">
        <f t="shared" si="0"/>
        <v>0</v>
      </c>
      <c r="G21" s="115"/>
      <c r="H21" s="116"/>
    </row>
    <row r="22" spans="1:8" x14ac:dyDescent="0.25">
      <c r="A22" s="186"/>
      <c r="B22" s="175"/>
      <c r="C22" s="20"/>
      <c r="D22" s="179">
        <f t="shared" si="3"/>
        <v>0</v>
      </c>
      <c r="E22" s="156"/>
      <c r="F22" s="204">
        <f t="shared" si="0"/>
        <v>0</v>
      </c>
      <c r="G22" s="115"/>
      <c r="H22" s="116"/>
    </row>
    <row r="23" spans="1:8" x14ac:dyDescent="0.25">
      <c r="A23" s="186"/>
      <c r="B23" s="175"/>
      <c r="C23" s="20"/>
      <c r="D23" s="179">
        <f t="shared" si="3"/>
        <v>0</v>
      </c>
      <c r="E23" s="156"/>
      <c r="F23" s="204">
        <f t="shared" si="0"/>
        <v>0</v>
      </c>
      <c r="G23" s="115"/>
      <c r="H23" s="116"/>
    </row>
    <row r="24" spans="1:8" ht="15.75" thickBot="1" x14ac:dyDescent="0.3">
      <c r="A24" s="246"/>
      <c r="B24" s="187"/>
      <c r="C24" s="48"/>
      <c r="D24" s="396">
        <f t="shared" si="3"/>
        <v>0</v>
      </c>
      <c r="E24" s="397"/>
      <c r="F24" s="398">
        <f t="shared" si="0"/>
        <v>0</v>
      </c>
      <c r="G24" s="306"/>
      <c r="H24" s="307"/>
    </row>
    <row r="25" spans="1:8" ht="15.75" thickTop="1" x14ac:dyDescent="0.25">
      <c r="A25" s="64">
        <f>SUM(A22:A24)</f>
        <v>0</v>
      </c>
      <c r="B25" s="16"/>
      <c r="C25" s="124">
        <f>SUM(C8:C24)</f>
        <v>0</v>
      </c>
      <c r="D25" s="204">
        <f>SUM(D8:D24)</f>
        <v>0</v>
      </c>
      <c r="E25" s="133"/>
      <c r="F25" s="204">
        <f>SUM(F8:F24)</f>
        <v>0</v>
      </c>
      <c r="G25" s="16"/>
      <c r="H25" s="16"/>
    </row>
    <row r="26" spans="1:8" ht="15.75" thickBot="1" x14ac:dyDescent="0.3">
      <c r="A26" s="170"/>
      <c r="B26"/>
      <c r="C26"/>
      <c r="G26"/>
      <c r="H26"/>
    </row>
    <row r="27" spans="1:8" x14ac:dyDescent="0.25">
      <c r="A27"/>
      <c r="B27" s="6"/>
      <c r="C27"/>
      <c r="D27" s="747" t="s">
        <v>21</v>
      </c>
      <c r="E27" s="748"/>
      <c r="F27" s="67">
        <f>E4+E5-F25+E6</f>
        <v>0</v>
      </c>
      <c r="G27"/>
      <c r="H27"/>
    </row>
    <row r="28" spans="1:8" ht="15.75" thickBot="1" x14ac:dyDescent="0.3">
      <c r="A28" s="258"/>
      <c r="B28"/>
      <c r="C28"/>
      <c r="D28" s="508" t="s">
        <v>4</v>
      </c>
      <c r="E28" s="509"/>
      <c r="F28" s="68">
        <f>F4+F5-C25+F6</f>
        <v>0</v>
      </c>
      <c r="G28"/>
      <c r="H28"/>
    </row>
    <row r="29" spans="1:8" x14ac:dyDescent="0.25">
      <c r="A29"/>
      <c r="B29" s="6"/>
      <c r="C29"/>
      <c r="D29"/>
      <c r="E29"/>
      <c r="F29"/>
      <c r="G29"/>
      <c r="H29"/>
    </row>
  </sheetData>
  <sortState ref="C5:F7">
    <sortCondition ref="D5:D7"/>
  </sortState>
  <mergeCells count="2">
    <mergeCell ref="A1:G1"/>
    <mergeCell ref="D27:E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workbookViewId="0">
      <pane ySplit="7" topLeftCell="A25" activePane="bottomLeft" state="frozen"/>
      <selection pane="bottomLeft" activeCell="C40" sqref="C4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756" t="s">
        <v>427</v>
      </c>
      <c r="B1" s="756"/>
      <c r="C1" s="756"/>
      <c r="D1" s="756"/>
      <c r="E1" s="756"/>
      <c r="F1" s="756"/>
      <c r="G1" s="756"/>
      <c r="H1" s="14">
        <v>1</v>
      </c>
      <c r="J1" s="751" t="s">
        <v>465</v>
      </c>
      <c r="K1" s="751"/>
      <c r="L1" s="751"/>
      <c r="M1" s="751"/>
      <c r="N1" s="751"/>
      <c r="O1" s="751"/>
      <c r="P1" s="751"/>
      <c r="Q1" s="14">
        <v>1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74"/>
      <c r="D4" s="365"/>
      <c r="E4" s="168">
        <v>269.51</v>
      </c>
      <c r="F4" s="104">
        <v>7</v>
      </c>
      <c r="G4" s="366"/>
      <c r="K4" s="15"/>
      <c r="L4" s="374"/>
      <c r="M4" s="365"/>
      <c r="N4" s="168"/>
      <c r="O4" s="104"/>
      <c r="P4" s="366"/>
    </row>
    <row r="5" spans="1:17" ht="15.75" customHeight="1" x14ac:dyDescent="0.25">
      <c r="A5" s="567" t="s">
        <v>54</v>
      </c>
      <c r="B5" s="15" t="s">
        <v>214</v>
      </c>
      <c r="C5" s="367" t="s">
        <v>346</v>
      </c>
      <c r="D5" s="293">
        <v>42254</v>
      </c>
      <c r="E5" s="197">
        <v>18507</v>
      </c>
      <c r="F5" s="22">
        <v>680</v>
      </c>
      <c r="G5" s="197">
        <f>F62</f>
        <v>18128.519999999997</v>
      </c>
      <c r="H5" s="368">
        <f>E5+E6-G5+E4</f>
        <v>647.99000000000319</v>
      </c>
      <c r="J5" s="567" t="s">
        <v>54</v>
      </c>
      <c r="K5" s="15" t="s">
        <v>214</v>
      </c>
      <c r="L5" s="367" t="s">
        <v>505</v>
      </c>
      <c r="M5" s="293">
        <v>42308</v>
      </c>
      <c r="N5" s="197">
        <v>18427.939999999999</v>
      </c>
      <c r="O5" s="22">
        <v>677</v>
      </c>
      <c r="P5" s="197">
        <f>O62</f>
        <v>0</v>
      </c>
      <c r="Q5" s="368">
        <f>N5+N6-P5+N4</f>
        <v>18427.939999999999</v>
      </c>
    </row>
    <row r="6" spans="1:17" ht="15.75" thickBot="1" x14ac:dyDescent="0.3">
      <c r="A6" s="567"/>
      <c r="B6" s="401" t="s">
        <v>215</v>
      </c>
      <c r="C6" s="15"/>
      <c r="D6" s="62"/>
      <c r="E6" s="153"/>
      <c r="F6" s="104"/>
      <c r="J6" s="567"/>
      <c r="K6" s="401" t="s">
        <v>215</v>
      </c>
      <c r="L6" s="15"/>
      <c r="M6" s="62"/>
      <c r="N6" s="153"/>
      <c r="O6" s="104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">
        <v>27.22</v>
      </c>
      <c r="C8" s="20">
        <v>28</v>
      </c>
      <c r="D8" s="362">
        <f t="shared" ref="D8:D10" si="0">C8*B8</f>
        <v>762.16</v>
      </c>
      <c r="E8" s="233">
        <v>42272</v>
      </c>
      <c r="F8" s="114">
        <f t="shared" ref="F8:F10" si="1">D8</f>
        <v>762.16</v>
      </c>
      <c r="G8" s="115" t="s">
        <v>414</v>
      </c>
      <c r="H8" s="116">
        <v>51</v>
      </c>
      <c r="J8" s="92" t="s">
        <v>33</v>
      </c>
      <c r="K8" s="2">
        <v>27.22</v>
      </c>
      <c r="L8" s="20"/>
      <c r="M8" s="362">
        <f t="shared" ref="M8:M61" si="2">L8*K8</f>
        <v>0</v>
      </c>
      <c r="N8" s="233"/>
      <c r="O8" s="114">
        <f t="shared" ref="O8:O61" si="3">M8</f>
        <v>0</v>
      </c>
      <c r="P8" s="115"/>
      <c r="Q8" s="116"/>
    </row>
    <row r="9" spans="1:17" x14ac:dyDescent="0.25">
      <c r="A9" s="286" t="s">
        <v>347</v>
      </c>
      <c r="B9" s="2">
        <v>27.22</v>
      </c>
      <c r="C9" s="20">
        <v>28</v>
      </c>
      <c r="D9" s="362">
        <f t="shared" si="0"/>
        <v>762.16</v>
      </c>
      <c r="E9" s="233">
        <v>42273</v>
      </c>
      <c r="F9" s="114">
        <f t="shared" si="1"/>
        <v>762.16</v>
      </c>
      <c r="G9" s="115" t="s">
        <v>418</v>
      </c>
      <c r="H9" s="116">
        <v>51</v>
      </c>
      <c r="J9" s="286" t="s">
        <v>506</v>
      </c>
      <c r="K9" s="2">
        <v>27.22</v>
      </c>
      <c r="L9" s="20"/>
      <c r="M9" s="362">
        <f t="shared" si="2"/>
        <v>0</v>
      </c>
      <c r="N9" s="233"/>
      <c r="O9" s="114">
        <f t="shared" si="3"/>
        <v>0</v>
      </c>
      <c r="P9" s="115"/>
      <c r="Q9" s="116"/>
    </row>
    <row r="10" spans="1:17" x14ac:dyDescent="0.25">
      <c r="A10" s="287" t="s">
        <v>348</v>
      </c>
      <c r="B10" s="2">
        <v>27.22</v>
      </c>
      <c r="C10" s="20">
        <v>100</v>
      </c>
      <c r="D10" s="114">
        <f t="shared" si="0"/>
        <v>2722</v>
      </c>
      <c r="E10" s="167">
        <v>42276</v>
      </c>
      <c r="F10" s="114">
        <f t="shared" si="1"/>
        <v>2722</v>
      </c>
      <c r="G10" s="115" t="s">
        <v>420</v>
      </c>
      <c r="H10" s="116">
        <v>51</v>
      </c>
      <c r="J10" s="287" t="s">
        <v>507</v>
      </c>
      <c r="K10" s="2">
        <v>27.22</v>
      </c>
      <c r="L10" s="20"/>
      <c r="M10" s="114">
        <f t="shared" si="2"/>
        <v>0</v>
      </c>
      <c r="N10" s="167"/>
      <c r="O10" s="114">
        <f t="shared" si="3"/>
        <v>0</v>
      </c>
      <c r="P10" s="115"/>
      <c r="Q10" s="116"/>
    </row>
    <row r="11" spans="1:17" x14ac:dyDescent="0.25">
      <c r="A11" s="147" t="s">
        <v>34</v>
      </c>
      <c r="B11" s="2">
        <v>27.22</v>
      </c>
      <c r="C11" s="20">
        <v>4</v>
      </c>
      <c r="D11" s="100">
        <f t="shared" ref="D11:D61" si="4">C11*B11</f>
        <v>108.88</v>
      </c>
      <c r="E11" s="185">
        <v>42279</v>
      </c>
      <c r="F11" s="100">
        <f t="shared" ref="F11:F61" si="5">D11</f>
        <v>108.88</v>
      </c>
      <c r="G11" s="111" t="s">
        <v>631</v>
      </c>
      <c r="H11" s="101">
        <v>51</v>
      </c>
      <c r="J11" s="147" t="s">
        <v>34</v>
      </c>
      <c r="K11" s="2">
        <v>27.22</v>
      </c>
      <c r="L11" s="20"/>
      <c r="M11" s="114">
        <f t="shared" si="2"/>
        <v>0</v>
      </c>
      <c r="N11" s="167"/>
      <c r="O11" s="114">
        <f t="shared" si="3"/>
        <v>0</v>
      </c>
      <c r="P11" s="115"/>
      <c r="Q11" s="116"/>
    </row>
    <row r="12" spans="1:17" x14ac:dyDescent="0.25">
      <c r="A12" s="288" t="s">
        <v>349</v>
      </c>
      <c r="B12" s="2">
        <v>27.22</v>
      </c>
      <c r="C12" s="20">
        <v>1</v>
      </c>
      <c r="D12" s="100">
        <f t="shared" si="4"/>
        <v>27.22</v>
      </c>
      <c r="E12" s="185">
        <v>42279</v>
      </c>
      <c r="F12" s="100">
        <f t="shared" si="5"/>
        <v>27.22</v>
      </c>
      <c r="G12" s="111" t="s">
        <v>632</v>
      </c>
      <c r="H12" s="101">
        <v>51</v>
      </c>
      <c r="J12" s="288" t="s">
        <v>506</v>
      </c>
      <c r="K12" s="2">
        <v>27.22</v>
      </c>
      <c r="L12" s="20"/>
      <c r="M12" s="114">
        <f t="shared" si="2"/>
        <v>0</v>
      </c>
      <c r="N12" s="167"/>
      <c r="O12" s="114">
        <f t="shared" si="3"/>
        <v>0</v>
      </c>
      <c r="P12" s="115"/>
      <c r="Q12" s="116"/>
    </row>
    <row r="13" spans="1:17" x14ac:dyDescent="0.25">
      <c r="A13" s="181" t="s">
        <v>348</v>
      </c>
      <c r="B13" s="2">
        <v>27.22</v>
      </c>
      <c r="C13" s="20">
        <v>28</v>
      </c>
      <c r="D13" s="100">
        <f t="shared" si="4"/>
        <v>762.16</v>
      </c>
      <c r="E13" s="185">
        <v>42279</v>
      </c>
      <c r="F13" s="100">
        <f t="shared" si="5"/>
        <v>762.16</v>
      </c>
      <c r="G13" s="111" t="s">
        <v>633</v>
      </c>
      <c r="H13" s="101">
        <v>51</v>
      </c>
      <c r="J13" s="181" t="s">
        <v>507</v>
      </c>
      <c r="K13" s="2">
        <v>27.22</v>
      </c>
      <c r="L13" s="20"/>
      <c r="M13" s="114">
        <f t="shared" si="2"/>
        <v>0</v>
      </c>
      <c r="N13" s="167"/>
      <c r="O13" s="114">
        <f t="shared" si="3"/>
        <v>0</v>
      </c>
      <c r="P13" s="115"/>
      <c r="Q13" s="116"/>
    </row>
    <row r="14" spans="1:17" x14ac:dyDescent="0.25">
      <c r="A14" s="59"/>
      <c r="B14" s="2">
        <v>27.22</v>
      </c>
      <c r="C14" s="20">
        <v>28</v>
      </c>
      <c r="D14" s="100">
        <f t="shared" si="4"/>
        <v>762.16</v>
      </c>
      <c r="E14" s="185">
        <v>42279</v>
      </c>
      <c r="F14" s="100">
        <f t="shared" si="5"/>
        <v>762.16</v>
      </c>
      <c r="G14" s="111" t="s">
        <v>637</v>
      </c>
      <c r="H14" s="101">
        <v>51</v>
      </c>
      <c r="J14" s="59"/>
      <c r="K14" s="2">
        <v>27.22</v>
      </c>
      <c r="L14" s="20"/>
      <c r="M14" s="114">
        <f t="shared" si="2"/>
        <v>0</v>
      </c>
      <c r="N14" s="167"/>
      <c r="O14" s="114">
        <f t="shared" si="3"/>
        <v>0</v>
      </c>
      <c r="P14" s="115"/>
      <c r="Q14" s="116"/>
    </row>
    <row r="15" spans="1:17" x14ac:dyDescent="0.25">
      <c r="B15" s="2">
        <v>27.22</v>
      </c>
      <c r="C15" s="20">
        <v>1</v>
      </c>
      <c r="D15" s="100">
        <f t="shared" si="4"/>
        <v>27.22</v>
      </c>
      <c r="E15" s="185">
        <v>42282</v>
      </c>
      <c r="F15" s="100">
        <f t="shared" si="5"/>
        <v>27.22</v>
      </c>
      <c r="G15" s="111" t="s">
        <v>647</v>
      </c>
      <c r="H15" s="101">
        <v>51</v>
      </c>
      <c r="K15" s="2">
        <v>27.22</v>
      </c>
      <c r="L15" s="20"/>
      <c r="M15" s="114">
        <f t="shared" si="2"/>
        <v>0</v>
      </c>
      <c r="N15" s="167"/>
      <c r="O15" s="114">
        <f t="shared" si="3"/>
        <v>0</v>
      </c>
      <c r="P15" s="115"/>
      <c r="Q15" s="116"/>
    </row>
    <row r="16" spans="1:17" x14ac:dyDescent="0.25">
      <c r="B16" s="2">
        <v>27.22</v>
      </c>
      <c r="C16" s="20">
        <v>28</v>
      </c>
      <c r="D16" s="100">
        <f t="shared" si="4"/>
        <v>762.16</v>
      </c>
      <c r="E16" s="185">
        <v>42282</v>
      </c>
      <c r="F16" s="100">
        <f t="shared" si="5"/>
        <v>762.16</v>
      </c>
      <c r="G16" s="111" t="s">
        <v>648</v>
      </c>
      <c r="H16" s="101">
        <v>51</v>
      </c>
      <c r="K16" s="2">
        <v>27.22</v>
      </c>
      <c r="L16" s="20"/>
      <c r="M16" s="114">
        <f t="shared" si="2"/>
        <v>0</v>
      </c>
      <c r="N16" s="167"/>
      <c r="O16" s="114">
        <f t="shared" si="3"/>
        <v>0</v>
      </c>
      <c r="P16" s="115"/>
      <c r="Q16" s="116"/>
    </row>
    <row r="17" spans="1:17" x14ac:dyDescent="0.25">
      <c r="B17" s="2">
        <v>27.22</v>
      </c>
      <c r="C17" s="20">
        <v>28</v>
      </c>
      <c r="D17" s="100">
        <f t="shared" si="4"/>
        <v>762.16</v>
      </c>
      <c r="E17" s="185">
        <v>42284</v>
      </c>
      <c r="F17" s="100">
        <f t="shared" si="5"/>
        <v>762.16</v>
      </c>
      <c r="G17" s="111" t="s">
        <v>661</v>
      </c>
      <c r="H17" s="101">
        <v>51</v>
      </c>
      <c r="K17" s="2">
        <v>27.22</v>
      </c>
      <c r="L17" s="20"/>
      <c r="M17" s="114">
        <f t="shared" si="2"/>
        <v>0</v>
      </c>
      <c r="N17" s="167"/>
      <c r="O17" s="114">
        <f t="shared" si="3"/>
        <v>0</v>
      </c>
      <c r="P17" s="115"/>
      <c r="Q17" s="116"/>
    </row>
    <row r="18" spans="1:17" x14ac:dyDescent="0.25">
      <c r="B18" s="2">
        <v>27.22</v>
      </c>
      <c r="C18" s="20">
        <v>28</v>
      </c>
      <c r="D18" s="100">
        <f t="shared" si="4"/>
        <v>762.16</v>
      </c>
      <c r="E18" s="185">
        <v>42287</v>
      </c>
      <c r="F18" s="100">
        <f t="shared" si="5"/>
        <v>762.16</v>
      </c>
      <c r="G18" s="111" t="s">
        <v>674</v>
      </c>
      <c r="H18" s="101">
        <v>51</v>
      </c>
      <c r="K18" s="2">
        <v>27.22</v>
      </c>
      <c r="L18" s="20"/>
      <c r="M18" s="114">
        <f t="shared" si="2"/>
        <v>0</v>
      </c>
      <c r="N18" s="167"/>
      <c r="O18" s="114">
        <f t="shared" si="3"/>
        <v>0</v>
      </c>
      <c r="P18" s="115"/>
      <c r="Q18" s="116"/>
    </row>
    <row r="19" spans="1:17" x14ac:dyDescent="0.25">
      <c r="B19" s="2">
        <v>27.22</v>
      </c>
      <c r="C19" s="338">
        <v>1</v>
      </c>
      <c r="D19" s="687">
        <f t="shared" si="4"/>
        <v>27.22</v>
      </c>
      <c r="E19" s="688">
        <v>42290</v>
      </c>
      <c r="F19" s="100">
        <f t="shared" si="5"/>
        <v>27.22</v>
      </c>
      <c r="G19" s="689" t="s">
        <v>682</v>
      </c>
      <c r="H19" s="690">
        <v>51</v>
      </c>
      <c r="K19" s="2">
        <v>27.22</v>
      </c>
      <c r="L19" s="338"/>
      <c r="M19" s="362">
        <f t="shared" si="2"/>
        <v>0</v>
      </c>
      <c r="N19" s="433"/>
      <c r="O19" s="114">
        <f t="shared" si="3"/>
        <v>0</v>
      </c>
      <c r="P19" s="229"/>
      <c r="Q19" s="434"/>
    </row>
    <row r="20" spans="1:17" x14ac:dyDescent="0.25">
      <c r="B20" s="2">
        <v>27.22</v>
      </c>
      <c r="C20" s="338">
        <v>4</v>
      </c>
      <c r="D20" s="687">
        <f t="shared" si="4"/>
        <v>108.88</v>
      </c>
      <c r="E20" s="688">
        <v>42290</v>
      </c>
      <c r="F20" s="100">
        <f t="shared" si="5"/>
        <v>108.88</v>
      </c>
      <c r="G20" s="689" t="s">
        <v>683</v>
      </c>
      <c r="H20" s="690">
        <v>51</v>
      </c>
      <c r="K20" s="2">
        <v>27.22</v>
      </c>
      <c r="L20" s="338"/>
      <c r="M20" s="362">
        <f t="shared" si="2"/>
        <v>0</v>
      </c>
      <c r="N20" s="433"/>
      <c r="O20" s="114">
        <f t="shared" si="3"/>
        <v>0</v>
      </c>
      <c r="P20" s="229"/>
      <c r="Q20" s="434"/>
    </row>
    <row r="21" spans="1:17" x14ac:dyDescent="0.25">
      <c r="A21" t="s">
        <v>22</v>
      </c>
      <c r="B21" s="2">
        <v>27.22</v>
      </c>
      <c r="C21" s="20">
        <v>28</v>
      </c>
      <c r="D21" s="687">
        <f t="shared" si="4"/>
        <v>762.16</v>
      </c>
      <c r="E21" s="372">
        <v>42290</v>
      </c>
      <c r="F21" s="100">
        <f t="shared" si="5"/>
        <v>762.16</v>
      </c>
      <c r="G21" s="111" t="s">
        <v>684</v>
      </c>
      <c r="H21" s="101">
        <v>51</v>
      </c>
      <c r="J21" t="s">
        <v>22</v>
      </c>
      <c r="K21" s="2">
        <v>27.22</v>
      </c>
      <c r="L21" s="20"/>
      <c r="M21" s="362">
        <f t="shared" si="2"/>
        <v>0</v>
      </c>
      <c r="N21" s="233"/>
      <c r="O21" s="114">
        <f t="shared" si="3"/>
        <v>0</v>
      </c>
      <c r="P21" s="115"/>
      <c r="Q21" s="116"/>
    </row>
    <row r="22" spans="1:17" x14ac:dyDescent="0.25">
      <c r="B22" s="2">
        <v>27.22</v>
      </c>
      <c r="C22" s="20">
        <v>28</v>
      </c>
      <c r="D22" s="687">
        <f t="shared" si="4"/>
        <v>762.16</v>
      </c>
      <c r="E22" s="372">
        <v>42291</v>
      </c>
      <c r="F22" s="100">
        <f t="shared" si="5"/>
        <v>762.16</v>
      </c>
      <c r="G22" s="111" t="s">
        <v>695</v>
      </c>
      <c r="H22" s="101">
        <v>51</v>
      </c>
      <c r="K22" s="2">
        <v>27.22</v>
      </c>
      <c r="L22" s="20"/>
      <c r="M22" s="362">
        <f t="shared" si="2"/>
        <v>0</v>
      </c>
      <c r="N22" s="233"/>
      <c r="O22" s="114">
        <f t="shared" si="3"/>
        <v>0</v>
      </c>
      <c r="P22" s="115"/>
      <c r="Q22" s="116"/>
    </row>
    <row r="23" spans="1:17" x14ac:dyDescent="0.25">
      <c r="B23" s="2">
        <v>27.22</v>
      </c>
      <c r="C23" s="20">
        <v>28</v>
      </c>
      <c r="D23" s="687">
        <f t="shared" si="4"/>
        <v>762.16</v>
      </c>
      <c r="E23" s="372">
        <v>42292</v>
      </c>
      <c r="F23" s="100">
        <f t="shared" si="5"/>
        <v>762.16</v>
      </c>
      <c r="G23" s="111" t="s">
        <v>698</v>
      </c>
      <c r="H23" s="101">
        <v>51</v>
      </c>
      <c r="K23" s="2">
        <v>27.22</v>
      </c>
      <c r="L23" s="20"/>
      <c r="M23" s="362">
        <f t="shared" si="2"/>
        <v>0</v>
      </c>
      <c r="N23" s="233"/>
      <c r="O23" s="114">
        <f t="shared" si="3"/>
        <v>0</v>
      </c>
      <c r="P23" s="115"/>
      <c r="Q23" s="116"/>
    </row>
    <row r="24" spans="1:17" x14ac:dyDescent="0.25">
      <c r="B24" s="2">
        <v>27.22</v>
      </c>
      <c r="C24" s="20">
        <v>30</v>
      </c>
      <c r="D24" s="687">
        <f t="shared" si="4"/>
        <v>816.59999999999991</v>
      </c>
      <c r="E24" s="372">
        <v>42293</v>
      </c>
      <c r="F24" s="100">
        <f t="shared" si="5"/>
        <v>816.59999999999991</v>
      </c>
      <c r="G24" s="111" t="s">
        <v>708</v>
      </c>
      <c r="H24" s="101">
        <v>51</v>
      </c>
      <c r="K24" s="2">
        <v>27.22</v>
      </c>
      <c r="L24" s="20"/>
      <c r="M24" s="362">
        <f t="shared" si="2"/>
        <v>0</v>
      </c>
      <c r="N24" s="233"/>
      <c r="O24" s="114">
        <f t="shared" si="3"/>
        <v>0</v>
      </c>
      <c r="P24" s="115"/>
      <c r="Q24" s="116"/>
    </row>
    <row r="25" spans="1:17" x14ac:dyDescent="0.25">
      <c r="B25" s="2">
        <v>27.22</v>
      </c>
      <c r="C25" s="20">
        <v>23</v>
      </c>
      <c r="D25" s="100">
        <f t="shared" si="4"/>
        <v>626.05999999999995</v>
      </c>
      <c r="E25" s="185">
        <v>42293</v>
      </c>
      <c r="F25" s="100">
        <f t="shared" si="5"/>
        <v>626.05999999999995</v>
      </c>
      <c r="G25" s="111" t="s">
        <v>708</v>
      </c>
      <c r="H25" s="101">
        <v>51</v>
      </c>
      <c r="K25" s="2">
        <v>27.22</v>
      </c>
      <c r="L25" s="20"/>
      <c r="M25" s="114">
        <f t="shared" si="2"/>
        <v>0</v>
      </c>
      <c r="N25" s="167"/>
      <c r="O25" s="114">
        <f t="shared" si="3"/>
        <v>0</v>
      </c>
      <c r="P25" s="115"/>
      <c r="Q25" s="116"/>
    </row>
    <row r="26" spans="1:17" x14ac:dyDescent="0.25">
      <c r="B26" s="2">
        <v>27.22</v>
      </c>
      <c r="C26" s="20">
        <v>28</v>
      </c>
      <c r="D26" s="100">
        <f t="shared" si="4"/>
        <v>762.16</v>
      </c>
      <c r="E26" s="185">
        <v>42293</v>
      </c>
      <c r="F26" s="100">
        <f t="shared" si="5"/>
        <v>762.16</v>
      </c>
      <c r="G26" s="111" t="s">
        <v>710</v>
      </c>
      <c r="H26" s="101">
        <v>51</v>
      </c>
      <c r="K26" s="2">
        <v>27.22</v>
      </c>
      <c r="L26" s="20"/>
      <c r="M26" s="114">
        <f t="shared" si="2"/>
        <v>0</v>
      </c>
      <c r="N26" s="167"/>
      <c r="O26" s="114">
        <f t="shared" si="3"/>
        <v>0</v>
      </c>
      <c r="P26" s="115"/>
      <c r="Q26" s="116"/>
    </row>
    <row r="27" spans="1:17" x14ac:dyDescent="0.25">
      <c r="B27" s="2">
        <v>27.22</v>
      </c>
      <c r="C27" s="20">
        <v>28</v>
      </c>
      <c r="D27" s="100">
        <f t="shared" si="4"/>
        <v>762.16</v>
      </c>
      <c r="E27" s="185">
        <v>42293</v>
      </c>
      <c r="F27" s="100">
        <f t="shared" si="5"/>
        <v>762.16</v>
      </c>
      <c r="G27" s="111" t="s">
        <v>711</v>
      </c>
      <c r="H27" s="101">
        <v>51</v>
      </c>
      <c r="K27" s="2">
        <v>27.22</v>
      </c>
      <c r="L27" s="20"/>
      <c r="M27" s="114">
        <f t="shared" si="2"/>
        <v>0</v>
      </c>
      <c r="N27" s="167"/>
      <c r="O27" s="114">
        <f t="shared" si="3"/>
        <v>0</v>
      </c>
      <c r="P27" s="115"/>
      <c r="Q27" s="116"/>
    </row>
    <row r="28" spans="1:17" x14ac:dyDescent="0.25">
      <c r="B28" s="2">
        <v>27.22</v>
      </c>
      <c r="C28" s="20">
        <v>28</v>
      </c>
      <c r="D28" s="100">
        <f t="shared" si="4"/>
        <v>762.16</v>
      </c>
      <c r="E28" s="185">
        <v>42294</v>
      </c>
      <c r="F28" s="100">
        <f t="shared" si="5"/>
        <v>762.16</v>
      </c>
      <c r="G28" s="111" t="s">
        <v>718</v>
      </c>
      <c r="H28" s="101">
        <v>51</v>
      </c>
      <c r="K28" s="2">
        <v>27.22</v>
      </c>
      <c r="L28" s="20"/>
      <c r="M28" s="114">
        <f t="shared" si="2"/>
        <v>0</v>
      </c>
      <c r="N28" s="167"/>
      <c r="O28" s="114">
        <f t="shared" si="3"/>
        <v>0</v>
      </c>
      <c r="P28" s="115"/>
      <c r="Q28" s="116"/>
    </row>
    <row r="29" spans="1:17" x14ac:dyDescent="0.25">
      <c r="B29" s="2">
        <v>27.22</v>
      </c>
      <c r="C29" s="20">
        <v>28</v>
      </c>
      <c r="D29" s="100">
        <f t="shared" si="4"/>
        <v>762.16</v>
      </c>
      <c r="E29" s="185">
        <v>42298</v>
      </c>
      <c r="F29" s="100">
        <f t="shared" si="5"/>
        <v>762.16</v>
      </c>
      <c r="G29" s="111" t="s">
        <v>732</v>
      </c>
      <c r="H29" s="101">
        <v>51</v>
      </c>
      <c r="K29" s="2">
        <v>27.22</v>
      </c>
      <c r="L29" s="20"/>
      <c r="M29" s="114">
        <f t="shared" si="2"/>
        <v>0</v>
      </c>
      <c r="N29" s="167"/>
      <c r="O29" s="114">
        <f t="shared" si="3"/>
        <v>0</v>
      </c>
      <c r="P29" s="115"/>
      <c r="Q29" s="116"/>
    </row>
    <row r="30" spans="1:17" x14ac:dyDescent="0.25">
      <c r="B30" s="2">
        <v>27.22</v>
      </c>
      <c r="C30" s="20">
        <v>28</v>
      </c>
      <c r="D30" s="100">
        <f t="shared" si="4"/>
        <v>762.16</v>
      </c>
      <c r="E30" s="185">
        <v>42301</v>
      </c>
      <c r="F30" s="100">
        <f t="shared" si="5"/>
        <v>762.16</v>
      </c>
      <c r="G30" s="111" t="s">
        <v>752</v>
      </c>
      <c r="H30" s="101">
        <v>51</v>
      </c>
      <c r="K30" s="2">
        <v>27.22</v>
      </c>
      <c r="L30" s="20"/>
      <c r="M30" s="114">
        <f t="shared" si="2"/>
        <v>0</v>
      </c>
      <c r="N30" s="167"/>
      <c r="O30" s="114">
        <f t="shared" si="3"/>
        <v>0</v>
      </c>
      <c r="P30" s="115"/>
      <c r="Q30" s="116"/>
    </row>
    <row r="31" spans="1:17" x14ac:dyDescent="0.25">
      <c r="B31" s="2">
        <v>27.22</v>
      </c>
      <c r="C31" s="20">
        <v>1</v>
      </c>
      <c r="D31" s="100">
        <f t="shared" si="4"/>
        <v>27.22</v>
      </c>
      <c r="E31" s="185">
        <v>42303</v>
      </c>
      <c r="F31" s="100">
        <f t="shared" si="5"/>
        <v>27.22</v>
      </c>
      <c r="G31" s="111" t="s">
        <v>757</v>
      </c>
      <c r="H31" s="101">
        <v>51</v>
      </c>
      <c r="K31" s="2">
        <v>27.22</v>
      </c>
      <c r="L31" s="20"/>
      <c r="M31" s="114">
        <f t="shared" si="2"/>
        <v>0</v>
      </c>
      <c r="N31" s="167"/>
      <c r="O31" s="114">
        <f t="shared" si="3"/>
        <v>0</v>
      </c>
      <c r="P31" s="115"/>
      <c r="Q31" s="116"/>
    </row>
    <row r="32" spans="1:17" x14ac:dyDescent="0.25">
      <c r="B32" s="2">
        <v>27.22</v>
      </c>
      <c r="C32" s="20">
        <v>1</v>
      </c>
      <c r="D32" s="100">
        <f t="shared" si="4"/>
        <v>27.22</v>
      </c>
      <c r="E32" s="185">
        <v>42303</v>
      </c>
      <c r="F32" s="100">
        <f t="shared" si="5"/>
        <v>27.22</v>
      </c>
      <c r="G32" s="111" t="s">
        <v>757</v>
      </c>
      <c r="H32" s="101">
        <v>51</v>
      </c>
      <c r="K32" s="2">
        <v>27.22</v>
      </c>
      <c r="L32" s="20"/>
      <c r="M32" s="114">
        <f t="shared" si="2"/>
        <v>0</v>
      </c>
      <c r="N32" s="167"/>
      <c r="O32" s="114">
        <f t="shared" si="3"/>
        <v>0</v>
      </c>
      <c r="P32" s="115"/>
      <c r="Q32" s="116"/>
    </row>
    <row r="33" spans="2:17" x14ac:dyDescent="0.25">
      <c r="B33" s="2">
        <v>27.22</v>
      </c>
      <c r="C33" s="20">
        <v>3</v>
      </c>
      <c r="D33" s="100">
        <f t="shared" si="4"/>
        <v>81.66</v>
      </c>
      <c r="E33" s="185">
        <v>42303</v>
      </c>
      <c r="F33" s="100">
        <f t="shared" si="5"/>
        <v>81.66</v>
      </c>
      <c r="G33" s="111" t="s">
        <v>759</v>
      </c>
      <c r="H33" s="101">
        <v>51</v>
      </c>
      <c r="K33" s="2">
        <v>27.22</v>
      </c>
      <c r="L33" s="20"/>
      <c r="M33" s="114">
        <f t="shared" si="2"/>
        <v>0</v>
      </c>
      <c r="N33" s="167"/>
      <c r="O33" s="114">
        <f t="shared" si="3"/>
        <v>0</v>
      </c>
      <c r="P33" s="115"/>
      <c r="Q33" s="116"/>
    </row>
    <row r="34" spans="2:17" x14ac:dyDescent="0.25">
      <c r="B34" s="2">
        <v>27.22</v>
      </c>
      <c r="C34" s="20">
        <v>1</v>
      </c>
      <c r="D34" s="100">
        <f t="shared" si="4"/>
        <v>27.22</v>
      </c>
      <c r="E34" s="185">
        <v>42303</v>
      </c>
      <c r="F34" s="100">
        <f t="shared" si="5"/>
        <v>27.22</v>
      </c>
      <c r="G34" s="111" t="s">
        <v>760</v>
      </c>
      <c r="H34" s="101">
        <v>51</v>
      </c>
      <c r="K34" s="2">
        <v>27.22</v>
      </c>
      <c r="L34" s="20"/>
      <c r="M34" s="114">
        <f t="shared" si="2"/>
        <v>0</v>
      </c>
      <c r="N34" s="167"/>
      <c r="O34" s="114">
        <f t="shared" si="3"/>
        <v>0</v>
      </c>
      <c r="P34" s="115"/>
      <c r="Q34" s="116"/>
    </row>
    <row r="35" spans="2:17" x14ac:dyDescent="0.25">
      <c r="B35" s="2">
        <v>27.22</v>
      </c>
      <c r="C35" s="20">
        <v>32</v>
      </c>
      <c r="D35" s="100">
        <f t="shared" si="4"/>
        <v>871.04</v>
      </c>
      <c r="E35" s="185">
        <v>42303</v>
      </c>
      <c r="F35" s="100">
        <f t="shared" si="5"/>
        <v>871.04</v>
      </c>
      <c r="G35" s="111" t="s">
        <v>760</v>
      </c>
      <c r="H35" s="101">
        <v>51</v>
      </c>
      <c r="K35" s="2">
        <v>27.22</v>
      </c>
      <c r="L35" s="20"/>
      <c r="M35" s="114">
        <f t="shared" si="2"/>
        <v>0</v>
      </c>
      <c r="N35" s="167"/>
      <c r="O35" s="114">
        <f t="shared" si="3"/>
        <v>0</v>
      </c>
      <c r="P35" s="115"/>
      <c r="Q35" s="116"/>
    </row>
    <row r="36" spans="2:17" x14ac:dyDescent="0.25">
      <c r="B36" s="2">
        <v>27.22</v>
      </c>
      <c r="C36" s="20">
        <v>9</v>
      </c>
      <c r="D36" s="100">
        <f t="shared" si="4"/>
        <v>244.98</v>
      </c>
      <c r="E36" s="185">
        <v>42306</v>
      </c>
      <c r="F36" s="100">
        <f t="shared" si="5"/>
        <v>244.98</v>
      </c>
      <c r="G36" s="111" t="s">
        <v>776</v>
      </c>
      <c r="H36" s="101">
        <v>51</v>
      </c>
      <c r="K36" s="2">
        <v>27.22</v>
      </c>
      <c r="L36" s="20"/>
      <c r="M36" s="114">
        <f t="shared" si="2"/>
        <v>0</v>
      </c>
      <c r="N36" s="167"/>
      <c r="O36" s="114">
        <f t="shared" si="3"/>
        <v>0</v>
      </c>
      <c r="P36" s="115"/>
      <c r="Q36" s="116"/>
    </row>
    <row r="37" spans="2:17" x14ac:dyDescent="0.25">
      <c r="B37" s="2">
        <v>27.22</v>
      </c>
      <c r="C37" s="20">
        <v>2</v>
      </c>
      <c r="D37" s="100">
        <f t="shared" si="4"/>
        <v>54.44</v>
      </c>
      <c r="E37" s="185">
        <v>42307</v>
      </c>
      <c r="F37" s="100">
        <f t="shared" si="5"/>
        <v>54.44</v>
      </c>
      <c r="G37" s="111" t="s">
        <v>777</v>
      </c>
      <c r="H37" s="101">
        <v>51</v>
      </c>
      <c r="K37" s="2">
        <v>27.22</v>
      </c>
      <c r="L37" s="20"/>
      <c r="M37" s="114">
        <f t="shared" si="2"/>
        <v>0</v>
      </c>
      <c r="N37" s="167"/>
      <c r="O37" s="114">
        <f t="shared" si="3"/>
        <v>0</v>
      </c>
      <c r="P37" s="115"/>
      <c r="Q37" s="116"/>
    </row>
    <row r="38" spans="2:17" x14ac:dyDescent="0.25">
      <c r="B38" s="2">
        <v>27.22</v>
      </c>
      <c r="C38" s="20">
        <v>32</v>
      </c>
      <c r="D38" s="100">
        <f t="shared" si="4"/>
        <v>871.04</v>
      </c>
      <c r="E38" s="185">
        <v>42306</v>
      </c>
      <c r="F38" s="100">
        <f t="shared" si="5"/>
        <v>871.04</v>
      </c>
      <c r="G38" s="111" t="s">
        <v>780</v>
      </c>
      <c r="H38" s="101">
        <v>51</v>
      </c>
      <c r="K38" s="2">
        <v>27.22</v>
      </c>
      <c r="L38" s="20"/>
      <c r="M38" s="114">
        <f t="shared" si="2"/>
        <v>0</v>
      </c>
      <c r="N38" s="167"/>
      <c r="O38" s="114">
        <f t="shared" si="3"/>
        <v>0</v>
      </c>
      <c r="P38" s="115"/>
      <c r="Q38" s="116"/>
    </row>
    <row r="39" spans="2:17" x14ac:dyDescent="0.25">
      <c r="B39" s="2">
        <v>27.22</v>
      </c>
      <c r="C39" s="20">
        <v>1</v>
      </c>
      <c r="D39" s="100">
        <f t="shared" si="4"/>
        <v>27.22</v>
      </c>
      <c r="E39" s="185">
        <v>42308</v>
      </c>
      <c r="F39" s="100">
        <f t="shared" si="5"/>
        <v>27.22</v>
      </c>
      <c r="G39" s="111" t="s">
        <v>791</v>
      </c>
      <c r="H39" s="101">
        <v>51</v>
      </c>
      <c r="K39" s="2">
        <v>27.22</v>
      </c>
      <c r="L39" s="20"/>
      <c r="M39" s="114">
        <f t="shared" si="2"/>
        <v>0</v>
      </c>
      <c r="N39" s="167"/>
      <c r="O39" s="114">
        <f t="shared" si="3"/>
        <v>0</v>
      </c>
      <c r="P39" s="115"/>
      <c r="Q39" s="116"/>
    </row>
    <row r="40" spans="2:17" x14ac:dyDescent="0.25">
      <c r="B40" s="2">
        <v>27.22</v>
      </c>
      <c r="C40" s="20"/>
      <c r="D40" s="100">
        <f t="shared" si="4"/>
        <v>0</v>
      </c>
      <c r="E40" s="185"/>
      <c r="F40" s="100">
        <f t="shared" si="5"/>
        <v>0</v>
      </c>
      <c r="G40" s="111"/>
      <c r="H40" s="101"/>
      <c r="K40" s="2">
        <v>27.22</v>
      </c>
      <c r="L40" s="20"/>
      <c r="M40" s="114">
        <f t="shared" si="2"/>
        <v>0</v>
      </c>
      <c r="N40" s="167"/>
      <c r="O40" s="114">
        <f t="shared" si="3"/>
        <v>0</v>
      </c>
      <c r="P40" s="115"/>
      <c r="Q40" s="116"/>
    </row>
    <row r="41" spans="2:17" x14ac:dyDescent="0.25">
      <c r="B41" s="2">
        <v>27.22</v>
      </c>
      <c r="C41" s="20"/>
      <c r="D41" s="100">
        <f t="shared" si="4"/>
        <v>0</v>
      </c>
      <c r="E41" s="185"/>
      <c r="F41" s="100">
        <f t="shared" si="5"/>
        <v>0</v>
      </c>
      <c r="G41" s="111"/>
      <c r="H41" s="101"/>
      <c r="K41" s="2">
        <v>27.22</v>
      </c>
      <c r="L41" s="20"/>
      <c r="M41" s="114">
        <f t="shared" si="2"/>
        <v>0</v>
      </c>
      <c r="N41" s="167"/>
      <c r="O41" s="114">
        <f t="shared" si="3"/>
        <v>0</v>
      </c>
      <c r="P41" s="115"/>
      <c r="Q41" s="116"/>
    </row>
    <row r="42" spans="2:17" x14ac:dyDescent="0.25">
      <c r="B42" s="2">
        <v>27.22</v>
      </c>
      <c r="C42" s="20"/>
      <c r="D42" s="100">
        <f t="shared" si="4"/>
        <v>0</v>
      </c>
      <c r="E42" s="185"/>
      <c r="F42" s="100">
        <f t="shared" si="5"/>
        <v>0</v>
      </c>
      <c r="G42" s="111"/>
      <c r="H42" s="101"/>
      <c r="K42" s="2">
        <v>27.22</v>
      </c>
      <c r="L42" s="20"/>
      <c r="M42" s="114">
        <f t="shared" si="2"/>
        <v>0</v>
      </c>
      <c r="N42" s="167"/>
      <c r="O42" s="114">
        <f t="shared" si="3"/>
        <v>0</v>
      </c>
      <c r="P42" s="115"/>
      <c r="Q42" s="116"/>
    </row>
    <row r="43" spans="2:17" x14ac:dyDescent="0.25">
      <c r="B43" s="2">
        <v>27.22</v>
      </c>
      <c r="C43" s="20"/>
      <c r="D43" s="100">
        <f t="shared" si="4"/>
        <v>0</v>
      </c>
      <c r="E43" s="185"/>
      <c r="F43" s="100">
        <f t="shared" si="5"/>
        <v>0</v>
      </c>
      <c r="G43" s="111"/>
      <c r="H43" s="101"/>
      <c r="K43" s="2">
        <v>27.22</v>
      </c>
      <c r="L43" s="20"/>
      <c r="M43" s="114">
        <f t="shared" si="2"/>
        <v>0</v>
      </c>
      <c r="N43" s="167"/>
      <c r="O43" s="114">
        <f t="shared" si="3"/>
        <v>0</v>
      </c>
      <c r="P43" s="115"/>
      <c r="Q43" s="116"/>
    </row>
    <row r="44" spans="2:17" x14ac:dyDescent="0.25">
      <c r="B44" s="2">
        <v>27.22</v>
      </c>
      <c r="C44" s="20"/>
      <c r="D44" s="100">
        <f t="shared" si="4"/>
        <v>0</v>
      </c>
      <c r="E44" s="185"/>
      <c r="F44" s="100">
        <f t="shared" si="5"/>
        <v>0</v>
      </c>
      <c r="G44" s="111"/>
      <c r="H44" s="101"/>
      <c r="K44" s="2">
        <v>27.22</v>
      </c>
      <c r="L44" s="20"/>
      <c r="M44" s="114">
        <f t="shared" si="2"/>
        <v>0</v>
      </c>
      <c r="N44" s="167"/>
      <c r="O44" s="114">
        <f t="shared" si="3"/>
        <v>0</v>
      </c>
      <c r="P44" s="115"/>
      <c r="Q44" s="116"/>
    </row>
    <row r="45" spans="2:17" x14ac:dyDescent="0.25">
      <c r="B45" s="2">
        <v>27.22</v>
      </c>
      <c r="C45" s="20"/>
      <c r="D45" s="100">
        <f t="shared" si="4"/>
        <v>0</v>
      </c>
      <c r="E45" s="185"/>
      <c r="F45" s="100">
        <f t="shared" si="5"/>
        <v>0</v>
      </c>
      <c r="G45" s="111"/>
      <c r="H45" s="101"/>
      <c r="K45" s="2">
        <v>27.22</v>
      </c>
      <c r="L45" s="20"/>
      <c r="M45" s="114">
        <f t="shared" si="2"/>
        <v>0</v>
      </c>
      <c r="N45" s="167"/>
      <c r="O45" s="114">
        <f t="shared" si="3"/>
        <v>0</v>
      </c>
      <c r="P45" s="115"/>
      <c r="Q45" s="116"/>
    </row>
    <row r="46" spans="2:17" x14ac:dyDescent="0.25">
      <c r="B46" s="2">
        <v>27.22</v>
      </c>
      <c r="C46" s="20"/>
      <c r="D46" s="100">
        <f t="shared" si="4"/>
        <v>0</v>
      </c>
      <c r="E46" s="185"/>
      <c r="F46" s="100">
        <f t="shared" si="5"/>
        <v>0</v>
      </c>
      <c r="G46" s="111"/>
      <c r="H46" s="101"/>
      <c r="K46" s="2">
        <v>27.22</v>
      </c>
      <c r="L46" s="20"/>
      <c r="M46" s="114">
        <f t="shared" si="2"/>
        <v>0</v>
      </c>
      <c r="N46" s="167"/>
      <c r="O46" s="114">
        <f t="shared" si="3"/>
        <v>0</v>
      </c>
      <c r="P46" s="115"/>
      <c r="Q46" s="116"/>
    </row>
    <row r="47" spans="2:17" x14ac:dyDescent="0.25">
      <c r="B47" s="2">
        <v>27.22</v>
      </c>
      <c r="C47" s="20"/>
      <c r="D47" s="100">
        <f t="shared" si="4"/>
        <v>0</v>
      </c>
      <c r="E47" s="185"/>
      <c r="F47" s="100">
        <f t="shared" si="5"/>
        <v>0</v>
      </c>
      <c r="G47" s="111"/>
      <c r="H47" s="101"/>
      <c r="K47" s="2">
        <v>27.22</v>
      </c>
      <c r="L47" s="20"/>
      <c r="M47" s="114">
        <f t="shared" si="2"/>
        <v>0</v>
      </c>
      <c r="N47" s="167"/>
      <c r="O47" s="114">
        <f t="shared" si="3"/>
        <v>0</v>
      </c>
      <c r="P47" s="115"/>
      <c r="Q47" s="116"/>
    </row>
    <row r="48" spans="2:17" x14ac:dyDescent="0.25">
      <c r="B48" s="2">
        <v>27.22</v>
      </c>
      <c r="C48" s="20"/>
      <c r="D48" s="100">
        <f t="shared" si="4"/>
        <v>0</v>
      </c>
      <c r="E48" s="185"/>
      <c r="F48" s="100">
        <f t="shared" si="5"/>
        <v>0</v>
      </c>
      <c r="G48" s="111"/>
      <c r="H48" s="101"/>
      <c r="K48" s="2">
        <v>27.22</v>
      </c>
      <c r="L48" s="20"/>
      <c r="M48" s="114">
        <f t="shared" si="2"/>
        <v>0</v>
      </c>
      <c r="N48" s="167"/>
      <c r="O48" s="114">
        <f t="shared" si="3"/>
        <v>0</v>
      </c>
      <c r="P48" s="115"/>
      <c r="Q48" s="116"/>
    </row>
    <row r="49" spans="1:17" x14ac:dyDescent="0.25">
      <c r="B49" s="2">
        <v>27.22</v>
      </c>
      <c r="C49" s="20"/>
      <c r="D49" s="100">
        <f t="shared" si="4"/>
        <v>0</v>
      </c>
      <c r="E49" s="185"/>
      <c r="F49" s="100">
        <f t="shared" si="5"/>
        <v>0</v>
      </c>
      <c r="G49" s="111"/>
      <c r="H49" s="101"/>
      <c r="K49" s="2">
        <v>27.22</v>
      </c>
      <c r="L49" s="20"/>
      <c r="M49" s="114">
        <f t="shared" si="2"/>
        <v>0</v>
      </c>
      <c r="N49" s="167"/>
      <c r="O49" s="114">
        <f t="shared" si="3"/>
        <v>0</v>
      </c>
      <c r="P49" s="115"/>
      <c r="Q49" s="116"/>
    </row>
    <row r="50" spans="1:17" x14ac:dyDescent="0.25">
      <c r="B50" s="2">
        <v>27.22</v>
      </c>
      <c r="C50" s="20"/>
      <c r="D50" s="100">
        <f t="shared" si="4"/>
        <v>0</v>
      </c>
      <c r="E50" s="185"/>
      <c r="F50" s="100">
        <f t="shared" si="5"/>
        <v>0</v>
      </c>
      <c r="G50" s="111"/>
      <c r="H50" s="101"/>
      <c r="K50" s="2">
        <v>27.22</v>
      </c>
      <c r="L50" s="20"/>
      <c r="M50" s="114">
        <f t="shared" si="2"/>
        <v>0</v>
      </c>
      <c r="N50" s="167"/>
      <c r="O50" s="114">
        <f t="shared" si="3"/>
        <v>0</v>
      </c>
      <c r="P50" s="115"/>
      <c r="Q50" s="116"/>
    </row>
    <row r="51" spans="1:17" x14ac:dyDescent="0.25">
      <c r="B51" s="2">
        <v>27.22</v>
      </c>
      <c r="C51" s="20"/>
      <c r="D51" s="100">
        <f t="shared" si="4"/>
        <v>0</v>
      </c>
      <c r="E51" s="185"/>
      <c r="F51" s="100">
        <f t="shared" si="5"/>
        <v>0</v>
      </c>
      <c r="G51" s="111"/>
      <c r="H51" s="101"/>
      <c r="K51" s="2">
        <v>27.22</v>
      </c>
      <c r="L51" s="20"/>
      <c r="M51" s="114">
        <f t="shared" si="2"/>
        <v>0</v>
      </c>
      <c r="N51" s="167"/>
      <c r="O51" s="114">
        <f t="shared" si="3"/>
        <v>0</v>
      </c>
      <c r="P51" s="115"/>
      <c r="Q51" s="116"/>
    </row>
    <row r="52" spans="1:17" x14ac:dyDescent="0.25">
      <c r="B52" s="2">
        <v>27.22</v>
      </c>
      <c r="C52" s="20"/>
      <c r="D52" s="100">
        <f t="shared" si="4"/>
        <v>0</v>
      </c>
      <c r="E52" s="185"/>
      <c r="F52" s="100">
        <f t="shared" si="5"/>
        <v>0</v>
      </c>
      <c r="G52" s="111"/>
      <c r="H52" s="101"/>
      <c r="K52" s="2">
        <v>27.22</v>
      </c>
      <c r="L52" s="20"/>
      <c r="M52" s="254">
        <f t="shared" si="2"/>
        <v>0</v>
      </c>
      <c r="N52" s="257"/>
      <c r="O52" s="254">
        <f t="shared" si="3"/>
        <v>0</v>
      </c>
      <c r="P52" s="255"/>
      <c r="Q52" s="256"/>
    </row>
    <row r="53" spans="1:17" x14ac:dyDescent="0.25">
      <c r="B53" s="2">
        <v>27.22</v>
      </c>
      <c r="C53" s="20"/>
      <c r="D53" s="100">
        <f t="shared" si="4"/>
        <v>0</v>
      </c>
      <c r="E53" s="185"/>
      <c r="F53" s="100">
        <f t="shared" si="5"/>
        <v>0</v>
      </c>
      <c r="G53" s="111"/>
      <c r="H53" s="101"/>
      <c r="K53" s="2">
        <v>27.22</v>
      </c>
      <c r="L53" s="20"/>
      <c r="M53" s="254">
        <f t="shared" si="2"/>
        <v>0</v>
      </c>
      <c r="N53" s="257"/>
      <c r="O53" s="254">
        <f t="shared" si="3"/>
        <v>0</v>
      </c>
      <c r="P53" s="255"/>
      <c r="Q53" s="256"/>
    </row>
    <row r="54" spans="1:17" x14ac:dyDescent="0.25">
      <c r="B54" s="2">
        <v>27.22</v>
      </c>
      <c r="C54" s="20"/>
      <c r="D54" s="100">
        <f t="shared" si="4"/>
        <v>0</v>
      </c>
      <c r="E54" s="185"/>
      <c r="F54" s="100">
        <f t="shared" si="5"/>
        <v>0</v>
      </c>
      <c r="G54" s="111"/>
      <c r="H54" s="101"/>
      <c r="K54" s="2">
        <v>27.22</v>
      </c>
      <c r="L54" s="20"/>
      <c r="M54" s="254">
        <f t="shared" si="2"/>
        <v>0</v>
      </c>
      <c r="N54" s="257"/>
      <c r="O54" s="254">
        <f t="shared" si="3"/>
        <v>0</v>
      </c>
      <c r="P54" s="255"/>
      <c r="Q54" s="256"/>
    </row>
    <row r="55" spans="1:17" x14ac:dyDescent="0.25">
      <c r="B55" s="2">
        <v>27.22</v>
      </c>
      <c r="C55" s="20"/>
      <c r="D55" s="100">
        <f t="shared" si="4"/>
        <v>0</v>
      </c>
      <c r="E55" s="185"/>
      <c r="F55" s="100">
        <f t="shared" si="5"/>
        <v>0</v>
      </c>
      <c r="G55" s="111"/>
      <c r="H55" s="101"/>
      <c r="K55" s="2">
        <v>27.22</v>
      </c>
      <c r="L55" s="20"/>
      <c r="M55" s="254">
        <f t="shared" si="2"/>
        <v>0</v>
      </c>
      <c r="N55" s="257"/>
      <c r="O55" s="254">
        <f t="shared" si="3"/>
        <v>0</v>
      </c>
      <c r="P55" s="255"/>
      <c r="Q55" s="256"/>
    </row>
    <row r="56" spans="1:17" x14ac:dyDescent="0.25">
      <c r="B56" s="2">
        <v>27.22</v>
      </c>
      <c r="C56" s="20"/>
      <c r="D56" s="100">
        <f t="shared" si="4"/>
        <v>0</v>
      </c>
      <c r="E56" s="185"/>
      <c r="F56" s="100">
        <f t="shared" si="5"/>
        <v>0</v>
      </c>
      <c r="G56" s="111"/>
      <c r="H56" s="101"/>
      <c r="K56" s="2">
        <v>27.22</v>
      </c>
      <c r="L56" s="20"/>
      <c r="M56" s="254">
        <f t="shared" si="2"/>
        <v>0</v>
      </c>
      <c r="N56" s="257"/>
      <c r="O56" s="254">
        <f t="shared" si="3"/>
        <v>0</v>
      </c>
      <c r="P56" s="255"/>
      <c r="Q56" s="256"/>
    </row>
    <row r="57" spans="1:17" x14ac:dyDescent="0.25">
      <c r="B57" s="2">
        <v>27.22</v>
      </c>
      <c r="C57" s="20"/>
      <c r="D57" s="100">
        <f t="shared" si="4"/>
        <v>0</v>
      </c>
      <c r="E57" s="185"/>
      <c r="F57" s="100">
        <f t="shared" si="5"/>
        <v>0</v>
      </c>
      <c r="G57" s="111"/>
      <c r="H57" s="101"/>
      <c r="K57" s="2">
        <v>27.22</v>
      </c>
      <c r="L57" s="20"/>
      <c r="M57" s="254">
        <f t="shared" si="2"/>
        <v>0</v>
      </c>
      <c r="N57" s="257"/>
      <c r="O57" s="254">
        <f t="shared" si="3"/>
        <v>0</v>
      </c>
      <c r="P57" s="255"/>
      <c r="Q57" s="256"/>
    </row>
    <row r="58" spans="1:17" x14ac:dyDescent="0.25">
      <c r="B58" s="2">
        <v>27.22</v>
      </c>
      <c r="C58" s="20"/>
      <c r="D58" s="100">
        <f t="shared" si="4"/>
        <v>0</v>
      </c>
      <c r="E58" s="691"/>
      <c r="F58" s="100">
        <f t="shared" si="5"/>
        <v>0</v>
      </c>
      <c r="G58" s="692"/>
      <c r="H58" s="690"/>
      <c r="K58" s="2">
        <v>27.22</v>
      </c>
      <c r="L58" s="20"/>
      <c r="M58" s="254">
        <f t="shared" si="2"/>
        <v>0</v>
      </c>
      <c r="N58" s="376"/>
      <c r="O58" s="254">
        <f t="shared" si="3"/>
        <v>0</v>
      </c>
      <c r="P58" s="377"/>
      <c r="Q58" s="375"/>
    </row>
    <row r="59" spans="1:17" ht="15.75" thickBot="1" x14ac:dyDescent="0.3">
      <c r="A59" s="245"/>
      <c r="B59" s="2">
        <v>27.22</v>
      </c>
      <c r="C59" s="20"/>
      <c r="D59" s="100">
        <f t="shared" si="4"/>
        <v>0</v>
      </c>
      <c r="E59" s="691"/>
      <c r="F59" s="100">
        <f t="shared" si="5"/>
        <v>0</v>
      </c>
      <c r="G59" s="692"/>
      <c r="H59" s="690"/>
      <c r="J59" s="245"/>
      <c r="K59" s="2">
        <v>27.22</v>
      </c>
      <c r="L59" s="20"/>
      <c r="M59" s="254">
        <f t="shared" si="2"/>
        <v>0</v>
      </c>
      <c r="N59" s="376"/>
      <c r="O59" s="254">
        <f t="shared" si="3"/>
        <v>0</v>
      </c>
      <c r="P59" s="377"/>
      <c r="Q59" s="375"/>
    </row>
    <row r="60" spans="1:17" ht="15.75" thickTop="1" x14ac:dyDescent="0.25">
      <c r="A60">
        <f>SUM(A58:A59)</f>
        <v>0</v>
      </c>
      <c r="B60" s="2">
        <v>27.22</v>
      </c>
      <c r="C60" s="20"/>
      <c r="D60" s="100">
        <f t="shared" si="4"/>
        <v>0</v>
      </c>
      <c r="E60" s="691"/>
      <c r="F60" s="100">
        <f t="shared" si="5"/>
        <v>0</v>
      </c>
      <c r="G60" s="692"/>
      <c r="H60" s="690"/>
      <c r="J60">
        <f>SUM(J58:J59)</f>
        <v>0</v>
      </c>
      <c r="K60" s="2">
        <v>27.22</v>
      </c>
      <c r="L60" s="20"/>
      <c r="M60" s="254">
        <f t="shared" si="2"/>
        <v>0</v>
      </c>
      <c r="N60" s="376"/>
      <c r="O60" s="254">
        <f t="shared" si="3"/>
        <v>0</v>
      </c>
      <c r="P60" s="377"/>
      <c r="Q60" s="375"/>
    </row>
    <row r="61" spans="1:17" ht="15.75" thickBot="1" x14ac:dyDescent="0.3">
      <c r="B61" s="2">
        <v>27.22</v>
      </c>
      <c r="C61" s="47"/>
      <c r="D61" s="199">
        <f t="shared" si="4"/>
        <v>0</v>
      </c>
      <c r="E61" s="693"/>
      <c r="F61" s="199">
        <f t="shared" si="5"/>
        <v>0</v>
      </c>
      <c r="G61" s="694"/>
      <c r="H61" s="690"/>
      <c r="K61" s="2">
        <v>27.22</v>
      </c>
      <c r="L61" s="47"/>
      <c r="M61" s="378">
        <f t="shared" si="2"/>
        <v>0</v>
      </c>
      <c r="N61" s="379"/>
      <c r="O61" s="378">
        <f t="shared" si="3"/>
        <v>0</v>
      </c>
      <c r="P61" s="380"/>
      <c r="Q61" s="375"/>
    </row>
    <row r="62" spans="1:17" x14ac:dyDescent="0.25">
      <c r="C62" s="82">
        <f>SUM(C8:C61)</f>
        <v>666</v>
      </c>
      <c r="D62" s="9">
        <f>SUM(D8:D61)</f>
        <v>18128.519999999997</v>
      </c>
      <c r="F62" s="9">
        <f>SUM(F8:F61)</f>
        <v>18128.519999999997</v>
      </c>
      <c r="L62" s="82">
        <f>SUM(L8:L61)</f>
        <v>0</v>
      </c>
      <c r="M62" s="9">
        <f>SUM(M8:M61)</f>
        <v>0</v>
      </c>
      <c r="O62" s="9">
        <f>SUM(O8:O61)</f>
        <v>0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</f>
        <v>21</v>
      </c>
      <c r="M65" s="61" t="s">
        <v>4</v>
      </c>
      <c r="N65" s="93">
        <f>O4+O5-L62</f>
        <v>677</v>
      </c>
    </row>
    <row r="66" spans="3:17" ht="15.75" thickBot="1" x14ac:dyDescent="0.3"/>
    <row r="67" spans="3:17" ht="15.75" thickBot="1" x14ac:dyDescent="0.3">
      <c r="C67" s="757" t="s">
        <v>11</v>
      </c>
      <c r="D67" s="758"/>
      <c r="E67" s="95">
        <f>E4+E5+E6-F62</f>
        <v>647.9900000000016</v>
      </c>
      <c r="G67" s="170"/>
      <c r="H67" s="178"/>
      <c r="L67" s="757" t="s">
        <v>11</v>
      </c>
      <c r="M67" s="758"/>
      <c r="N67" s="95">
        <f>N4+N5+N6-O62</f>
        <v>18427.939999999999</v>
      </c>
      <c r="P67" s="170"/>
      <c r="Q67" s="178"/>
    </row>
  </sheetData>
  <mergeCells count="4"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topLeftCell="S1" workbookViewId="0">
      <selection activeCell="U18" sqref="U18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6.5703125" customWidth="1"/>
    <col min="20" max="20" width="19.7109375" customWidth="1"/>
    <col min="25" max="25" width="12.85546875" bestFit="1" customWidth="1"/>
    <col min="28" max="28" width="28.85546875" bestFit="1" customWidth="1"/>
    <col min="29" max="29" width="19.7109375" customWidth="1"/>
    <col min="34" max="34" width="12.85546875" bestFit="1" customWidth="1"/>
  </cols>
  <sheetData>
    <row r="1" spans="1:35" ht="40.5" x14ac:dyDescent="0.55000000000000004">
      <c r="A1" s="759" t="s">
        <v>259</v>
      </c>
      <c r="B1" s="759"/>
      <c r="C1" s="759"/>
      <c r="D1" s="759"/>
      <c r="E1" s="759"/>
      <c r="F1" s="759"/>
      <c r="G1" s="759"/>
      <c r="H1" s="14">
        <v>1</v>
      </c>
      <c r="J1" s="756" t="s">
        <v>429</v>
      </c>
      <c r="K1" s="756"/>
      <c r="L1" s="756"/>
      <c r="M1" s="756"/>
      <c r="N1" s="756"/>
      <c r="O1" s="756"/>
      <c r="P1" s="756"/>
      <c r="Q1" s="14">
        <f>H1+1</f>
        <v>2</v>
      </c>
      <c r="S1" s="756" t="str">
        <f>J1</f>
        <v>INVENTARIO DEL MES DE SEPTIEMBRE  2015</v>
      </c>
      <c r="T1" s="756"/>
      <c r="U1" s="756"/>
      <c r="V1" s="756"/>
      <c r="W1" s="756"/>
      <c r="X1" s="756"/>
      <c r="Y1" s="756"/>
      <c r="Z1" s="14">
        <f>Q1+1</f>
        <v>3</v>
      </c>
      <c r="AB1" s="756" t="str">
        <f>S1</f>
        <v>INVENTARIO DEL MES DE SEPTIEMBRE  2015</v>
      </c>
      <c r="AC1" s="756"/>
      <c r="AD1" s="756"/>
      <c r="AE1" s="756"/>
      <c r="AF1" s="756"/>
      <c r="AG1" s="756"/>
      <c r="AH1" s="756"/>
      <c r="AI1" s="14">
        <f>Z1+1</f>
        <v>4</v>
      </c>
    </row>
    <row r="2" spans="1:35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  <c r="AD2" s="22"/>
      <c r="AE2" s="66"/>
      <c r="AG2" s="66"/>
      <c r="AI2" s="16"/>
    </row>
    <row r="3" spans="1:35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  <c r="AB3" s="105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24</v>
      </c>
    </row>
    <row r="4" spans="1:35" ht="15.75" thickTop="1" x14ac:dyDescent="0.25">
      <c r="A4" s="16"/>
      <c r="B4" s="269" t="s">
        <v>41</v>
      </c>
      <c r="C4" s="370">
        <v>-256.38</v>
      </c>
      <c r="D4" s="16">
        <v>30</v>
      </c>
      <c r="E4" s="133"/>
      <c r="F4" s="124"/>
      <c r="G4" s="124"/>
      <c r="H4" s="16"/>
      <c r="J4" s="16"/>
      <c r="K4" s="164" t="s">
        <v>208</v>
      </c>
      <c r="L4" s="370"/>
      <c r="M4" s="16"/>
      <c r="N4" s="133">
        <v>305.55</v>
      </c>
      <c r="O4" s="124">
        <v>13</v>
      </c>
      <c r="P4" s="124"/>
      <c r="Q4" s="16"/>
      <c r="S4" s="16"/>
      <c r="T4" s="164" t="s">
        <v>208</v>
      </c>
      <c r="U4" s="370"/>
      <c r="V4" s="16"/>
      <c r="W4" s="133"/>
      <c r="X4" s="124"/>
      <c r="Y4" s="124"/>
      <c r="Z4" s="16"/>
      <c r="AB4" s="16"/>
      <c r="AC4" s="164" t="s">
        <v>208</v>
      </c>
      <c r="AD4" s="370"/>
      <c r="AE4" s="16"/>
      <c r="AF4" s="133"/>
      <c r="AG4" s="124"/>
      <c r="AH4" s="124"/>
      <c r="AI4" s="16"/>
    </row>
    <row r="5" spans="1:35" x14ac:dyDescent="0.25">
      <c r="A5" s="59" t="s">
        <v>83</v>
      </c>
      <c r="B5" s="373" t="s">
        <v>46</v>
      </c>
      <c r="C5" s="196">
        <v>68.5</v>
      </c>
      <c r="D5" s="293">
        <v>42165</v>
      </c>
      <c r="E5" s="254">
        <v>5010.63</v>
      </c>
      <c r="F5" s="181">
        <v>266</v>
      </c>
      <c r="G5" s="186">
        <f>F96</f>
        <v>5013.0100000000011</v>
      </c>
      <c r="H5" s="10">
        <f>E5-G5+E4+E6</f>
        <v>15.989999999998982</v>
      </c>
      <c r="J5" s="59" t="s">
        <v>217</v>
      </c>
      <c r="K5" s="260" t="s">
        <v>218</v>
      </c>
      <c r="L5" s="196">
        <v>71.5</v>
      </c>
      <c r="M5" s="293">
        <v>42219</v>
      </c>
      <c r="N5" s="254">
        <v>1987.94</v>
      </c>
      <c r="O5" s="181">
        <v>100</v>
      </c>
      <c r="P5" s="186">
        <f>O96</f>
        <v>7233.18</v>
      </c>
      <c r="Q5" s="10">
        <f>N5-P5+N4+N6</f>
        <v>76.760000000000218</v>
      </c>
      <c r="S5" s="59" t="s">
        <v>276</v>
      </c>
      <c r="T5" s="260" t="s">
        <v>218</v>
      </c>
      <c r="U5" s="196" t="s">
        <v>275</v>
      </c>
      <c r="V5" s="293">
        <v>42237</v>
      </c>
      <c r="W5" s="254">
        <v>11818.23</v>
      </c>
      <c r="X5" s="181">
        <v>534</v>
      </c>
      <c r="Y5" s="186">
        <f>X96</f>
        <v>2288.38</v>
      </c>
      <c r="Z5" s="10">
        <f>W5-Y5+W4+W6</f>
        <v>9529.8499999999985</v>
      </c>
      <c r="AB5" s="59" t="s">
        <v>276</v>
      </c>
      <c r="AC5" s="599" t="s">
        <v>278</v>
      </c>
      <c r="AD5" s="196" t="s">
        <v>275</v>
      </c>
      <c r="AE5" s="293">
        <v>42237</v>
      </c>
      <c r="AF5" s="254">
        <v>12017.77</v>
      </c>
      <c r="AG5" s="181">
        <v>569</v>
      </c>
      <c r="AH5" s="186">
        <f>AG96</f>
        <v>0</v>
      </c>
      <c r="AI5" s="10">
        <f>AF5-AH5+AF4+AF6</f>
        <v>12017.77</v>
      </c>
    </row>
    <row r="6" spans="1:35" ht="15.75" thickBot="1" x14ac:dyDescent="0.3">
      <c r="A6" s="16"/>
      <c r="B6" s="472" t="s">
        <v>88</v>
      </c>
      <c r="C6" s="15">
        <v>68.5</v>
      </c>
      <c r="D6" s="400">
        <v>42181</v>
      </c>
      <c r="E6" s="153">
        <v>18.37</v>
      </c>
      <c r="F6" s="104">
        <v>1</v>
      </c>
      <c r="G6" s="16"/>
      <c r="J6" s="16"/>
      <c r="K6" s="181"/>
      <c r="L6" s="196">
        <v>71.5</v>
      </c>
      <c r="M6" s="363">
        <v>42220</v>
      </c>
      <c r="N6" s="153">
        <v>5016.45</v>
      </c>
      <c r="O6" s="104">
        <v>253</v>
      </c>
      <c r="P6" s="16"/>
      <c r="S6" s="16"/>
      <c r="T6" s="597" t="s">
        <v>277</v>
      </c>
      <c r="U6" s="196"/>
      <c r="V6" s="363"/>
      <c r="W6" s="153"/>
      <c r="X6" s="104"/>
      <c r="Y6" s="16"/>
      <c r="AB6" s="16"/>
      <c r="AC6" s="598" t="s">
        <v>279</v>
      </c>
      <c r="AD6" s="196"/>
      <c r="AE6" s="363"/>
      <c r="AF6" s="153"/>
      <c r="AG6" s="104"/>
      <c r="AH6" s="16"/>
    </row>
    <row r="7" spans="1:35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  <c r="AC7" s="107" t="s">
        <v>7</v>
      </c>
      <c r="AD7" s="35" t="s">
        <v>8</v>
      </c>
      <c r="AE7" s="41" t="s">
        <v>3</v>
      </c>
      <c r="AF7" s="42" t="s">
        <v>2</v>
      </c>
      <c r="AG7" s="12" t="s">
        <v>9</v>
      </c>
      <c r="AH7" s="13" t="s">
        <v>15</v>
      </c>
      <c r="AI7" s="32"/>
    </row>
    <row r="8" spans="1:35" ht="15.75" thickTop="1" x14ac:dyDescent="0.25">
      <c r="A8" s="92" t="s">
        <v>33</v>
      </c>
      <c r="B8" s="207"/>
      <c r="C8" s="285">
        <v>45</v>
      </c>
      <c r="D8" s="254">
        <v>847.98</v>
      </c>
      <c r="E8" s="257">
        <v>42177</v>
      </c>
      <c r="F8" s="254">
        <f t="shared" ref="F8:F71" si="0">D8</f>
        <v>847.98</v>
      </c>
      <c r="G8" s="255" t="s">
        <v>195</v>
      </c>
      <c r="H8" s="256">
        <v>80</v>
      </c>
      <c r="J8" s="92" t="s">
        <v>33</v>
      </c>
      <c r="K8" s="207"/>
      <c r="L8" s="285">
        <v>40</v>
      </c>
      <c r="M8" s="114">
        <v>831.12</v>
      </c>
      <c r="N8" s="167">
        <v>42223</v>
      </c>
      <c r="O8" s="114">
        <f t="shared" ref="O8:O71" si="1">M8</f>
        <v>831.12</v>
      </c>
      <c r="P8" s="115" t="s">
        <v>292</v>
      </c>
      <c r="Q8" s="116">
        <v>80</v>
      </c>
      <c r="S8" s="92" t="s">
        <v>33</v>
      </c>
      <c r="T8" s="207"/>
      <c r="U8" s="285">
        <v>10</v>
      </c>
      <c r="V8" s="100">
        <v>218.08</v>
      </c>
      <c r="W8" s="185">
        <v>42259</v>
      </c>
      <c r="X8" s="100">
        <f t="shared" ref="X8:X71" si="2">V8</f>
        <v>218.08</v>
      </c>
      <c r="Y8" s="111" t="s">
        <v>393</v>
      </c>
      <c r="Z8" s="101">
        <v>80</v>
      </c>
      <c r="AB8" s="92" t="s">
        <v>33</v>
      </c>
      <c r="AC8" s="207"/>
      <c r="AD8" s="285"/>
      <c r="AE8" s="114"/>
      <c r="AF8" s="167"/>
      <c r="AG8" s="114">
        <f t="shared" ref="AG8:AG71" si="3">AE8</f>
        <v>0</v>
      </c>
      <c r="AH8" s="115"/>
      <c r="AI8" s="116"/>
    </row>
    <row r="9" spans="1:35" x14ac:dyDescent="0.25">
      <c r="A9" s="151"/>
      <c r="B9" s="207"/>
      <c r="C9" s="20">
        <v>41</v>
      </c>
      <c r="D9" s="254">
        <v>782.37</v>
      </c>
      <c r="E9" s="257">
        <v>42180</v>
      </c>
      <c r="F9" s="254">
        <f t="shared" si="0"/>
        <v>782.37</v>
      </c>
      <c r="G9" s="255" t="s">
        <v>199</v>
      </c>
      <c r="H9" s="256">
        <v>80</v>
      </c>
      <c r="J9" s="151"/>
      <c r="K9" s="207"/>
      <c r="L9" s="20">
        <v>10</v>
      </c>
      <c r="M9" s="114">
        <v>214.14</v>
      </c>
      <c r="N9" s="167">
        <v>42224</v>
      </c>
      <c r="O9" s="114">
        <f t="shared" si="1"/>
        <v>214.14</v>
      </c>
      <c r="P9" s="115" t="s">
        <v>293</v>
      </c>
      <c r="Q9" s="116">
        <v>80</v>
      </c>
      <c r="S9" s="151"/>
      <c r="T9" s="207"/>
      <c r="U9" s="20">
        <v>10</v>
      </c>
      <c r="V9" s="718">
        <v>217.28</v>
      </c>
      <c r="W9" s="719">
        <v>42286</v>
      </c>
      <c r="X9" s="718">
        <f t="shared" si="2"/>
        <v>217.28</v>
      </c>
      <c r="Y9" s="720" t="s">
        <v>665</v>
      </c>
      <c r="Z9" s="721">
        <v>80</v>
      </c>
      <c r="AB9" s="151"/>
      <c r="AC9" s="207"/>
      <c r="AD9" s="20"/>
      <c r="AE9" s="114"/>
      <c r="AF9" s="167"/>
      <c r="AG9" s="114">
        <f t="shared" si="3"/>
        <v>0</v>
      </c>
      <c r="AH9" s="115"/>
      <c r="AI9" s="116"/>
    </row>
    <row r="10" spans="1:35" x14ac:dyDescent="0.25">
      <c r="A10" s="15"/>
      <c r="B10" s="207"/>
      <c r="C10" s="20">
        <v>10</v>
      </c>
      <c r="D10" s="254">
        <v>179.72</v>
      </c>
      <c r="E10" s="257">
        <v>42181</v>
      </c>
      <c r="F10" s="254">
        <f t="shared" si="0"/>
        <v>179.72</v>
      </c>
      <c r="G10" s="473" t="s">
        <v>202</v>
      </c>
      <c r="H10" s="474">
        <v>80</v>
      </c>
      <c r="J10" s="15"/>
      <c r="K10" s="207"/>
      <c r="L10" s="20">
        <v>10</v>
      </c>
      <c r="M10" s="114">
        <v>198.92</v>
      </c>
      <c r="N10" s="167">
        <v>42223</v>
      </c>
      <c r="O10" s="114">
        <f t="shared" si="1"/>
        <v>198.92</v>
      </c>
      <c r="P10" s="568" t="s">
        <v>294</v>
      </c>
      <c r="Q10" s="212">
        <v>80</v>
      </c>
      <c r="S10" s="15"/>
      <c r="T10" s="207"/>
      <c r="U10" s="20">
        <v>10</v>
      </c>
      <c r="V10" s="718">
        <v>220.88</v>
      </c>
      <c r="W10" s="719">
        <v>42290</v>
      </c>
      <c r="X10" s="718">
        <f t="shared" si="2"/>
        <v>220.88</v>
      </c>
      <c r="Y10" s="722" t="s">
        <v>686</v>
      </c>
      <c r="Z10" s="723">
        <v>80</v>
      </c>
      <c r="AB10" s="15"/>
      <c r="AC10" s="207"/>
      <c r="AD10" s="20"/>
      <c r="AE10" s="114"/>
      <c r="AF10" s="167"/>
      <c r="AG10" s="114">
        <f t="shared" si="3"/>
        <v>0</v>
      </c>
      <c r="AH10" s="568"/>
      <c r="AI10" s="212"/>
    </row>
    <row r="11" spans="1:35" x14ac:dyDescent="0.25">
      <c r="A11" s="147" t="s">
        <v>34</v>
      </c>
      <c r="B11" s="213"/>
      <c r="C11" s="20">
        <v>1</v>
      </c>
      <c r="D11" s="254">
        <v>18.37</v>
      </c>
      <c r="E11" s="257">
        <v>42181</v>
      </c>
      <c r="F11" s="254">
        <f t="shared" si="0"/>
        <v>18.37</v>
      </c>
      <c r="G11" s="255" t="s">
        <v>203</v>
      </c>
      <c r="H11" s="256">
        <v>80</v>
      </c>
      <c r="J11" s="147" t="s">
        <v>34</v>
      </c>
      <c r="K11" s="213"/>
      <c r="L11" s="20">
        <v>3</v>
      </c>
      <c r="M11" s="114">
        <v>55.43</v>
      </c>
      <c r="N11" s="167">
        <v>42223</v>
      </c>
      <c r="O11" s="114">
        <f t="shared" si="1"/>
        <v>55.43</v>
      </c>
      <c r="P11" s="115" t="s">
        <v>295</v>
      </c>
      <c r="Q11" s="116">
        <v>80</v>
      </c>
      <c r="S11" s="147" t="s">
        <v>34</v>
      </c>
      <c r="T11" s="213"/>
      <c r="U11" s="20">
        <v>5</v>
      </c>
      <c r="V11" s="718">
        <v>110.4</v>
      </c>
      <c r="W11" s="719">
        <v>42290</v>
      </c>
      <c r="X11" s="718">
        <f t="shared" si="2"/>
        <v>110.4</v>
      </c>
      <c r="Y11" s="720" t="s">
        <v>687</v>
      </c>
      <c r="Z11" s="721">
        <v>80</v>
      </c>
      <c r="AB11" s="147" t="s">
        <v>34</v>
      </c>
      <c r="AC11" s="213"/>
      <c r="AD11" s="20"/>
      <c r="AE11" s="114"/>
      <c r="AF11" s="167"/>
      <c r="AG11" s="114">
        <f t="shared" si="3"/>
        <v>0</v>
      </c>
      <c r="AH11" s="115"/>
      <c r="AI11" s="116"/>
    </row>
    <row r="12" spans="1:35" x14ac:dyDescent="0.25">
      <c r="A12" s="152"/>
      <c r="B12" s="213"/>
      <c r="C12" s="20">
        <v>5</v>
      </c>
      <c r="D12" s="254">
        <v>93.06</v>
      </c>
      <c r="E12" s="257">
        <v>42181</v>
      </c>
      <c r="F12" s="254">
        <f t="shared" si="0"/>
        <v>93.06</v>
      </c>
      <c r="G12" s="255" t="s">
        <v>205</v>
      </c>
      <c r="H12" s="256">
        <v>80</v>
      </c>
      <c r="J12" s="152"/>
      <c r="K12" s="213"/>
      <c r="L12" s="20">
        <v>2</v>
      </c>
      <c r="M12" s="114">
        <v>38.82</v>
      </c>
      <c r="N12" s="167">
        <v>42224</v>
      </c>
      <c r="O12" s="114">
        <f t="shared" si="1"/>
        <v>38.82</v>
      </c>
      <c r="P12" s="115" t="s">
        <v>296</v>
      </c>
      <c r="Q12" s="116">
        <v>80</v>
      </c>
      <c r="S12" s="152"/>
      <c r="T12" s="213"/>
      <c r="U12" s="20">
        <v>30</v>
      </c>
      <c r="V12" s="718">
        <v>654.41999999999996</v>
      </c>
      <c r="W12" s="719">
        <v>42290</v>
      </c>
      <c r="X12" s="718">
        <f t="shared" si="2"/>
        <v>654.41999999999996</v>
      </c>
      <c r="Y12" s="720" t="s">
        <v>692</v>
      </c>
      <c r="Z12" s="721">
        <v>80</v>
      </c>
      <c r="AB12" s="152"/>
      <c r="AC12" s="213"/>
      <c r="AD12" s="20"/>
      <c r="AE12" s="114"/>
      <c r="AF12" s="167"/>
      <c r="AG12" s="114">
        <f t="shared" si="3"/>
        <v>0</v>
      </c>
      <c r="AH12" s="115"/>
      <c r="AI12" s="116"/>
    </row>
    <row r="13" spans="1:35" x14ac:dyDescent="0.25">
      <c r="A13" s="119"/>
      <c r="B13" s="213"/>
      <c r="C13" s="285">
        <v>5</v>
      </c>
      <c r="D13" s="254">
        <v>102.79</v>
      </c>
      <c r="E13" s="257">
        <v>42184</v>
      </c>
      <c r="F13" s="254">
        <f t="shared" si="0"/>
        <v>102.79</v>
      </c>
      <c r="G13" s="255" t="s">
        <v>207</v>
      </c>
      <c r="H13" s="256">
        <v>80</v>
      </c>
      <c r="J13" s="119"/>
      <c r="K13" s="213"/>
      <c r="L13" s="285">
        <v>45</v>
      </c>
      <c r="M13" s="114">
        <v>934.77</v>
      </c>
      <c r="N13" s="167">
        <v>42226</v>
      </c>
      <c r="O13" s="114">
        <f t="shared" si="1"/>
        <v>934.77</v>
      </c>
      <c r="P13" s="115" t="s">
        <v>297</v>
      </c>
      <c r="Q13" s="116">
        <v>80</v>
      </c>
      <c r="S13" s="119"/>
      <c r="T13" s="213"/>
      <c r="U13" s="285">
        <v>5</v>
      </c>
      <c r="V13" s="718">
        <v>105.66</v>
      </c>
      <c r="W13" s="719">
        <v>42293</v>
      </c>
      <c r="X13" s="718">
        <f t="shared" si="2"/>
        <v>105.66</v>
      </c>
      <c r="Y13" s="720" t="s">
        <v>711</v>
      </c>
      <c r="Z13" s="721">
        <v>80</v>
      </c>
      <c r="AB13" s="119"/>
      <c r="AC13" s="213"/>
      <c r="AD13" s="285"/>
      <c r="AE13" s="114"/>
      <c r="AF13" s="167"/>
      <c r="AG13" s="114">
        <f t="shared" si="3"/>
        <v>0</v>
      </c>
      <c r="AH13" s="115"/>
      <c r="AI13" s="116"/>
    </row>
    <row r="14" spans="1:35" x14ac:dyDescent="0.25">
      <c r="A14" s="59"/>
      <c r="B14" s="213"/>
      <c r="C14" s="20">
        <v>20</v>
      </c>
      <c r="D14" s="550">
        <v>388.85</v>
      </c>
      <c r="E14" s="551">
        <v>42186</v>
      </c>
      <c r="F14" s="550">
        <f t="shared" si="0"/>
        <v>388.85</v>
      </c>
      <c r="G14" s="552" t="s">
        <v>221</v>
      </c>
      <c r="H14" s="553">
        <v>80</v>
      </c>
      <c r="J14" s="59"/>
      <c r="K14" s="213"/>
      <c r="L14" s="20">
        <v>50</v>
      </c>
      <c r="M14" s="114">
        <v>959.45</v>
      </c>
      <c r="N14" s="167">
        <v>42236</v>
      </c>
      <c r="O14" s="114">
        <f t="shared" si="1"/>
        <v>959.45</v>
      </c>
      <c r="P14" s="115" t="s">
        <v>313</v>
      </c>
      <c r="Q14" s="116">
        <v>80</v>
      </c>
      <c r="S14" s="59"/>
      <c r="T14" s="213"/>
      <c r="U14" s="20">
        <v>5</v>
      </c>
      <c r="V14" s="718">
        <v>116.36</v>
      </c>
      <c r="W14" s="719">
        <v>42294</v>
      </c>
      <c r="X14" s="718">
        <f t="shared" si="2"/>
        <v>116.36</v>
      </c>
      <c r="Y14" s="720" t="s">
        <v>718</v>
      </c>
      <c r="Z14" s="721">
        <v>80</v>
      </c>
      <c r="AB14" s="59"/>
      <c r="AC14" s="213"/>
      <c r="AD14" s="20"/>
      <c r="AE14" s="114"/>
      <c r="AF14" s="167"/>
      <c r="AG14" s="114">
        <f t="shared" si="3"/>
        <v>0</v>
      </c>
      <c r="AH14" s="115"/>
      <c r="AI14" s="116"/>
    </row>
    <row r="15" spans="1:35" x14ac:dyDescent="0.25">
      <c r="B15" s="327"/>
      <c r="C15" s="20">
        <v>5</v>
      </c>
      <c r="D15" s="550">
        <v>91.65</v>
      </c>
      <c r="E15" s="551">
        <v>42193</v>
      </c>
      <c r="F15" s="550">
        <f t="shared" si="0"/>
        <v>91.65</v>
      </c>
      <c r="G15" s="552" t="s">
        <v>230</v>
      </c>
      <c r="H15" s="553">
        <v>80</v>
      </c>
      <c r="K15" s="327"/>
      <c r="L15" s="20">
        <v>5</v>
      </c>
      <c r="M15" s="114">
        <v>109.25</v>
      </c>
      <c r="N15" s="167">
        <v>42237</v>
      </c>
      <c r="O15" s="114">
        <f t="shared" si="1"/>
        <v>109.25</v>
      </c>
      <c r="P15" s="115" t="s">
        <v>319</v>
      </c>
      <c r="Q15" s="116">
        <v>80</v>
      </c>
      <c r="T15" s="327"/>
      <c r="U15" s="20">
        <v>5</v>
      </c>
      <c r="V15" s="718">
        <v>106.54</v>
      </c>
      <c r="W15" s="719">
        <v>42298</v>
      </c>
      <c r="X15" s="718">
        <f t="shared" si="2"/>
        <v>106.54</v>
      </c>
      <c r="Y15" s="720" t="s">
        <v>733</v>
      </c>
      <c r="Z15" s="721">
        <v>80</v>
      </c>
      <c r="AC15" s="327"/>
      <c r="AD15" s="20"/>
      <c r="AE15" s="114"/>
      <c r="AF15" s="167"/>
      <c r="AG15" s="114">
        <f t="shared" si="3"/>
        <v>0</v>
      </c>
      <c r="AH15" s="115"/>
      <c r="AI15" s="116"/>
    </row>
    <row r="16" spans="1:35" x14ac:dyDescent="0.25">
      <c r="B16" s="327"/>
      <c r="C16" s="285">
        <v>5</v>
      </c>
      <c r="D16" s="550">
        <v>91.98</v>
      </c>
      <c r="E16" s="551">
        <v>42194</v>
      </c>
      <c r="F16" s="550">
        <f t="shared" si="0"/>
        <v>91.98</v>
      </c>
      <c r="G16" s="552" t="s">
        <v>231</v>
      </c>
      <c r="H16" s="553">
        <v>80</v>
      </c>
      <c r="K16" s="327"/>
      <c r="L16" s="285">
        <v>5</v>
      </c>
      <c r="M16" s="114">
        <v>101.55</v>
      </c>
      <c r="N16" s="167">
        <v>42238</v>
      </c>
      <c r="O16" s="114">
        <f t="shared" si="1"/>
        <v>101.55</v>
      </c>
      <c r="P16" s="115" t="s">
        <v>320</v>
      </c>
      <c r="Q16" s="116">
        <v>80</v>
      </c>
      <c r="T16" s="327"/>
      <c r="U16" s="285">
        <v>5</v>
      </c>
      <c r="V16" s="718">
        <v>102.66</v>
      </c>
      <c r="W16" s="719">
        <v>42305</v>
      </c>
      <c r="X16" s="718">
        <f t="shared" si="2"/>
        <v>102.66</v>
      </c>
      <c r="Y16" s="720" t="s">
        <v>771</v>
      </c>
      <c r="Z16" s="721">
        <v>74</v>
      </c>
      <c r="AC16" s="327"/>
      <c r="AD16" s="285"/>
      <c r="AE16" s="114"/>
      <c r="AF16" s="167"/>
      <c r="AG16" s="114">
        <f t="shared" si="3"/>
        <v>0</v>
      </c>
      <c r="AH16" s="115"/>
      <c r="AI16" s="116"/>
    </row>
    <row r="17" spans="2:35" x14ac:dyDescent="0.25">
      <c r="B17" s="281"/>
      <c r="C17" s="20">
        <v>5</v>
      </c>
      <c r="D17" s="550">
        <v>94.24</v>
      </c>
      <c r="E17" s="551">
        <v>42195</v>
      </c>
      <c r="F17" s="550">
        <f t="shared" si="0"/>
        <v>94.24</v>
      </c>
      <c r="G17" s="552" t="s">
        <v>232</v>
      </c>
      <c r="H17" s="553">
        <v>80</v>
      </c>
      <c r="K17" s="281"/>
      <c r="L17" s="20">
        <v>48</v>
      </c>
      <c r="M17" s="114">
        <v>855.04</v>
      </c>
      <c r="N17" s="167">
        <v>42238</v>
      </c>
      <c r="O17" s="114">
        <f t="shared" si="1"/>
        <v>855.04</v>
      </c>
      <c r="P17" s="115" t="s">
        <v>321</v>
      </c>
      <c r="Q17" s="116">
        <v>80</v>
      </c>
      <c r="T17" s="281"/>
      <c r="U17" s="20">
        <v>20</v>
      </c>
      <c r="V17" s="718">
        <v>436.1</v>
      </c>
      <c r="W17" s="719">
        <v>42307</v>
      </c>
      <c r="X17" s="718">
        <f t="shared" si="2"/>
        <v>436.1</v>
      </c>
      <c r="Y17" s="720" t="s">
        <v>777</v>
      </c>
      <c r="Z17" s="721">
        <v>74</v>
      </c>
      <c r="AC17" s="281"/>
      <c r="AD17" s="20"/>
      <c r="AE17" s="114"/>
      <c r="AF17" s="167"/>
      <c r="AG17" s="114">
        <f t="shared" si="3"/>
        <v>0</v>
      </c>
      <c r="AH17" s="115"/>
      <c r="AI17" s="116"/>
    </row>
    <row r="18" spans="2:35" x14ac:dyDescent="0.25">
      <c r="B18" s="281"/>
      <c r="C18" s="20">
        <v>8</v>
      </c>
      <c r="D18" s="550">
        <v>142.97999999999999</v>
      </c>
      <c r="E18" s="551">
        <v>42196</v>
      </c>
      <c r="F18" s="550">
        <f t="shared" si="0"/>
        <v>142.97999999999999</v>
      </c>
      <c r="G18" s="552" t="s">
        <v>233</v>
      </c>
      <c r="H18" s="553">
        <v>80</v>
      </c>
      <c r="K18" s="281"/>
      <c r="L18" s="20">
        <v>1</v>
      </c>
      <c r="M18" s="114">
        <v>17.940000000000001</v>
      </c>
      <c r="N18" s="167">
        <v>42244</v>
      </c>
      <c r="O18" s="114">
        <f t="shared" si="1"/>
        <v>17.940000000000001</v>
      </c>
      <c r="P18" s="115" t="s">
        <v>330</v>
      </c>
      <c r="Q18" s="116">
        <v>94</v>
      </c>
      <c r="T18" s="281"/>
      <c r="U18" s="20"/>
      <c r="V18" s="718"/>
      <c r="W18" s="719"/>
      <c r="X18" s="718">
        <f t="shared" si="2"/>
        <v>0</v>
      </c>
      <c r="Y18" s="720"/>
      <c r="Z18" s="721"/>
      <c r="AC18" s="281"/>
      <c r="AD18" s="20"/>
      <c r="AE18" s="114"/>
      <c r="AF18" s="167"/>
      <c r="AG18" s="114">
        <f t="shared" si="3"/>
        <v>0</v>
      </c>
      <c r="AH18" s="115"/>
      <c r="AI18" s="116"/>
    </row>
    <row r="19" spans="2:35" x14ac:dyDescent="0.25">
      <c r="B19" s="213"/>
      <c r="C19" s="20">
        <v>5</v>
      </c>
      <c r="D19" s="550">
        <v>92.76</v>
      </c>
      <c r="E19" s="551">
        <v>42198</v>
      </c>
      <c r="F19" s="550">
        <f t="shared" si="0"/>
        <v>92.76</v>
      </c>
      <c r="G19" s="552" t="s">
        <v>234</v>
      </c>
      <c r="H19" s="553">
        <v>80</v>
      </c>
      <c r="K19" s="213"/>
      <c r="L19" s="20">
        <v>5</v>
      </c>
      <c r="M19" s="114">
        <v>93.33</v>
      </c>
      <c r="N19" s="167">
        <v>42244</v>
      </c>
      <c r="O19" s="114">
        <f t="shared" si="1"/>
        <v>93.33</v>
      </c>
      <c r="P19" s="115" t="s">
        <v>331</v>
      </c>
      <c r="Q19" s="116">
        <v>80</v>
      </c>
      <c r="T19" s="213"/>
      <c r="U19" s="20"/>
      <c r="V19" s="718"/>
      <c r="W19" s="719"/>
      <c r="X19" s="718">
        <f t="shared" si="2"/>
        <v>0</v>
      </c>
      <c r="Y19" s="720"/>
      <c r="Z19" s="721"/>
      <c r="AC19" s="213"/>
      <c r="AD19" s="20"/>
      <c r="AE19" s="114"/>
      <c r="AF19" s="167"/>
      <c r="AG19" s="114">
        <f t="shared" si="3"/>
        <v>0</v>
      </c>
      <c r="AH19" s="115"/>
      <c r="AI19" s="116"/>
    </row>
    <row r="20" spans="2:35" x14ac:dyDescent="0.25">
      <c r="B20" s="213"/>
      <c r="C20" s="20">
        <v>45</v>
      </c>
      <c r="D20" s="550">
        <v>862.36</v>
      </c>
      <c r="E20" s="551">
        <v>42198</v>
      </c>
      <c r="F20" s="550">
        <f t="shared" si="0"/>
        <v>862.36</v>
      </c>
      <c r="G20" s="552" t="s">
        <v>235</v>
      </c>
      <c r="H20" s="553">
        <v>80</v>
      </c>
      <c r="K20" s="213"/>
      <c r="L20" s="20">
        <v>4</v>
      </c>
      <c r="M20" s="114">
        <v>86.54</v>
      </c>
      <c r="N20" s="167">
        <v>42244</v>
      </c>
      <c r="O20" s="114">
        <f t="shared" si="1"/>
        <v>86.54</v>
      </c>
      <c r="P20" s="115" t="s">
        <v>332</v>
      </c>
      <c r="Q20" s="116">
        <v>80</v>
      </c>
      <c r="T20" s="213"/>
      <c r="U20" s="20"/>
      <c r="V20" s="718"/>
      <c r="W20" s="719"/>
      <c r="X20" s="718">
        <f t="shared" si="2"/>
        <v>0</v>
      </c>
      <c r="Y20" s="720"/>
      <c r="Z20" s="721"/>
      <c r="AC20" s="213"/>
      <c r="AD20" s="20"/>
      <c r="AE20" s="114"/>
      <c r="AF20" s="167"/>
      <c r="AG20" s="114">
        <f t="shared" si="3"/>
        <v>0</v>
      </c>
      <c r="AH20" s="115"/>
      <c r="AI20" s="116"/>
    </row>
    <row r="21" spans="2:35" x14ac:dyDescent="0.25">
      <c r="B21" s="213"/>
      <c r="C21" s="20">
        <v>10</v>
      </c>
      <c r="D21" s="550">
        <v>185.06</v>
      </c>
      <c r="E21" s="551">
        <v>42201</v>
      </c>
      <c r="F21" s="550">
        <f t="shared" si="0"/>
        <v>185.06</v>
      </c>
      <c r="G21" s="552" t="s">
        <v>238</v>
      </c>
      <c r="H21" s="553">
        <v>80</v>
      </c>
      <c r="K21" s="213"/>
      <c r="L21" s="20">
        <v>10</v>
      </c>
      <c r="M21" s="528">
        <v>187.86</v>
      </c>
      <c r="N21" s="529">
        <v>42251</v>
      </c>
      <c r="O21" s="528">
        <f t="shared" si="1"/>
        <v>187.86</v>
      </c>
      <c r="P21" s="530" t="s">
        <v>372</v>
      </c>
      <c r="Q21" s="230">
        <v>80</v>
      </c>
      <c r="T21" s="213"/>
      <c r="U21" s="20"/>
      <c r="V21" s="718"/>
      <c r="W21" s="719"/>
      <c r="X21" s="718">
        <f t="shared" si="2"/>
        <v>0</v>
      </c>
      <c r="Y21" s="720"/>
      <c r="Z21" s="721"/>
      <c r="AC21" s="213"/>
      <c r="AD21" s="20"/>
      <c r="AE21" s="114"/>
      <c r="AF21" s="167"/>
      <c r="AG21" s="114">
        <f t="shared" si="3"/>
        <v>0</v>
      </c>
      <c r="AH21" s="115"/>
      <c r="AI21" s="116"/>
    </row>
    <row r="22" spans="2:35" x14ac:dyDescent="0.25">
      <c r="B22" s="213"/>
      <c r="C22" s="20">
        <v>5</v>
      </c>
      <c r="D22" s="550">
        <v>96.42</v>
      </c>
      <c r="E22" s="551">
        <v>42201</v>
      </c>
      <c r="F22" s="550">
        <f t="shared" si="0"/>
        <v>96.42</v>
      </c>
      <c r="G22" s="552" t="s">
        <v>239</v>
      </c>
      <c r="H22" s="553">
        <v>80</v>
      </c>
      <c r="K22" s="213"/>
      <c r="L22" s="20">
        <v>36</v>
      </c>
      <c r="M22" s="528">
        <v>724.8</v>
      </c>
      <c r="N22" s="529">
        <v>42254</v>
      </c>
      <c r="O22" s="528">
        <f t="shared" si="1"/>
        <v>724.8</v>
      </c>
      <c r="P22" s="530" t="s">
        <v>376</v>
      </c>
      <c r="Q22" s="230">
        <v>80</v>
      </c>
      <c r="T22" s="213"/>
      <c r="U22" s="20"/>
      <c r="V22" s="718"/>
      <c r="W22" s="719"/>
      <c r="X22" s="718">
        <f t="shared" si="2"/>
        <v>0</v>
      </c>
      <c r="Y22" s="720"/>
      <c r="Z22" s="721"/>
      <c r="AC22" s="213"/>
      <c r="AD22" s="20"/>
      <c r="AE22" s="114"/>
      <c r="AF22" s="167"/>
      <c r="AG22" s="114">
        <f t="shared" si="3"/>
        <v>0</v>
      </c>
      <c r="AH22" s="115"/>
      <c r="AI22" s="116"/>
    </row>
    <row r="23" spans="2:35" x14ac:dyDescent="0.25">
      <c r="B23" s="213"/>
      <c r="C23" s="20">
        <v>6</v>
      </c>
      <c r="D23" s="550">
        <v>110.91</v>
      </c>
      <c r="E23" s="551">
        <v>42201</v>
      </c>
      <c r="F23" s="550">
        <f t="shared" si="0"/>
        <v>110.91</v>
      </c>
      <c r="G23" s="552" t="s">
        <v>240</v>
      </c>
      <c r="H23" s="553">
        <v>80</v>
      </c>
      <c r="K23" s="213"/>
      <c r="L23" s="20">
        <v>10</v>
      </c>
      <c r="M23" s="528">
        <v>210.84</v>
      </c>
      <c r="N23" s="529">
        <v>42258</v>
      </c>
      <c r="O23" s="528">
        <f t="shared" si="1"/>
        <v>210.84</v>
      </c>
      <c r="P23" s="530" t="s">
        <v>390</v>
      </c>
      <c r="Q23" s="230">
        <v>94</v>
      </c>
      <c r="T23" s="213"/>
      <c r="U23" s="20"/>
      <c r="V23" s="718"/>
      <c r="W23" s="719"/>
      <c r="X23" s="718">
        <f t="shared" si="2"/>
        <v>0</v>
      </c>
      <c r="Y23" s="720"/>
      <c r="Z23" s="721"/>
      <c r="AC23" s="213"/>
      <c r="AD23" s="20"/>
      <c r="AE23" s="114"/>
      <c r="AF23" s="167"/>
      <c r="AG23" s="114">
        <f t="shared" si="3"/>
        <v>0</v>
      </c>
      <c r="AH23" s="115"/>
      <c r="AI23" s="116"/>
    </row>
    <row r="24" spans="2:35" x14ac:dyDescent="0.25">
      <c r="B24" s="213"/>
      <c r="C24" s="20">
        <v>5</v>
      </c>
      <c r="D24" s="550">
        <v>86.06</v>
      </c>
      <c r="E24" s="551">
        <v>42202</v>
      </c>
      <c r="F24" s="550">
        <f t="shared" si="0"/>
        <v>86.06</v>
      </c>
      <c r="G24" s="552" t="s">
        <v>241</v>
      </c>
      <c r="H24" s="553">
        <v>80</v>
      </c>
      <c r="K24" s="213"/>
      <c r="L24" s="20">
        <v>10</v>
      </c>
      <c r="M24" s="528">
        <v>201.26</v>
      </c>
      <c r="N24" s="529">
        <v>42258</v>
      </c>
      <c r="O24" s="528">
        <f t="shared" si="1"/>
        <v>201.26</v>
      </c>
      <c r="P24" s="530" t="s">
        <v>391</v>
      </c>
      <c r="Q24" s="230">
        <v>80</v>
      </c>
      <c r="T24" s="213"/>
      <c r="U24" s="20"/>
      <c r="V24" s="718"/>
      <c r="W24" s="719"/>
      <c r="X24" s="718">
        <f t="shared" si="2"/>
        <v>0</v>
      </c>
      <c r="Y24" s="720"/>
      <c r="Z24" s="721"/>
      <c r="AC24" s="213"/>
      <c r="AD24" s="20"/>
      <c r="AE24" s="114"/>
      <c r="AF24" s="167"/>
      <c r="AG24" s="114">
        <f t="shared" si="3"/>
        <v>0</v>
      </c>
      <c r="AH24" s="115"/>
      <c r="AI24" s="116"/>
    </row>
    <row r="25" spans="2:35" x14ac:dyDescent="0.25">
      <c r="B25" s="213"/>
      <c r="C25" s="20">
        <v>15</v>
      </c>
      <c r="D25" s="550">
        <v>278.98</v>
      </c>
      <c r="E25" s="551">
        <v>42202</v>
      </c>
      <c r="F25" s="550">
        <f t="shared" si="0"/>
        <v>278.98</v>
      </c>
      <c r="G25" s="552" t="s">
        <v>242</v>
      </c>
      <c r="H25" s="553">
        <v>80</v>
      </c>
      <c r="K25" s="213"/>
      <c r="L25" s="20">
        <v>12</v>
      </c>
      <c r="M25" s="528">
        <v>219.88</v>
      </c>
      <c r="N25" s="529">
        <v>42262</v>
      </c>
      <c r="O25" s="528">
        <f t="shared" si="1"/>
        <v>219.88</v>
      </c>
      <c r="P25" s="530" t="s">
        <v>402</v>
      </c>
      <c r="Q25" s="230">
        <v>80</v>
      </c>
      <c r="T25" s="213"/>
      <c r="U25" s="20"/>
      <c r="V25" s="718"/>
      <c r="W25" s="719"/>
      <c r="X25" s="718">
        <f t="shared" si="2"/>
        <v>0</v>
      </c>
      <c r="Y25" s="720"/>
      <c r="Z25" s="721"/>
      <c r="AC25" s="213"/>
      <c r="AD25" s="20"/>
      <c r="AE25" s="114"/>
      <c r="AF25" s="167"/>
      <c r="AG25" s="114">
        <f t="shared" si="3"/>
        <v>0</v>
      </c>
      <c r="AH25" s="115"/>
      <c r="AI25" s="116"/>
    </row>
    <row r="26" spans="2:35" x14ac:dyDescent="0.25">
      <c r="B26" s="213"/>
      <c r="C26" s="20">
        <v>5</v>
      </c>
      <c r="D26" s="550">
        <v>92.5</v>
      </c>
      <c r="E26" s="551">
        <v>42205</v>
      </c>
      <c r="F26" s="550">
        <f t="shared" si="0"/>
        <v>92.5</v>
      </c>
      <c r="G26" s="552" t="s">
        <v>247</v>
      </c>
      <c r="H26" s="553">
        <v>80</v>
      </c>
      <c r="K26" s="213"/>
      <c r="L26" s="20">
        <v>30</v>
      </c>
      <c r="M26" s="528">
        <v>646.29999999999995</v>
      </c>
      <c r="N26" s="529">
        <v>42268</v>
      </c>
      <c r="O26" s="528">
        <f t="shared" si="1"/>
        <v>646.29999999999995</v>
      </c>
      <c r="P26" s="530" t="s">
        <v>409</v>
      </c>
      <c r="Q26" s="230">
        <v>80</v>
      </c>
      <c r="T26" s="213"/>
      <c r="U26" s="20"/>
      <c r="V26" s="718"/>
      <c r="W26" s="719"/>
      <c r="X26" s="718">
        <f t="shared" si="2"/>
        <v>0</v>
      </c>
      <c r="Y26" s="720"/>
      <c r="Z26" s="721"/>
      <c r="AC26" s="213"/>
      <c r="AD26" s="20"/>
      <c r="AE26" s="114"/>
      <c r="AF26" s="167"/>
      <c r="AG26" s="114">
        <f t="shared" si="3"/>
        <v>0</v>
      </c>
      <c r="AH26" s="115"/>
      <c r="AI26" s="116"/>
    </row>
    <row r="27" spans="2:35" x14ac:dyDescent="0.25">
      <c r="B27" s="213"/>
      <c r="C27" s="20">
        <v>6</v>
      </c>
      <c r="D27" s="550">
        <v>106.34</v>
      </c>
      <c r="E27" s="551">
        <v>42209</v>
      </c>
      <c r="F27" s="550">
        <f t="shared" si="0"/>
        <v>106.34</v>
      </c>
      <c r="G27" s="552" t="s">
        <v>250</v>
      </c>
      <c r="H27" s="553">
        <v>80</v>
      </c>
      <c r="K27" s="213"/>
      <c r="L27" s="20">
        <v>10</v>
      </c>
      <c r="M27" s="528">
        <v>197.84</v>
      </c>
      <c r="N27" s="529">
        <v>42272</v>
      </c>
      <c r="O27" s="528">
        <f t="shared" si="1"/>
        <v>197.84</v>
      </c>
      <c r="P27" s="530" t="s">
        <v>415</v>
      </c>
      <c r="Q27" s="230">
        <v>80</v>
      </c>
      <c r="T27" s="213"/>
      <c r="U27" s="20"/>
      <c r="V27" s="718"/>
      <c r="W27" s="719"/>
      <c r="X27" s="718">
        <f t="shared" si="2"/>
        <v>0</v>
      </c>
      <c r="Y27" s="720"/>
      <c r="Z27" s="721"/>
      <c r="AC27" s="213"/>
      <c r="AD27" s="20"/>
      <c r="AE27" s="114"/>
      <c r="AF27" s="167"/>
      <c r="AG27" s="114">
        <f t="shared" si="3"/>
        <v>0</v>
      </c>
      <c r="AH27" s="115"/>
      <c r="AI27" s="116"/>
    </row>
    <row r="28" spans="2:35" x14ac:dyDescent="0.25">
      <c r="B28" s="213"/>
      <c r="C28" s="20">
        <v>3</v>
      </c>
      <c r="D28" s="550">
        <v>58.49</v>
      </c>
      <c r="E28" s="551">
        <v>42216</v>
      </c>
      <c r="F28" s="550">
        <f t="shared" si="0"/>
        <v>58.49</v>
      </c>
      <c r="G28" s="552" t="s">
        <v>256</v>
      </c>
      <c r="H28" s="553">
        <v>80</v>
      </c>
      <c r="K28" s="213"/>
      <c r="L28" s="20">
        <v>18</v>
      </c>
      <c r="M28" s="714">
        <v>348.1</v>
      </c>
      <c r="N28" s="715">
        <v>42282</v>
      </c>
      <c r="O28" s="714">
        <f t="shared" si="1"/>
        <v>348.1</v>
      </c>
      <c r="P28" s="716" t="s">
        <v>648</v>
      </c>
      <c r="Q28" s="717">
        <v>80</v>
      </c>
      <c r="T28" s="213"/>
      <c r="U28" s="20"/>
      <c r="V28" s="718"/>
      <c r="W28" s="719"/>
      <c r="X28" s="718">
        <f t="shared" si="2"/>
        <v>0</v>
      </c>
      <c r="Y28" s="720"/>
      <c r="Z28" s="721"/>
      <c r="AC28" s="213"/>
      <c r="AD28" s="20"/>
      <c r="AE28" s="114"/>
      <c r="AF28" s="167"/>
      <c r="AG28" s="114">
        <f t="shared" si="3"/>
        <v>0</v>
      </c>
      <c r="AH28" s="115"/>
      <c r="AI28" s="116"/>
    </row>
    <row r="29" spans="2:35" x14ac:dyDescent="0.25">
      <c r="B29" s="213"/>
      <c r="C29" s="20">
        <v>10</v>
      </c>
      <c r="D29" s="550">
        <v>209.14</v>
      </c>
      <c r="E29" s="551">
        <v>42216</v>
      </c>
      <c r="F29" s="550">
        <f t="shared" si="0"/>
        <v>209.14</v>
      </c>
      <c r="G29" s="552" t="s">
        <v>258</v>
      </c>
      <c r="H29" s="553">
        <v>80</v>
      </c>
      <c r="K29" s="213"/>
      <c r="L29" s="20"/>
      <c r="M29" s="714"/>
      <c r="N29" s="715"/>
      <c r="O29" s="714">
        <f t="shared" si="1"/>
        <v>0</v>
      </c>
      <c r="P29" s="716"/>
      <c r="Q29" s="717"/>
      <c r="T29" s="213"/>
      <c r="U29" s="20"/>
      <c r="V29" s="718"/>
      <c r="W29" s="719"/>
      <c r="X29" s="718">
        <f t="shared" si="2"/>
        <v>0</v>
      </c>
      <c r="Y29" s="720"/>
      <c r="Z29" s="721"/>
      <c r="AC29" s="213"/>
      <c r="AD29" s="20"/>
      <c r="AE29" s="114"/>
      <c r="AF29" s="167"/>
      <c r="AG29" s="114">
        <f t="shared" si="3"/>
        <v>0</v>
      </c>
      <c r="AH29" s="115"/>
      <c r="AI29" s="116"/>
    </row>
    <row r="30" spans="2:35" x14ac:dyDescent="0.25">
      <c r="B30" s="213"/>
      <c r="C30" s="20"/>
      <c r="D30" s="550"/>
      <c r="E30" s="551"/>
      <c r="F30" s="550">
        <f t="shared" si="0"/>
        <v>0</v>
      </c>
      <c r="G30" s="552"/>
      <c r="H30" s="553"/>
      <c r="K30" s="213"/>
      <c r="L30" s="20"/>
      <c r="M30" s="714"/>
      <c r="N30" s="715"/>
      <c r="O30" s="714">
        <f t="shared" si="1"/>
        <v>0</v>
      </c>
      <c r="P30" s="716"/>
      <c r="Q30" s="717"/>
      <c r="T30" s="213"/>
      <c r="U30" s="20"/>
      <c r="V30" s="718"/>
      <c r="W30" s="719"/>
      <c r="X30" s="718">
        <f t="shared" si="2"/>
        <v>0</v>
      </c>
      <c r="Y30" s="720"/>
      <c r="Z30" s="721"/>
      <c r="AC30" s="213"/>
      <c r="AD30" s="20"/>
      <c r="AE30" s="114"/>
      <c r="AF30" s="167"/>
      <c r="AG30" s="114">
        <f t="shared" si="3"/>
        <v>0</v>
      </c>
      <c r="AH30" s="115"/>
      <c r="AI30" s="116"/>
    </row>
    <row r="31" spans="2:35" x14ac:dyDescent="0.25">
      <c r="B31" s="213"/>
      <c r="C31" s="20"/>
      <c r="D31" s="550"/>
      <c r="E31" s="551"/>
      <c r="F31" s="550">
        <f t="shared" si="0"/>
        <v>0</v>
      </c>
      <c r="G31" s="552"/>
      <c r="H31" s="553"/>
      <c r="K31" s="213"/>
      <c r="L31" s="20"/>
      <c r="M31" s="714"/>
      <c r="N31" s="715"/>
      <c r="O31" s="714">
        <f t="shared" si="1"/>
        <v>0</v>
      </c>
      <c r="P31" s="716"/>
      <c r="Q31" s="717"/>
      <c r="T31" s="213"/>
      <c r="U31" s="20"/>
      <c r="V31" s="718"/>
      <c r="W31" s="719"/>
      <c r="X31" s="718">
        <f t="shared" si="2"/>
        <v>0</v>
      </c>
      <c r="Y31" s="720"/>
      <c r="Z31" s="721"/>
      <c r="AC31" s="213"/>
      <c r="AD31" s="20"/>
      <c r="AE31" s="114"/>
      <c r="AF31" s="167"/>
      <c r="AG31" s="114">
        <f t="shared" si="3"/>
        <v>0</v>
      </c>
      <c r="AH31" s="115"/>
      <c r="AI31" s="116"/>
    </row>
    <row r="32" spans="2:35" x14ac:dyDescent="0.25">
      <c r="B32" s="213"/>
      <c r="C32" s="20"/>
      <c r="D32" s="550"/>
      <c r="E32" s="551"/>
      <c r="F32" s="550">
        <f t="shared" si="0"/>
        <v>0</v>
      </c>
      <c r="G32" s="552"/>
      <c r="H32" s="553"/>
      <c r="K32" s="213"/>
      <c r="L32" s="20"/>
      <c r="M32" s="714"/>
      <c r="N32" s="715"/>
      <c r="O32" s="714">
        <f t="shared" si="1"/>
        <v>0</v>
      </c>
      <c r="P32" s="716"/>
      <c r="Q32" s="717"/>
      <c r="T32" s="213"/>
      <c r="U32" s="20"/>
      <c r="V32" s="718"/>
      <c r="W32" s="719"/>
      <c r="X32" s="718">
        <f t="shared" si="2"/>
        <v>0</v>
      </c>
      <c r="Y32" s="720"/>
      <c r="Z32" s="721"/>
      <c r="AC32" s="213"/>
      <c r="AD32" s="20"/>
      <c r="AE32" s="114"/>
      <c r="AF32" s="167"/>
      <c r="AG32" s="114">
        <f t="shared" si="3"/>
        <v>0</v>
      </c>
      <c r="AH32" s="115"/>
      <c r="AI32" s="116"/>
    </row>
    <row r="33" spans="1:35" x14ac:dyDescent="0.25">
      <c r="B33" s="213"/>
      <c r="C33" s="20"/>
      <c r="D33" s="550"/>
      <c r="E33" s="551"/>
      <c r="F33" s="550">
        <f t="shared" si="0"/>
        <v>0</v>
      </c>
      <c r="G33" s="552"/>
      <c r="H33" s="553"/>
      <c r="K33" s="213"/>
      <c r="L33" s="20"/>
      <c r="M33" s="714"/>
      <c r="N33" s="715"/>
      <c r="O33" s="714">
        <f t="shared" si="1"/>
        <v>0</v>
      </c>
      <c r="P33" s="716"/>
      <c r="Q33" s="717"/>
      <c r="T33" s="213"/>
      <c r="U33" s="20"/>
      <c r="V33" s="718"/>
      <c r="W33" s="719"/>
      <c r="X33" s="718">
        <f t="shared" si="2"/>
        <v>0</v>
      </c>
      <c r="Y33" s="720"/>
      <c r="Z33" s="721"/>
      <c r="AC33" s="213"/>
      <c r="AD33" s="20"/>
      <c r="AE33" s="114"/>
      <c r="AF33" s="167"/>
      <c r="AG33" s="114">
        <f t="shared" si="3"/>
        <v>0</v>
      </c>
      <c r="AH33" s="115"/>
      <c r="AI33" s="116"/>
    </row>
    <row r="34" spans="1:35" x14ac:dyDescent="0.25">
      <c r="B34" s="213"/>
      <c r="C34" s="20"/>
      <c r="D34" s="550"/>
      <c r="E34" s="551"/>
      <c r="F34" s="550">
        <f t="shared" si="0"/>
        <v>0</v>
      </c>
      <c r="G34" s="552"/>
      <c r="H34" s="553"/>
      <c r="K34" s="213"/>
      <c r="L34" s="20"/>
      <c r="M34" s="714"/>
      <c r="N34" s="715"/>
      <c r="O34" s="714">
        <f t="shared" si="1"/>
        <v>0</v>
      </c>
      <c r="P34" s="716"/>
      <c r="Q34" s="717"/>
      <c r="T34" s="213"/>
      <c r="U34" s="20"/>
      <c r="V34" s="718"/>
      <c r="W34" s="719"/>
      <c r="X34" s="718">
        <f t="shared" si="2"/>
        <v>0</v>
      </c>
      <c r="Y34" s="720"/>
      <c r="Z34" s="721"/>
      <c r="AC34" s="213"/>
      <c r="AD34" s="20"/>
      <c r="AE34" s="114"/>
      <c r="AF34" s="167"/>
      <c r="AG34" s="114">
        <f t="shared" si="3"/>
        <v>0</v>
      </c>
      <c r="AH34" s="115"/>
      <c r="AI34" s="116"/>
    </row>
    <row r="35" spans="1:35" x14ac:dyDescent="0.25">
      <c r="B35" s="213"/>
      <c r="C35" s="20"/>
      <c r="D35" s="528"/>
      <c r="E35" s="529"/>
      <c r="F35" s="114">
        <f t="shared" si="0"/>
        <v>0</v>
      </c>
      <c r="G35" s="115"/>
      <c r="H35" s="116"/>
      <c r="K35" s="213"/>
      <c r="L35" s="20"/>
      <c r="M35" s="528"/>
      <c r="N35" s="529"/>
      <c r="O35" s="528">
        <f t="shared" si="1"/>
        <v>0</v>
      </c>
      <c r="P35" s="530"/>
      <c r="Q35" s="230"/>
      <c r="T35" s="213"/>
      <c r="U35" s="20"/>
      <c r="V35" s="718"/>
      <c r="W35" s="719"/>
      <c r="X35" s="718">
        <f t="shared" si="2"/>
        <v>0</v>
      </c>
      <c r="Y35" s="720"/>
      <c r="Z35" s="721"/>
      <c r="AC35" s="213"/>
      <c r="AD35" s="20"/>
      <c r="AE35" s="114"/>
      <c r="AF35" s="167"/>
      <c r="AG35" s="114">
        <f t="shared" si="3"/>
        <v>0</v>
      </c>
      <c r="AH35" s="115"/>
      <c r="AI35" s="116"/>
    </row>
    <row r="36" spans="1:35" x14ac:dyDescent="0.25">
      <c r="B36" s="213"/>
      <c r="C36" s="20"/>
      <c r="D36" s="528"/>
      <c r="E36" s="529"/>
      <c r="F36" s="114">
        <f t="shared" si="0"/>
        <v>0</v>
      </c>
      <c r="G36" s="115"/>
      <c r="H36" s="116"/>
      <c r="K36" s="213"/>
      <c r="L36" s="20"/>
      <c r="M36" s="528"/>
      <c r="N36" s="529"/>
      <c r="O36" s="528">
        <f t="shared" si="1"/>
        <v>0</v>
      </c>
      <c r="P36" s="530"/>
      <c r="Q36" s="230"/>
      <c r="T36" s="213"/>
      <c r="U36" s="20"/>
      <c r="V36" s="718"/>
      <c r="W36" s="719"/>
      <c r="X36" s="718">
        <f t="shared" si="2"/>
        <v>0</v>
      </c>
      <c r="Y36" s="720"/>
      <c r="Z36" s="721"/>
      <c r="AC36" s="213"/>
      <c r="AD36" s="20"/>
      <c r="AE36" s="114"/>
      <c r="AF36" s="167"/>
      <c r="AG36" s="114">
        <f t="shared" si="3"/>
        <v>0</v>
      </c>
      <c r="AH36" s="115"/>
      <c r="AI36" s="116"/>
    </row>
    <row r="37" spans="1:35" x14ac:dyDescent="0.25">
      <c r="B37" s="213"/>
      <c r="C37" s="20"/>
      <c r="D37" s="528"/>
      <c r="E37" s="529"/>
      <c r="F37" s="114">
        <f t="shared" si="0"/>
        <v>0</v>
      </c>
      <c r="G37" s="115"/>
      <c r="H37" s="116"/>
      <c r="K37" s="213"/>
      <c r="L37" s="20"/>
      <c r="M37" s="528"/>
      <c r="N37" s="529"/>
      <c r="O37" s="528">
        <f t="shared" si="1"/>
        <v>0</v>
      </c>
      <c r="P37" s="530"/>
      <c r="Q37" s="230"/>
      <c r="T37" s="213"/>
      <c r="U37" s="20"/>
      <c r="V37" s="718"/>
      <c r="W37" s="719"/>
      <c r="X37" s="718">
        <f t="shared" si="2"/>
        <v>0</v>
      </c>
      <c r="Y37" s="720"/>
      <c r="Z37" s="721"/>
      <c r="AC37" s="213"/>
      <c r="AD37" s="20"/>
      <c r="AE37" s="114"/>
      <c r="AF37" s="167"/>
      <c r="AG37" s="114">
        <f t="shared" si="3"/>
        <v>0</v>
      </c>
      <c r="AH37" s="115"/>
      <c r="AI37" s="116"/>
    </row>
    <row r="38" spans="1:35" x14ac:dyDescent="0.25">
      <c r="B38" s="213"/>
      <c r="C38" s="20"/>
      <c r="D38" s="528"/>
      <c r="E38" s="529"/>
      <c r="F38" s="114">
        <f t="shared" si="0"/>
        <v>0</v>
      </c>
      <c r="G38" s="115"/>
      <c r="H38" s="116"/>
      <c r="K38" s="213"/>
      <c r="L38" s="20"/>
      <c r="M38" s="528"/>
      <c r="N38" s="529"/>
      <c r="O38" s="528">
        <f t="shared" si="1"/>
        <v>0</v>
      </c>
      <c r="P38" s="530"/>
      <c r="Q38" s="230"/>
      <c r="T38" s="213"/>
      <c r="U38" s="20"/>
      <c r="V38" s="718"/>
      <c r="W38" s="719"/>
      <c r="X38" s="718">
        <f t="shared" si="2"/>
        <v>0</v>
      </c>
      <c r="Y38" s="720"/>
      <c r="Z38" s="721"/>
      <c r="AC38" s="213"/>
      <c r="AD38" s="20"/>
      <c r="AE38" s="114"/>
      <c r="AF38" s="167"/>
      <c r="AG38" s="114">
        <f t="shared" si="3"/>
        <v>0</v>
      </c>
      <c r="AH38" s="115"/>
      <c r="AI38" s="116"/>
    </row>
    <row r="39" spans="1:35" x14ac:dyDescent="0.25">
      <c r="B39" s="213"/>
      <c r="C39" s="20"/>
      <c r="D39" s="528"/>
      <c r="E39" s="529"/>
      <c r="F39" s="114">
        <f t="shared" si="0"/>
        <v>0</v>
      </c>
      <c r="G39" s="115"/>
      <c r="H39" s="116"/>
      <c r="K39" s="213"/>
      <c r="L39" s="20"/>
      <c r="M39" s="528"/>
      <c r="N39" s="529"/>
      <c r="O39" s="528">
        <f t="shared" si="1"/>
        <v>0</v>
      </c>
      <c r="P39" s="530"/>
      <c r="Q39" s="230"/>
      <c r="T39" s="213"/>
      <c r="U39" s="20"/>
      <c r="V39" s="718"/>
      <c r="W39" s="719"/>
      <c r="X39" s="718">
        <f t="shared" si="2"/>
        <v>0</v>
      </c>
      <c r="Y39" s="720"/>
      <c r="Z39" s="721"/>
      <c r="AC39" s="213"/>
      <c r="AD39" s="20"/>
      <c r="AE39" s="114"/>
      <c r="AF39" s="167"/>
      <c r="AG39" s="114">
        <f t="shared" si="3"/>
        <v>0</v>
      </c>
      <c r="AH39" s="115"/>
      <c r="AI39" s="116"/>
    </row>
    <row r="40" spans="1:35" x14ac:dyDescent="0.25">
      <c r="B40" s="213"/>
      <c r="C40" s="20"/>
      <c r="D40" s="528"/>
      <c r="E40" s="529"/>
      <c r="F40" s="114">
        <f t="shared" si="0"/>
        <v>0</v>
      </c>
      <c r="G40" s="115"/>
      <c r="H40" s="116"/>
      <c r="K40" s="213"/>
      <c r="L40" s="20"/>
      <c r="M40" s="528"/>
      <c r="N40" s="529"/>
      <c r="O40" s="528">
        <f t="shared" si="1"/>
        <v>0</v>
      </c>
      <c r="P40" s="530"/>
      <c r="Q40" s="230"/>
      <c r="T40" s="213"/>
      <c r="U40" s="20"/>
      <c r="V40" s="718"/>
      <c r="W40" s="719"/>
      <c r="X40" s="718">
        <f t="shared" si="2"/>
        <v>0</v>
      </c>
      <c r="Y40" s="720"/>
      <c r="Z40" s="721"/>
      <c r="AC40" s="213"/>
      <c r="AD40" s="20"/>
      <c r="AE40" s="528"/>
      <c r="AF40" s="529"/>
      <c r="AG40" s="114">
        <f t="shared" si="3"/>
        <v>0</v>
      </c>
      <c r="AH40" s="115"/>
      <c r="AI40" s="116"/>
    </row>
    <row r="41" spans="1:35" x14ac:dyDescent="0.25">
      <c r="B41" s="213"/>
      <c r="C41" s="20"/>
      <c r="D41" s="528"/>
      <c r="E41" s="529"/>
      <c r="F41" s="114">
        <f t="shared" si="0"/>
        <v>0</v>
      </c>
      <c r="G41" s="115"/>
      <c r="H41" s="116"/>
      <c r="K41" s="213"/>
      <c r="L41" s="20"/>
      <c r="M41" s="528"/>
      <c r="N41" s="529"/>
      <c r="O41" s="528">
        <f t="shared" si="1"/>
        <v>0</v>
      </c>
      <c r="P41" s="530"/>
      <c r="Q41" s="230"/>
      <c r="T41" s="213"/>
      <c r="U41" s="20"/>
      <c r="V41" s="718"/>
      <c r="W41" s="719"/>
      <c r="X41" s="718">
        <f t="shared" si="2"/>
        <v>0</v>
      </c>
      <c r="Y41" s="720"/>
      <c r="Z41" s="721"/>
      <c r="AC41" s="213"/>
      <c r="AD41" s="20"/>
      <c r="AE41" s="528"/>
      <c r="AF41" s="529"/>
      <c r="AG41" s="114">
        <f t="shared" si="3"/>
        <v>0</v>
      </c>
      <c r="AH41" s="115"/>
      <c r="AI41" s="116"/>
    </row>
    <row r="42" spans="1:35" x14ac:dyDescent="0.25">
      <c r="B42" s="213"/>
      <c r="C42" s="20"/>
      <c r="D42" s="528"/>
      <c r="E42" s="529"/>
      <c r="F42" s="114">
        <f t="shared" si="0"/>
        <v>0</v>
      </c>
      <c r="G42" s="115"/>
      <c r="H42" s="116"/>
      <c r="K42" s="213"/>
      <c r="L42" s="20"/>
      <c r="M42" s="528"/>
      <c r="N42" s="529"/>
      <c r="O42" s="528">
        <f t="shared" si="1"/>
        <v>0</v>
      </c>
      <c r="P42" s="530"/>
      <c r="Q42" s="230"/>
      <c r="T42" s="213"/>
      <c r="U42" s="20"/>
      <c r="V42" s="718"/>
      <c r="W42" s="719"/>
      <c r="X42" s="718">
        <f t="shared" si="2"/>
        <v>0</v>
      </c>
      <c r="Y42" s="720"/>
      <c r="Z42" s="721"/>
      <c r="AC42" s="213"/>
      <c r="AD42" s="20"/>
      <c r="AE42" s="528"/>
      <c r="AF42" s="529"/>
      <c r="AG42" s="114">
        <f t="shared" si="3"/>
        <v>0</v>
      </c>
      <c r="AH42" s="115"/>
      <c r="AI42" s="116"/>
    </row>
    <row r="43" spans="1:35" x14ac:dyDescent="0.25">
      <c r="B43" s="213"/>
      <c r="C43" s="20"/>
      <c r="D43" s="528"/>
      <c r="E43" s="529"/>
      <c r="F43" s="114">
        <f t="shared" si="0"/>
        <v>0</v>
      </c>
      <c r="G43" s="115"/>
      <c r="H43" s="116"/>
      <c r="K43" s="213"/>
      <c r="L43" s="20"/>
      <c r="M43" s="528"/>
      <c r="N43" s="529"/>
      <c r="O43" s="528">
        <f t="shared" si="1"/>
        <v>0</v>
      </c>
      <c r="P43" s="530"/>
      <c r="Q43" s="230"/>
      <c r="T43" s="213"/>
      <c r="U43" s="20"/>
      <c r="V43" s="718"/>
      <c r="W43" s="719"/>
      <c r="X43" s="718">
        <f t="shared" si="2"/>
        <v>0</v>
      </c>
      <c r="Y43" s="720"/>
      <c r="Z43" s="721"/>
      <c r="AC43" s="213"/>
      <c r="AD43" s="20"/>
      <c r="AE43" s="528"/>
      <c r="AF43" s="529"/>
      <c r="AG43" s="114">
        <f t="shared" si="3"/>
        <v>0</v>
      </c>
      <c r="AH43" s="115"/>
      <c r="AI43" s="116"/>
    </row>
    <row r="44" spans="1:35" x14ac:dyDescent="0.25">
      <c r="B44" s="213"/>
      <c r="C44" s="20"/>
      <c r="D44" s="528"/>
      <c r="E44" s="529"/>
      <c r="F44" s="114">
        <f t="shared" si="0"/>
        <v>0</v>
      </c>
      <c r="G44" s="115"/>
      <c r="H44" s="116"/>
      <c r="K44" s="213"/>
      <c r="L44" s="20"/>
      <c r="M44" s="528"/>
      <c r="N44" s="529"/>
      <c r="O44" s="528">
        <f t="shared" si="1"/>
        <v>0</v>
      </c>
      <c r="P44" s="530"/>
      <c r="Q44" s="230"/>
      <c r="T44" s="213"/>
      <c r="U44" s="20"/>
      <c r="V44" s="718"/>
      <c r="W44" s="719"/>
      <c r="X44" s="718">
        <f t="shared" si="2"/>
        <v>0</v>
      </c>
      <c r="Y44" s="720"/>
      <c r="Z44" s="721"/>
      <c r="AC44" s="213"/>
      <c r="AD44" s="20"/>
      <c r="AE44" s="528"/>
      <c r="AF44" s="529"/>
      <c r="AG44" s="114">
        <f t="shared" si="3"/>
        <v>0</v>
      </c>
      <c r="AH44" s="115"/>
      <c r="AI44" s="116"/>
    </row>
    <row r="45" spans="1:35" x14ac:dyDescent="0.25">
      <c r="B45" s="213"/>
      <c r="C45" s="20"/>
      <c r="D45" s="528"/>
      <c r="E45" s="529"/>
      <c r="F45" s="114">
        <f t="shared" si="0"/>
        <v>0</v>
      </c>
      <c r="G45" s="115"/>
      <c r="H45" s="116"/>
      <c r="K45" s="213"/>
      <c r="L45" s="20"/>
      <c r="M45" s="528"/>
      <c r="N45" s="529"/>
      <c r="O45" s="528">
        <f t="shared" si="1"/>
        <v>0</v>
      </c>
      <c r="P45" s="530"/>
      <c r="Q45" s="230"/>
      <c r="T45" s="213"/>
      <c r="U45" s="20"/>
      <c r="V45" s="718"/>
      <c r="W45" s="719"/>
      <c r="X45" s="718">
        <f t="shared" si="2"/>
        <v>0</v>
      </c>
      <c r="Y45" s="720"/>
      <c r="Z45" s="721"/>
      <c r="AC45" s="213"/>
      <c r="AD45" s="20"/>
      <c r="AE45" s="528"/>
      <c r="AF45" s="529"/>
      <c r="AG45" s="114">
        <f t="shared" si="3"/>
        <v>0</v>
      </c>
      <c r="AH45" s="115"/>
      <c r="AI45" s="116"/>
    </row>
    <row r="46" spans="1:35" x14ac:dyDescent="0.25">
      <c r="B46" s="213"/>
      <c r="C46" s="20"/>
      <c r="D46" s="528"/>
      <c r="E46" s="529"/>
      <c r="F46" s="114">
        <f t="shared" si="0"/>
        <v>0</v>
      </c>
      <c r="G46" s="115"/>
      <c r="H46" s="116"/>
      <c r="K46" s="213"/>
      <c r="L46" s="20"/>
      <c r="M46" s="528"/>
      <c r="N46" s="529"/>
      <c r="O46" s="528">
        <f t="shared" si="1"/>
        <v>0</v>
      </c>
      <c r="P46" s="530"/>
      <c r="Q46" s="230"/>
      <c r="T46" s="213"/>
      <c r="U46" s="20"/>
      <c r="V46" s="718"/>
      <c r="W46" s="719"/>
      <c r="X46" s="718">
        <f t="shared" si="2"/>
        <v>0</v>
      </c>
      <c r="Y46" s="720"/>
      <c r="Z46" s="721"/>
      <c r="AC46" s="213"/>
      <c r="AD46" s="20"/>
      <c r="AE46" s="528"/>
      <c r="AF46" s="529"/>
      <c r="AG46" s="114">
        <f t="shared" si="3"/>
        <v>0</v>
      </c>
      <c r="AH46" s="115"/>
      <c r="AI46" s="116"/>
    </row>
    <row r="47" spans="1:35" x14ac:dyDescent="0.25">
      <c r="B47" s="213"/>
      <c r="C47" s="20"/>
      <c r="D47" s="528"/>
      <c r="E47" s="529"/>
      <c r="F47" s="528">
        <f t="shared" si="0"/>
        <v>0</v>
      </c>
      <c r="G47" s="530"/>
      <c r="H47" s="230"/>
      <c r="K47" s="213"/>
      <c r="L47" s="20"/>
      <c r="M47" s="528"/>
      <c r="N47" s="529"/>
      <c r="O47" s="528">
        <f t="shared" si="1"/>
        <v>0</v>
      </c>
      <c r="P47" s="530"/>
      <c r="Q47" s="230"/>
      <c r="T47" s="213"/>
      <c r="U47" s="20"/>
      <c r="V47" s="718"/>
      <c r="W47" s="719"/>
      <c r="X47" s="718">
        <f t="shared" si="2"/>
        <v>0</v>
      </c>
      <c r="Y47" s="720"/>
      <c r="Z47" s="721"/>
      <c r="AC47" s="213"/>
      <c r="AD47" s="20"/>
      <c r="AE47" s="528"/>
      <c r="AF47" s="529"/>
      <c r="AG47" s="528">
        <f t="shared" si="3"/>
        <v>0</v>
      </c>
      <c r="AH47" s="530"/>
      <c r="AI47" s="230"/>
    </row>
    <row r="48" spans="1:35" x14ac:dyDescent="0.25">
      <c r="A48" t="s">
        <v>89</v>
      </c>
      <c r="B48" s="213"/>
      <c r="C48" s="20"/>
      <c r="D48" s="528"/>
      <c r="E48" s="529"/>
      <c r="F48" s="528">
        <f t="shared" si="0"/>
        <v>0</v>
      </c>
      <c r="G48" s="530"/>
      <c r="H48" s="230"/>
      <c r="J48" t="s">
        <v>89</v>
      </c>
      <c r="K48" s="213"/>
      <c r="L48" s="20"/>
      <c r="M48" s="528"/>
      <c r="N48" s="529"/>
      <c r="O48" s="528">
        <f t="shared" si="1"/>
        <v>0</v>
      </c>
      <c r="P48" s="530"/>
      <c r="Q48" s="230"/>
      <c r="S48" t="s">
        <v>89</v>
      </c>
      <c r="T48" s="213"/>
      <c r="U48" s="20"/>
      <c r="V48" s="718"/>
      <c r="W48" s="719"/>
      <c r="X48" s="718">
        <f t="shared" si="2"/>
        <v>0</v>
      </c>
      <c r="Y48" s="720"/>
      <c r="Z48" s="721"/>
      <c r="AB48" t="s">
        <v>89</v>
      </c>
      <c r="AC48" s="213"/>
      <c r="AD48" s="20"/>
      <c r="AE48" s="528"/>
      <c r="AF48" s="529"/>
      <c r="AG48" s="528">
        <f t="shared" si="3"/>
        <v>0</v>
      </c>
      <c r="AH48" s="530"/>
      <c r="AI48" s="230"/>
    </row>
    <row r="49" spans="2:35" x14ac:dyDescent="0.25">
      <c r="B49" s="213"/>
      <c r="C49" s="20"/>
      <c r="D49" s="528"/>
      <c r="E49" s="529"/>
      <c r="F49" s="528">
        <f t="shared" si="0"/>
        <v>0</v>
      </c>
      <c r="G49" s="530"/>
      <c r="H49" s="230"/>
      <c r="K49" s="213"/>
      <c r="L49" s="20"/>
      <c r="M49" s="528"/>
      <c r="N49" s="529"/>
      <c r="O49" s="528">
        <f t="shared" si="1"/>
        <v>0</v>
      </c>
      <c r="P49" s="530"/>
      <c r="Q49" s="230"/>
      <c r="T49" s="213"/>
      <c r="U49" s="20"/>
      <c r="V49" s="718"/>
      <c r="W49" s="719"/>
      <c r="X49" s="718">
        <f t="shared" si="2"/>
        <v>0</v>
      </c>
      <c r="Y49" s="720"/>
      <c r="Z49" s="721"/>
      <c r="AC49" s="213"/>
      <c r="AD49" s="20"/>
      <c r="AE49" s="528"/>
      <c r="AF49" s="529"/>
      <c r="AG49" s="528">
        <f t="shared" si="3"/>
        <v>0</v>
      </c>
      <c r="AH49" s="530"/>
      <c r="AI49" s="230"/>
    </row>
    <row r="50" spans="2:35" x14ac:dyDescent="0.25">
      <c r="B50" s="213"/>
      <c r="C50" s="20"/>
      <c r="D50" s="528"/>
      <c r="E50" s="529"/>
      <c r="F50" s="528">
        <f t="shared" si="0"/>
        <v>0</v>
      </c>
      <c r="G50" s="530"/>
      <c r="H50" s="230"/>
      <c r="K50" s="213"/>
      <c r="L50" s="20"/>
      <c r="M50" s="528"/>
      <c r="N50" s="529"/>
      <c r="O50" s="528">
        <f t="shared" si="1"/>
        <v>0</v>
      </c>
      <c r="P50" s="530"/>
      <c r="Q50" s="230"/>
      <c r="T50" s="213"/>
      <c r="U50" s="20"/>
      <c r="V50" s="718"/>
      <c r="W50" s="719"/>
      <c r="X50" s="718">
        <f t="shared" si="2"/>
        <v>0</v>
      </c>
      <c r="Y50" s="720"/>
      <c r="Z50" s="721"/>
      <c r="AC50" s="213"/>
      <c r="AD50" s="20"/>
      <c r="AE50" s="528"/>
      <c r="AF50" s="529"/>
      <c r="AG50" s="528">
        <f t="shared" si="3"/>
        <v>0</v>
      </c>
      <c r="AH50" s="530"/>
      <c r="AI50" s="230"/>
    </row>
    <row r="51" spans="2:35" x14ac:dyDescent="0.25">
      <c r="B51" s="213"/>
      <c r="C51" s="20"/>
      <c r="D51" s="528"/>
      <c r="E51" s="529"/>
      <c r="F51" s="528">
        <f t="shared" si="0"/>
        <v>0</v>
      </c>
      <c r="G51" s="530"/>
      <c r="H51" s="230"/>
      <c r="K51" s="213"/>
      <c r="L51" s="20"/>
      <c r="M51" s="528"/>
      <c r="N51" s="529"/>
      <c r="O51" s="528">
        <f t="shared" si="1"/>
        <v>0</v>
      </c>
      <c r="P51" s="530"/>
      <c r="Q51" s="230"/>
      <c r="T51" s="213"/>
      <c r="U51" s="20"/>
      <c r="V51" s="718"/>
      <c r="W51" s="719"/>
      <c r="X51" s="718">
        <f t="shared" si="2"/>
        <v>0</v>
      </c>
      <c r="Y51" s="720"/>
      <c r="Z51" s="721"/>
      <c r="AC51" s="213"/>
      <c r="AD51" s="20"/>
      <c r="AE51" s="528"/>
      <c r="AF51" s="529"/>
      <c r="AG51" s="528">
        <f t="shared" si="3"/>
        <v>0</v>
      </c>
      <c r="AH51" s="530"/>
      <c r="AI51" s="230"/>
    </row>
    <row r="52" spans="2:35" x14ac:dyDescent="0.25">
      <c r="B52" s="213"/>
      <c r="C52" s="20"/>
      <c r="D52" s="528"/>
      <c r="E52" s="529"/>
      <c r="F52" s="528">
        <f t="shared" si="0"/>
        <v>0</v>
      </c>
      <c r="G52" s="530"/>
      <c r="H52" s="230"/>
      <c r="K52" s="213"/>
      <c r="L52" s="20"/>
      <c r="M52" s="528"/>
      <c r="N52" s="529"/>
      <c r="O52" s="528">
        <f t="shared" si="1"/>
        <v>0</v>
      </c>
      <c r="P52" s="530"/>
      <c r="Q52" s="230"/>
      <c r="T52" s="213"/>
      <c r="U52" s="20"/>
      <c r="V52" s="718"/>
      <c r="W52" s="719"/>
      <c r="X52" s="718">
        <f t="shared" si="2"/>
        <v>0</v>
      </c>
      <c r="Y52" s="720"/>
      <c r="Z52" s="721"/>
      <c r="AC52" s="213"/>
      <c r="AD52" s="20"/>
      <c r="AE52" s="528"/>
      <c r="AF52" s="529"/>
      <c r="AG52" s="528">
        <f t="shared" si="3"/>
        <v>0</v>
      </c>
      <c r="AH52" s="530"/>
      <c r="AI52" s="230"/>
    </row>
    <row r="53" spans="2:35" x14ac:dyDescent="0.25">
      <c r="B53" s="213"/>
      <c r="C53" s="20"/>
      <c r="D53" s="528"/>
      <c r="E53" s="529"/>
      <c r="F53" s="528">
        <f t="shared" si="0"/>
        <v>0</v>
      </c>
      <c r="G53" s="530"/>
      <c r="H53" s="230"/>
      <c r="K53" s="213"/>
      <c r="L53" s="20"/>
      <c r="M53" s="528"/>
      <c r="N53" s="529"/>
      <c r="O53" s="528">
        <f t="shared" si="1"/>
        <v>0</v>
      </c>
      <c r="P53" s="530"/>
      <c r="Q53" s="230"/>
      <c r="T53" s="213"/>
      <c r="U53" s="20"/>
      <c r="V53" s="718"/>
      <c r="W53" s="719"/>
      <c r="X53" s="718">
        <f t="shared" si="2"/>
        <v>0</v>
      </c>
      <c r="Y53" s="720"/>
      <c r="Z53" s="721"/>
      <c r="AC53" s="213"/>
      <c r="AD53" s="20"/>
      <c r="AE53" s="528"/>
      <c r="AF53" s="529"/>
      <c r="AG53" s="528">
        <f t="shared" si="3"/>
        <v>0</v>
      </c>
      <c r="AH53" s="530"/>
      <c r="AI53" s="230"/>
    </row>
    <row r="54" spans="2:35" x14ac:dyDescent="0.25">
      <c r="B54" s="213"/>
      <c r="C54" s="20"/>
      <c r="D54" s="528"/>
      <c r="E54" s="529"/>
      <c r="F54" s="528">
        <f t="shared" si="0"/>
        <v>0</v>
      </c>
      <c r="G54" s="530"/>
      <c r="H54" s="230"/>
      <c r="K54" s="213"/>
      <c r="L54" s="20"/>
      <c r="M54" s="528"/>
      <c r="N54" s="529"/>
      <c r="O54" s="528">
        <f t="shared" si="1"/>
        <v>0</v>
      </c>
      <c r="P54" s="530"/>
      <c r="Q54" s="230"/>
      <c r="T54" s="213"/>
      <c r="U54" s="20"/>
      <c r="V54" s="528"/>
      <c r="W54" s="529"/>
      <c r="X54" s="528">
        <f t="shared" si="2"/>
        <v>0</v>
      </c>
      <c r="Y54" s="530"/>
      <c r="Z54" s="230"/>
      <c r="AC54" s="213"/>
      <c r="AD54" s="20"/>
      <c r="AE54" s="528"/>
      <c r="AF54" s="529"/>
      <c r="AG54" s="528">
        <f t="shared" si="3"/>
        <v>0</v>
      </c>
      <c r="AH54" s="530"/>
      <c r="AI54" s="230"/>
    </row>
    <row r="55" spans="2:35" x14ac:dyDescent="0.25">
      <c r="B55" s="2"/>
      <c r="C55" s="20"/>
      <c r="D55" s="528"/>
      <c r="E55" s="539"/>
      <c r="F55" s="528">
        <f t="shared" si="0"/>
        <v>0</v>
      </c>
      <c r="G55" s="540"/>
      <c r="H55" s="541"/>
      <c r="K55" s="2"/>
      <c r="L55" s="20"/>
      <c r="M55" s="528"/>
      <c r="N55" s="539"/>
      <c r="O55" s="528">
        <f t="shared" si="1"/>
        <v>0</v>
      </c>
      <c r="P55" s="540"/>
      <c r="Q55" s="541"/>
      <c r="T55" s="2"/>
      <c r="U55" s="20"/>
      <c r="V55" s="528"/>
      <c r="W55" s="539"/>
      <c r="X55" s="528">
        <f t="shared" si="2"/>
        <v>0</v>
      </c>
      <c r="Y55" s="540"/>
      <c r="Z55" s="541"/>
      <c r="AC55" s="2"/>
      <c r="AD55" s="20"/>
      <c r="AE55" s="528"/>
      <c r="AF55" s="539"/>
      <c r="AG55" s="528">
        <f t="shared" si="3"/>
        <v>0</v>
      </c>
      <c r="AH55" s="540"/>
      <c r="AI55" s="541"/>
    </row>
    <row r="56" spans="2:35" x14ac:dyDescent="0.25">
      <c r="B56" s="2"/>
      <c r="C56" s="20"/>
      <c r="D56" s="528"/>
      <c r="E56" s="539"/>
      <c r="F56" s="528">
        <f t="shared" si="0"/>
        <v>0</v>
      </c>
      <c r="G56" s="540"/>
      <c r="H56" s="541"/>
      <c r="K56" s="2"/>
      <c r="L56" s="20"/>
      <c r="M56" s="528"/>
      <c r="N56" s="539"/>
      <c r="O56" s="528">
        <f t="shared" si="1"/>
        <v>0</v>
      </c>
      <c r="P56" s="540"/>
      <c r="Q56" s="541"/>
      <c r="T56" s="2"/>
      <c r="U56" s="20"/>
      <c r="V56" s="528"/>
      <c r="W56" s="539"/>
      <c r="X56" s="528">
        <f t="shared" si="2"/>
        <v>0</v>
      </c>
      <c r="Y56" s="540"/>
      <c r="Z56" s="541"/>
      <c r="AC56" s="2"/>
      <c r="AD56" s="20"/>
      <c r="AE56" s="528"/>
      <c r="AF56" s="539"/>
      <c r="AG56" s="528">
        <f t="shared" si="3"/>
        <v>0</v>
      </c>
      <c r="AH56" s="540"/>
      <c r="AI56" s="541"/>
    </row>
    <row r="57" spans="2:35" x14ac:dyDescent="0.25">
      <c r="B57" s="2"/>
      <c r="C57" s="20"/>
      <c r="D57" s="528"/>
      <c r="E57" s="539"/>
      <c r="F57" s="528">
        <f t="shared" si="0"/>
        <v>0</v>
      </c>
      <c r="G57" s="540"/>
      <c r="H57" s="541"/>
      <c r="K57" s="2"/>
      <c r="L57" s="20"/>
      <c r="M57" s="528"/>
      <c r="N57" s="539"/>
      <c r="O57" s="528">
        <f t="shared" si="1"/>
        <v>0</v>
      </c>
      <c r="P57" s="540"/>
      <c r="Q57" s="541"/>
      <c r="T57" s="2"/>
      <c r="U57" s="20"/>
      <c r="V57" s="528"/>
      <c r="W57" s="539"/>
      <c r="X57" s="528">
        <f t="shared" si="2"/>
        <v>0</v>
      </c>
      <c r="Y57" s="540"/>
      <c r="Z57" s="541"/>
      <c r="AC57" s="2"/>
      <c r="AD57" s="20"/>
      <c r="AE57" s="528"/>
      <c r="AF57" s="539"/>
      <c r="AG57" s="528">
        <f t="shared" si="3"/>
        <v>0</v>
      </c>
      <c r="AH57" s="540"/>
      <c r="AI57" s="541"/>
    </row>
    <row r="58" spans="2:35" x14ac:dyDescent="0.25">
      <c r="B58" s="2"/>
      <c r="C58" s="20"/>
      <c r="D58" s="528"/>
      <c r="E58" s="539"/>
      <c r="F58" s="528">
        <f t="shared" si="0"/>
        <v>0</v>
      </c>
      <c r="G58" s="540"/>
      <c r="H58" s="541"/>
      <c r="K58" s="2"/>
      <c r="L58" s="20"/>
      <c r="M58" s="528"/>
      <c r="N58" s="539"/>
      <c r="O58" s="528">
        <f t="shared" si="1"/>
        <v>0</v>
      </c>
      <c r="P58" s="540"/>
      <c r="Q58" s="541"/>
      <c r="T58" s="2"/>
      <c r="U58" s="20"/>
      <c r="V58" s="528"/>
      <c r="W58" s="539"/>
      <c r="X58" s="528">
        <f t="shared" si="2"/>
        <v>0</v>
      </c>
      <c r="Y58" s="540"/>
      <c r="Z58" s="541"/>
      <c r="AC58" s="2"/>
      <c r="AD58" s="20"/>
      <c r="AE58" s="528"/>
      <c r="AF58" s="539"/>
      <c r="AG58" s="528">
        <f t="shared" si="3"/>
        <v>0</v>
      </c>
      <c r="AH58" s="540"/>
      <c r="AI58" s="541"/>
    </row>
    <row r="59" spans="2:35" x14ac:dyDescent="0.25">
      <c r="B59" s="2"/>
      <c r="C59" s="20"/>
      <c r="D59" s="528"/>
      <c r="E59" s="539"/>
      <c r="F59" s="528">
        <f t="shared" si="0"/>
        <v>0</v>
      </c>
      <c r="G59" s="540"/>
      <c r="H59" s="541"/>
      <c r="K59" s="2"/>
      <c r="L59" s="20"/>
      <c r="M59" s="528"/>
      <c r="N59" s="539"/>
      <c r="O59" s="528">
        <f t="shared" si="1"/>
        <v>0</v>
      </c>
      <c r="P59" s="540"/>
      <c r="Q59" s="541"/>
      <c r="T59" s="2"/>
      <c r="U59" s="20"/>
      <c r="V59" s="528"/>
      <c r="W59" s="539"/>
      <c r="X59" s="528">
        <f t="shared" si="2"/>
        <v>0</v>
      </c>
      <c r="Y59" s="540"/>
      <c r="Z59" s="541"/>
      <c r="AC59" s="2"/>
      <c r="AD59" s="20"/>
      <c r="AE59" s="528"/>
      <c r="AF59" s="539"/>
      <c r="AG59" s="528">
        <f t="shared" si="3"/>
        <v>0</v>
      </c>
      <c r="AH59" s="540"/>
      <c r="AI59" s="541"/>
    </row>
    <row r="60" spans="2:35" x14ac:dyDescent="0.25">
      <c r="B60" s="2"/>
      <c r="C60" s="20"/>
      <c r="D60" s="528"/>
      <c r="E60" s="539"/>
      <c r="F60" s="528">
        <f t="shared" si="0"/>
        <v>0</v>
      </c>
      <c r="G60" s="540"/>
      <c r="H60" s="541"/>
      <c r="K60" s="2"/>
      <c r="L60" s="20"/>
      <c r="M60" s="528"/>
      <c r="N60" s="539"/>
      <c r="O60" s="528">
        <f t="shared" si="1"/>
        <v>0</v>
      </c>
      <c r="P60" s="540"/>
      <c r="Q60" s="541"/>
      <c r="T60" s="2"/>
      <c r="U60" s="20"/>
      <c r="V60" s="528"/>
      <c r="W60" s="539"/>
      <c r="X60" s="528">
        <f t="shared" si="2"/>
        <v>0</v>
      </c>
      <c r="Y60" s="540"/>
      <c r="Z60" s="541"/>
      <c r="AC60" s="2"/>
      <c r="AD60" s="20"/>
      <c r="AE60" s="528"/>
      <c r="AF60" s="539"/>
      <c r="AG60" s="528">
        <f t="shared" si="3"/>
        <v>0</v>
      </c>
      <c r="AH60" s="540"/>
      <c r="AI60" s="541"/>
    </row>
    <row r="61" spans="2:35" x14ac:dyDescent="0.25">
      <c r="B61" s="2"/>
      <c r="C61" s="20"/>
      <c r="D61" s="528"/>
      <c r="E61" s="539"/>
      <c r="F61" s="528">
        <f t="shared" si="0"/>
        <v>0</v>
      </c>
      <c r="G61" s="540"/>
      <c r="H61" s="541"/>
      <c r="K61" s="2"/>
      <c r="L61" s="20"/>
      <c r="M61" s="528"/>
      <c r="N61" s="539"/>
      <c r="O61" s="528">
        <f t="shared" si="1"/>
        <v>0</v>
      </c>
      <c r="P61" s="540"/>
      <c r="Q61" s="541"/>
      <c r="T61" s="2"/>
      <c r="U61" s="20"/>
      <c r="V61" s="528"/>
      <c r="W61" s="539"/>
      <c r="X61" s="528">
        <f t="shared" si="2"/>
        <v>0</v>
      </c>
      <c r="Y61" s="540"/>
      <c r="Z61" s="541"/>
      <c r="AC61" s="2"/>
      <c r="AD61" s="20"/>
      <c r="AE61" s="528"/>
      <c r="AF61" s="539"/>
      <c r="AG61" s="528">
        <f t="shared" si="3"/>
        <v>0</v>
      </c>
      <c r="AH61" s="540"/>
      <c r="AI61" s="541"/>
    </row>
    <row r="62" spans="2:35" x14ac:dyDescent="0.25">
      <c r="B62" s="2"/>
      <c r="C62" s="20"/>
      <c r="D62" s="528"/>
      <c r="E62" s="539"/>
      <c r="F62" s="528">
        <f t="shared" si="0"/>
        <v>0</v>
      </c>
      <c r="G62" s="540"/>
      <c r="H62" s="541"/>
      <c r="K62" s="2"/>
      <c r="L62" s="20"/>
      <c r="M62" s="528"/>
      <c r="N62" s="539"/>
      <c r="O62" s="528">
        <f t="shared" si="1"/>
        <v>0</v>
      </c>
      <c r="P62" s="540"/>
      <c r="Q62" s="541"/>
      <c r="T62" s="2"/>
      <c r="U62" s="20"/>
      <c r="V62" s="528"/>
      <c r="W62" s="539"/>
      <c r="X62" s="528">
        <f t="shared" si="2"/>
        <v>0</v>
      </c>
      <c r="Y62" s="540"/>
      <c r="Z62" s="541"/>
      <c r="AC62" s="2"/>
      <c r="AD62" s="20"/>
      <c r="AE62" s="528"/>
      <c r="AF62" s="539"/>
      <c r="AG62" s="528">
        <f t="shared" si="3"/>
        <v>0</v>
      </c>
      <c r="AH62" s="540"/>
      <c r="AI62" s="541"/>
    </row>
    <row r="63" spans="2:35" x14ac:dyDescent="0.25">
      <c r="B63" s="2"/>
      <c r="C63" s="20"/>
      <c r="D63" s="528"/>
      <c r="E63" s="539"/>
      <c r="F63" s="528">
        <f t="shared" si="0"/>
        <v>0</v>
      </c>
      <c r="G63" s="540"/>
      <c r="H63" s="541"/>
      <c r="K63" s="2"/>
      <c r="L63" s="20"/>
      <c r="M63" s="528"/>
      <c r="N63" s="539"/>
      <c r="O63" s="528">
        <f t="shared" si="1"/>
        <v>0</v>
      </c>
      <c r="P63" s="540"/>
      <c r="Q63" s="541"/>
      <c r="T63" s="2"/>
      <c r="U63" s="20"/>
      <c r="V63" s="528"/>
      <c r="W63" s="539"/>
      <c r="X63" s="528">
        <f t="shared" si="2"/>
        <v>0</v>
      </c>
      <c r="Y63" s="540"/>
      <c r="Z63" s="541"/>
      <c r="AC63" s="2"/>
      <c r="AD63" s="20"/>
      <c r="AE63" s="528"/>
      <c r="AF63" s="539"/>
      <c r="AG63" s="528">
        <f t="shared" si="3"/>
        <v>0</v>
      </c>
      <c r="AH63" s="540"/>
      <c r="AI63" s="541"/>
    </row>
    <row r="64" spans="2:35" x14ac:dyDescent="0.25">
      <c r="B64" s="2"/>
      <c r="C64" s="20"/>
      <c r="D64" s="528"/>
      <c r="E64" s="539"/>
      <c r="F64" s="528">
        <f t="shared" si="0"/>
        <v>0</v>
      </c>
      <c r="G64" s="540"/>
      <c r="H64" s="541"/>
      <c r="K64" s="2"/>
      <c r="L64" s="20"/>
      <c r="M64" s="528"/>
      <c r="N64" s="539"/>
      <c r="O64" s="528">
        <f t="shared" si="1"/>
        <v>0</v>
      </c>
      <c r="P64" s="540"/>
      <c r="Q64" s="541"/>
      <c r="T64" s="2"/>
      <c r="U64" s="20"/>
      <c r="V64" s="528"/>
      <c r="W64" s="539"/>
      <c r="X64" s="528">
        <f t="shared" si="2"/>
        <v>0</v>
      </c>
      <c r="Y64" s="540"/>
      <c r="Z64" s="541"/>
      <c r="AC64" s="2"/>
      <c r="AD64" s="20"/>
      <c r="AE64" s="528"/>
      <c r="AF64" s="539"/>
      <c r="AG64" s="528">
        <f t="shared" si="3"/>
        <v>0</v>
      </c>
      <c r="AH64" s="540"/>
      <c r="AI64" s="541"/>
    </row>
    <row r="65" spans="2:35" x14ac:dyDescent="0.25">
      <c r="B65" s="2"/>
      <c r="C65" s="20"/>
      <c r="D65" s="528"/>
      <c r="E65" s="539"/>
      <c r="F65" s="528">
        <f t="shared" si="0"/>
        <v>0</v>
      </c>
      <c r="G65" s="540"/>
      <c r="H65" s="541"/>
      <c r="K65" s="2"/>
      <c r="L65" s="20"/>
      <c r="M65" s="528"/>
      <c r="N65" s="539"/>
      <c r="O65" s="528">
        <f t="shared" si="1"/>
        <v>0</v>
      </c>
      <c r="P65" s="540"/>
      <c r="Q65" s="541"/>
      <c r="T65" s="2"/>
      <c r="U65" s="20"/>
      <c r="V65" s="528"/>
      <c r="W65" s="539"/>
      <c r="X65" s="528">
        <f t="shared" si="2"/>
        <v>0</v>
      </c>
      <c r="Y65" s="540"/>
      <c r="Z65" s="541"/>
      <c r="AC65" s="2"/>
      <c r="AD65" s="20"/>
      <c r="AE65" s="528"/>
      <c r="AF65" s="539"/>
      <c r="AG65" s="528">
        <f t="shared" si="3"/>
        <v>0</v>
      </c>
      <c r="AH65" s="540"/>
      <c r="AI65" s="541"/>
    </row>
    <row r="66" spans="2:35" x14ac:dyDescent="0.25">
      <c r="B66" s="2"/>
      <c r="C66" s="20"/>
      <c r="D66" s="528"/>
      <c r="E66" s="539"/>
      <c r="F66" s="528">
        <f t="shared" si="0"/>
        <v>0</v>
      </c>
      <c r="G66" s="540"/>
      <c r="H66" s="541"/>
      <c r="K66" s="2"/>
      <c r="L66" s="20"/>
      <c r="M66" s="528"/>
      <c r="N66" s="539"/>
      <c r="O66" s="528">
        <f t="shared" si="1"/>
        <v>0</v>
      </c>
      <c r="P66" s="540"/>
      <c r="Q66" s="541"/>
      <c r="T66" s="2"/>
      <c r="U66" s="20"/>
      <c r="V66" s="528"/>
      <c r="W66" s="539"/>
      <c r="X66" s="528">
        <f t="shared" si="2"/>
        <v>0</v>
      </c>
      <c r="Y66" s="540"/>
      <c r="Z66" s="541"/>
      <c r="AC66" s="2"/>
      <c r="AD66" s="20"/>
      <c r="AE66" s="528"/>
      <c r="AF66" s="539"/>
      <c r="AG66" s="528">
        <f t="shared" si="3"/>
        <v>0</v>
      </c>
      <c r="AH66" s="540"/>
      <c r="AI66" s="541"/>
    </row>
    <row r="67" spans="2:35" x14ac:dyDescent="0.25">
      <c r="B67" s="2"/>
      <c r="C67" s="20"/>
      <c r="D67" s="254"/>
      <c r="E67" s="376"/>
      <c r="F67" s="254">
        <f t="shared" si="0"/>
        <v>0</v>
      </c>
      <c r="G67" s="377"/>
      <c r="H67" s="375"/>
      <c r="K67" s="2"/>
      <c r="L67" s="20"/>
      <c r="M67" s="528"/>
      <c r="N67" s="539"/>
      <c r="O67" s="528">
        <f t="shared" si="1"/>
        <v>0</v>
      </c>
      <c r="P67" s="540"/>
      <c r="Q67" s="541"/>
      <c r="T67" s="2"/>
      <c r="U67" s="20"/>
      <c r="V67" s="254"/>
      <c r="W67" s="376"/>
      <c r="X67" s="254">
        <f t="shared" si="2"/>
        <v>0</v>
      </c>
      <c r="Y67" s="377"/>
      <c r="Z67" s="375"/>
      <c r="AC67" s="2"/>
      <c r="AD67" s="20"/>
      <c r="AE67" s="254"/>
      <c r="AF67" s="376"/>
      <c r="AG67" s="254">
        <f t="shared" si="3"/>
        <v>0</v>
      </c>
      <c r="AH67" s="377"/>
      <c r="AI67" s="375"/>
    </row>
    <row r="68" spans="2:35" x14ac:dyDescent="0.25">
      <c r="B68" s="2"/>
      <c r="C68" s="20"/>
      <c r="D68" s="254"/>
      <c r="E68" s="376"/>
      <c r="F68" s="254">
        <f t="shared" si="0"/>
        <v>0</v>
      </c>
      <c r="G68" s="377"/>
      <c r="H68" s="375"/>
      <c r="K68" s="2"/>
      <c r="L68" s="20"/>
      <c r="M68" s="528"/>
      <c r="N68" s="539"/>
      <c r="O68" s="528">
        <f t="shared" si="1"/>
        <v>0</v>
      </c>
      <c r="P68" s="540"/>
      <c r="Q68" s="541"/>
      <c r="T68" s="2"/>
      <c r="U68" s="20"/>
      <c r="V68" s="254"/>
      <c r="W68" s="376"/>
      <c r="X68" s="254">
        <f t="shared" si="2"/>
        <v>0</v>
      </c>
      <c r="Y68" s="377"/>
      <c r="Z68" s="375"/>
      <c r="AC68" s="2"/>
      <c r="AD68" s="20"/>
      <c r="AE68" s="254"/>
      <c r="AF68" s="376"/>
      <c r="AG68" s="254">
        <f t="shared" si="3"/>
        <v>0</v>
      </c>
      <c r="AH68" s="377"/>
      <c r="AI68" s="375"/>
    </row>
    <row r="69" spans="2:35" x14ac:dyDescent="0.25">
      <c r="B69" s="2"/>
      <c r="C69" s="20"/>
      <c r="D69" s="254"/>
      <c r="E69" s="376"/>
      <c r="F69" s="254">
        <f t="shared" si="0"/>
        <v>0</v>
      </c>
      <c r="G69" s="377"/>
      <c r="H69" s="375"/>
      <c r="K69" s="2"/>
      <c r="L69" s="20"/>
      <c r="M69" s="528"/>
      <c r="N69" s="539"/>
      <c r="O69" s="528">
        <f t="shared" si="1"/>
        <v>0</v>
      </c>
      <c r="P69" s="540"/>
      <c r="Q69" s="541"/>
      <c r="T69" s="2"/>
      <c r="U69" s="20"/>
      <c r="V69" s="254"/>
      <c r="W69" s="376"/>
      <c r="X69" s="254">
        <f t="shared" si="2"/>
        <v>0</v>
      </c>
      <c r="Y69" s="377"/>
      <c r="Z69" s="375"/>
      <c r="AC69" s="2"/>
      <c r="AD69" s="20"/>
      <c r="AE69" s="254"/>
      <c r="AF69" s="376"/>
      <c r="AG69" s="254">
        <f t="shared" si="3"/>
        <v>0</v>
      </c>
      <c r="AH69" s="377"/>
      <c r="AI69" s="375"/>
    </row>
    <row r="70" spans="2:35" x14ac:dyDescent="0.25">
      <c r="B70" s="2"/>
      <c r="C70" s="20"/>
      <c r="D70" s="254"/>
      <c r="E70" s="376"/>
      <c r="F70" s="254">
        <f t="shared" si="0"/>
        <v>0</v>
      </c>
      <c r="G70" s="377"/>
      <c r="H70" s="375"/>
      <c r="K70" s="2"/>
      <c r="L70" s="20"/>
      <c r="M70" s="528"/>
      <c r="N70" s="539"/>
      <c r="O70" s="528">
        <f t="shared" si="1"/>
        <v>0</v>
      </c>
      <c r="P70" s="540"/>
      <c r="Q70" s="541"/>
      <c r="T70" s="2"/>
      <c r="U70" s="20"/>
      <c r="V70" s="254"/>
      <c r="W70" s="376"/>
      <c r="X70" s="254">
        <f t="shared" si="2"/>
        <v>0</v>
      </c>
      <c r="Y70" s="377"/>
      <c r="Z70" s="375"/>
      <c r="AC70" s="2"/>
      <c r="AD70" s="20"/>
      <c r="AE70" s="254"/>
      <c r="AF70" s="376"/>
      <c r="AG70" s="254">
        <f t="shared" si="3"/>
        <v>0</v>
      </c>
      <c r="AH70" s="377"/>
      <c r="AI70" s="375"/>
    </row>
    <row r="71" spans="2:35" x14ac:dyDescent="0.25">
      <c r="B71" s="2"/>
      <c r="C71" s="20"/>
      <c r="D71" s="254"/>
      <c r="E71" s="376"/>
      <c r="F71" s="254">
        <f t="shared" si="0"/>
        <v>0</v>
      </c>
      <c r="G71" s="377"/>
      <c r="H71" s="375"/>
      <c r="K71" s="2"/>
      <c r="L71" s="20"/>
      <c r="M71" s="528"/>
      <c r="N71" s="539"/>
      <c r="O71" s="528">
        <f t="shared" si="1"/>
        <v>0</v>
      </c>
      <c r="P71" s="540"/>
      <c r="Q71" s="541"/>
      <c r="T71" s="2"/>
      <c r="U71" s="20"/>
      <c r="V71" s="254"/>
      <c r="W71" s="376"/>
      <c r="X71" s="254">
        <f t="shared" si="2"/>
        <v>0</v>
      </c>
      <c r="Y71" s="377"/>
      <c r="Z71" s="375"/>
      <c r="AC71" s="2"/>
      <c r="AD71" s="20"/>
      <c r="AE71" s="254"/>
      <c r="AF71" s="376"/>
      <c r="AG71" s="254">
        <f t="shared" si="3"/>
        <v>0</v>
      </c>
      <c r="AH71" s="377"/>
      <c r="AI71" s="375"/>
    </row>
    <row r="72" spans="2:35" x14ac:dyDescent="0.25">
      <c r="B72" s="2"/>
      <c r="C72" s="20"/>
      <c r="D72" s="254"/>
      <c r="E72" s="376"/>
      <c r="F72" s="254">
        <f t="shared" ref="F72:F95" si="4">D72</f>
        <v>0</v>
      </c>
      <c r="G72" s="377"/>
      <c r="H72" s="375"/>
      <c r="K72" s="2"/>
      <c r="L72" s="20"/>
      <c r="M72" s="528"/>
      <c r="N72" s="539"/>
      <c r="O72" s="528">
        <f t="shared" ref="O72:O95" si="5">M72</f>
        <v>0</v>
      </c>
      <c r="P72" s="540"/>
      <c r="Q72" s="541"/>
      <c r="T72" s="2"/>
      <c r="U72" s="20"/>
      <c r="V72" s="254"/>
      <c r="W72" s="376"/>
      <c r="X72" s="254">
        <f t="shared" ref="X72:X95" si="6">V72</f>
        <v>0</v>
      </c>
      <c r="Y72" s="377"/>
      <c r="Z72" s="375"/>
      <c r="AC72" s="2"/>
      <c r="AD72" s="20"/>
      <c r="AE72" s="254"/>
      <c r="AF72" s="376"/>
      <c r="AG72" s="254">
        <f t="shared" ref="AG72:AG95" si="7">AE72</f>
        <v>0</v>
      </c>
      <c r="AH72" s="377"/>
      <c r="AI72" s="375"/>
    </row>
    <row r="73" spans="2:35" x14ac:dyDescent="0.25">
      <c r="B73" s="2"/>
      <c r="C73" s="20"/>
      <c r="D73" s="254"/>
      <c r="E73" s="376"/>
      <c r="F73" s="254">
        <f t="shared" si="4"/>
        <v>0</v>
      </c>
      <c r="G73" s="377"/>
      <c r="H73" s="375"/>
      <c r="K73" s="2"/>
      <c r="L73" s="20"/>
      <c r="M73" s="528"/>
      <c r="N73" s="539"/>
      <c r="O73" s="528">
        <f t="shared" si="5"/>
        <v>0</v>
      </c>
      <c r="P73" s="540"/>
      <c r="Q73" s="541"/>
      <c r="T73" s="2"/>
      <c r="U73" s="20"/>
      <c r="V73" s="254"/>
      <c r="W73" s="376"/>
      <c r="X73" s="254">
        <f t="shared" si="6"/>
        <v>0</v>
      </c>
      <c r="Y73" s="377"/>
      <c r="Z73" s="375"/>
      <c r="AC73" s="2"/>
      <c r="AD73" s="20"/>
      <c r="AE73" s="254"/>
      <c r="AF73" s="376"/>
      <c r="AG73" s="254">
        <f t="shared" si="7"/>
        <v>0</v>
      </c>
      <c r="AH73" s="377"/>
      <c r="AI73" s="375"/>
    </row>
    <row r="74" spans="2:35" x14ac:dyDescent="0.25">
      <c r="B74" s="2"/>
      <c r="C74" s="20"/>
      <c r="D74" s="254"/>
      <c r="E74" s="376"/>
      <c r="F74" s="254">
        <f t="shared" si="4"/>
        <v>0</v>
      </c>
      <c r="G74" s="377"/>
      <c r="H74" s="375"/>
      <c r="K74" s="2"/>
      <c r="L74" s="20"/>
      <c r="M74" s="528"/>
      <c r="N74" s="539"/>
      <c r="O74" s="528">
        <f t="shared" si="5"/>
        <v>0</v>
      </c>
      <c r="P74" s="540"/>
      <c r="Q74" s="541"/>
      <c r="T74" s="2"/>
      <c r="U74" s="20"/>
      <c r="V74" s="254"/>
      <c r="W74" s="376"/>
      <c r="X74" s="254">
        <f t="shared" si="6"/>
        <v>0</v>
      </c>
      <c r="Y74" s="377"/>
      <c r="Z74" s="375"/>
      <c r="AC74" s="2"/>
      <c r="AD74" s="20"/>
      <c r="AE74" s="254"/>
      <c r="AF74" s="376"/>
      <c r="AG74" s="254">
        <f t="shared" si="7"/>
        <v>0</v>
      </c>
      <c r="AH74" s="377"/>
      <c r="AI74" s="375"/>
    </row>
    <row r="75" spans="2:35" x14ac:dyDescent="0.25">
      <c r="B75" s="2"/>
      <c r="C75" s="20"/>
      <c r="D75" s="254"/>
      <c r="E75" s="376"/>
      <c r="F75" s="254">
        <f t="shared" si="4"/>
        <v>0</v>
      </c>
      <c r="G75" s="377"/>
      <c r="H75" s="375"/>
      <c r="K75" s="2"/>
      <c r="L75" s="20"/>
      <c r="M75" s="528"/>
      <c r="N75" s="539"/>
      <c r="O75" s="528">
        <f t="shared" si="5"/>
        <v>0</v>
      </c>
      <c r="P75" s="540"/>
      <c r="Q75" s="541"/>
      <c r="T75" s="2"/>
      <c r="U75" s="20"/>
      <c r="V75" s="254"/>
      <c r="W75" s="376"/>
      <c r="X75" s="254">
        <f t="shared" si="6"/>
        <v>0</v>
      </c>
      <c r="Y75" s="377"/>
      <c r="Z75" s="375"/>
      <c r="AC75" s="2"/>
      <c r="AD75" s="20"/>
      <c r="AE75" s="254"/>
      <c r="AF75" s="376"/>
      <c r="AG75" s="254">
        <f t="shared" si="7"/>
        <v>0</v>
      </c>
      <c r="AH75" s="377"/>
      <c r="AI75" s="375"/>
    </row>
    <row r="76" spans="2:35" x14ac:dyDescent="0.25">
      <c r="B76" s="2"/>
      <c r="C76" s="20"/>
      <c r="D76" s="254"/>
      <c r="E76" s="376"/>
      <c r="F76" s="254">
        <f t="shared" si="4"/>
        <v>0</v>
      </c>
      <c r="G76" s="377"/>
      <c r="H76" s="375"/>
      <c r="K76" s="2"/>
      <c r="L76" s="20"/>
      <c r="M76" s="528"/>
      <c r="N76" s="539"/>
      <c r="O76" s="528">
        <f t="shared" si="5"/>
        <v>0</v>
      </c>
      <c r="P76" s="540"/>
      <c r="Q76" s="541"/>
      <c r="T76" s="2"/>
      <c r="U76" s="20"/>
      <c r="V76" s="254"/>
      <c r="W76" s="376"/>
      <c r="X76" s="254">
        <f t="shared" si="6"/>
        <v>0</v>
      </c>
      <c r="Y76" s="377"/>
      <c r="Z76" s="375"/>
      <c r="AC76" s="2"/>
      <c r="AD76" s="20"/>
      <c r="AE76" s="254"/>
      <c r="AF76" s="376"/>
      <c r="AG76" s="254">
        <f t="shared" si="7"/>
        <v>0</v>
      </c>
      <c r="AH76" s="377"/>
      <c r="AI76" s="375"/>
    </row>
    <row r="77" spans="2:35" x14ac:dyDescent="0.25">
      <c r="B77" s="2"/>
      <c r="C77" s="20"/>
      <c r="D77" s="254"/>
      <c r="E77" s="376"/>
      <c r="F77" s="254">
        <f t="shared" si="4"/>
        <v>0</v>
      </c>
      <c r="G77" s="377"/>
      <c r="H77" s="375"/>
      <c r="K77" s="2"/>
      <c r="L77" s="20"/>
      <c r="M77" s="528"/>
      <c r="N77" s="539"/>
      <c r="O77" s="528">
        <f t="shared" si="5"/>
        <v>0</v>
      </c>
      <c r="P77" s="540"/>
      <c r="Q77" s="541"/>
      <c r="T77" s="2"/>
      <c r="U77" s="20"/>
      <c r="V77" s="254"/>
      <c r="W77" s="376"/>
      <c r="X77" s="254">
        <f t="shared" si="6"/>
        <v>0</v>
      </c>
      <c r="Y77" s="377"/>
      <c r="Z77" s="375"/>
      <c r="AC77" s="2"/>
      <c r="AD77" s="20"/>
      <c r="AE77" s="254"/>
      <c r="AF77" s="376"/>
      <c r="AG77" s="254">
        <f t="shared" si="7"/>
        <v>0</v>
      </c>
      <c r="AH77" s="377"/>
      <c r="AI77" s="375"/>
    </row>
    <row r="78" spans="2:35" x14ac:dyDescent="0.25">
      <c r="B78" s="2"/>
      <c r="C78" s="20"/>
      <c r="D78" s="254"/>
      <c r="E78" s="376"/>
      <c r="F78" s="254">
        <f t="shared" si="4"/>
        <v>0</v>
      </c>
      <c r="G78" s="377"/>
      <c r="H78" s="375"/>
      <c r="K78" s="2"/>
      <c r="L78" s="20"/>
      <c r="M78" s="528"/>
      <c r="N78" s="539"/>
      <c r="O78" s="528">
        <f t="shared" si="5"/>
        <v>0</v>
      </c>
      <c r="P78" s="540"/>
      <c r="Q78" s="541"/>
      <c r="T78" s="2"/>
      <c r="U78" s="20"/>
      <c r="V78" s="254"/>
      <c r="W78" s="376"/>
      <c r="X78" s="254">
        <f t="shared" si="6"/>
        <v>0</v>
      </c>
      <c r="Y78" s="377"/>
      <c r="Z78" s="375"/>
      <c r="AC78" s="2"/>
      <c r="AD78" s="20"/>
      <c r="AE78" s="254"/>
      <c r="AF78" s="376"/>
      <c r="AG78" s="254">
        <f t="shared" si="7"/>
        <v>0</v>
      </c>
      <c r="AH78" s="377"/>
      <c r="AI78" s="375"/>
    </row>
    <row r="79" spans="2:35" x14ac:dyDescent="0.25">
      <c r="B79" s="2"/>
      <c r="C79" s="20"/>
      <c r="D79" s="254"/>
      <c r="E79" s="376"/>
      <c r="F79" s="254">
        <f t="shared" si="4"/>
        <v>0</v>
      </c>
      <c r="G79" s="377"/>
      <c r="H79" s="375"/>
      <c r="K79" s="2"/>
      <c r="L79" s="20"/>
      <c r="M79" s="528"/>
      <c r="N79" s="539"/>
      <c r="O79" s="528">
        <f t="shared" si="5"/>
        <v>0</v>
      </c>
      <c r="P79" s="540"/>
      <c r="Q79" s="541"/>
      <c r="T79" s="2"/>
      <c r="U79" s="20"/>
      <c r="V79" s="254"/>
      <c r="W79" s="376"/>
      <c r="X79" s="254">
        <f t="shared" si="6"/>
        <v>0</v>
      </c>
      <c r="Y79" s="377"/>
      <c r="Z79" s="375"/>
      <c r="AC79" s="2"/>
      <c r="AD79" s="20"/>
      <c r="AE79" s="254"/>
      <c r="AF79" s="376"/>
      <c r="AG79" s="254">
        <f t="shared" si="7"/>
        <v>0</v>
      </c>
      <c r="AH79" s="377"/>
      <c r="AI79" s="375"/>
    </row>
    <row r="80" spans="2:35" x14ac:dyDescent="0.25">
      <c r="B80" s="2"/>
      <c r="C80" s="20"/>
      <c r="D80" s="254"/>
      <c r="E80" s="376"/>
      <c r="F80" s="254">
        <f t="shared" si="4"/>
        <v>0</v>
      </c>
      <c r="G80" s="377"/>
      <c r="H80" s="375"/>
      <c r="K80" s="2"/>
      <c r="L80" s="20"/>
      <c r="M80" s="528"/>
      <c r="N80" s="539"/>
      <c r="O80" s="528">
        <f t="shared" si="5"/>
        <v>0</v>
      </c>
      <c r="P80" s="540"/>
      <c r="Q80" s="541"/>
      <c r="T80" s="2"/>
      <c r="U80" s="20"/>
      <c r="V80" s="254"/>
      <c r="W80" s="376"/>
      <c r="X80" s="254">
        <f t="shared" si="6"/>
        <v>0</v>
      </c>
      <c r="Y80" s="377"/>
      <c r="Z80" s="375"/>
      <c r="AC80" s="2"/>
      <c r="AD80" s="20"/>
      <c r="AE80" s="254"/>
      <c r="AF80" s="376"/>
      <c r="AG80" s="254">
        <f t="shared" si="7"/>
        <v>0</v>
      </c>
      <c r="AH80" s="377"/>
      <c r="AI80" s="375"/>
    </row>
    <row r="81" spans="1:35" x14ac:dyDescent="0.25">
      <c r="B81" s="2"/>
      <c r="C81" s="20"/>
      <c r="D81" s="254"/>
      <c r="E81" s="376"/>
      <c r="F81" s="254">
        <f t="shared" si="4"/>
        <v>0</v>
      </c>
      <c r="G81" s="377"/>
      <c r="H81" s="375"/>
      <c r="K81" s="2"/>
      <c r="L81" s="20"/>
      <c r="M81" s="528"/>
      <c r="N81" s="539"/>
      <c r="O81" s="528">
        <f t="shared" si="5"/>
        <v>0</v>
      </c>
      <c r="P81" s="540"/>
      <c r="Q81" s="541"/>
      <c r="T81" s="2"/>
      <c r="U81" s="20"/>
      <c r="V81" s="254"/>
      <c r="W81" s="376"/>
      <c r="X81" s="254">
        <f t="shared" si="6"/>
        <v>0</v>
      </c>
      <c r="Y81" s="377"/>
      <c r="Z81" s="375"/>
      <c r="AC81" s="2"/>
      <c r="AD81" s="20"/>
      <c r="AE81" s="254"/>
      <c r="AF81" s="376"/>
      <c r="AG81" s="254">
        <f t="shared" si="7"/>
        <v>0</v>
      </c>
      <c r="AH81" s="377"/>
      <c r="AI81" s="375"/>
    </row>
    <row r="82" spans="1:35" x14ac:dyDescent="0.25">
      <c r="B82" s="2"/>
      <c r="C82" s="20"/>
      <c r="D82" s="254"/>
      <c r="E82" s="376"/>
      <c r="F82" s="254">
        <f t="shared" si="4"/>
        <v>0</v>
      </c>
      <c r="G82" s="377"/>
      <c r="H82" s="375"/>
      <c r="K82" s="2"/>
      <c r="L82" s="20"/>
      <c r="M82" s="528"/>
      <c r="N82" s="539"/>
      <c r="O82" s="528">
        <f t="shared" si="5"/>
        <v>0</v>
      </c>
      <c r="P82" s="540"/>
      <c r="Q82" s="541"/>
      <c r="T82" s="2"/>
      <c r="U82" s="20"/>
      <c r="V82" s="254"/>
      <c r="W82" s="376"/>
      <c r="X82" s="254">
        <f t="shared" si="6"/>
        <v>0</v>
      </c>
      <c r="Y82" s="377"/>
      <c r="Z82" s="375"/>
      <c r="AC82" s="2"/>
      <c r="AD82" s="20"/>
      <c r="AE82" s="254"/>
      <c r="AF82" s="376"/>
      <c r="AG82" s="254">
        <f t="shared" si="7"/>
        <v>0</v>
      </c>
      <c r="AH82" s="377"/>
      <c r="AI82" s="375"/>
    </row>
    <row r="83" spans="1:35" x14ac:dyDescent="0.25">
      <c r="B83" s="2"/>
      <c r="C83" s="20"/>
      <c r="D83" s="254"/>
      <c r="E83" s="376"/>
      <c r="F83" s="254">
        <f t="shared" si="4"/>
        <v>0</v>
      </c>
      <c r="G83" s="377"/>
      <c r="H83" s="375"/>
      <c r="K83" s="2"/>
      <c r="L83" s="20"/>
      <c r="M83" s="528"/>
      <c r="N83" s="539"/>
      <c r="O83" s="528">
        <f t="shared" si="5"/>
        <v>0</v>
      </c>
      <c r="P83" s="540"/>
      <c r="Q83" s="541"/>
      <c r="T83" s="2"/>
      <c r="U83" s="20"/>
      <c r="V83" s="254"/>
      <c r="W83" s="376"/>
      <c r="X83" s="254">
        <f t="shared" si="6"/>
        <v>0</v>
      </c>
      <c r="Y83" s="377"/>
      <c r="Z83" s="375"/>
      <c r="AC83" s="2"/>
      <c r="AD83" s="20"/>
      <c r="AE83" s="254"/>
      <c r="AF83" s="376"/>
      <c r="AG83" s="254">
        <f t="shared" si="7"/>
        <v>0</v>
      </c>
      <c r="AH83" s="377"/>
      <c r="AI83" s="375"/>
    </row>
    <row r="84" spans="1:35" x14ac:dyDescent="0.25">
      <c r="B84" s="2"/>
      <c r="C84" s="20"/>
      <c r="D84" s="254"/>
      <c r="E84" s="376"/>
      <c r="F84" s="254">
        <f t="shared" si="4"/>
        <v>0</v>
      </c>
      <c r="G84" s="377"/>
      <c r="H84" s="375"/>
      <c r="K84" s="2"/>
      <c r="L84" s="20"/>
      <c r="M84" s="528"/>
      <c r="N84" s="539"/>
      <c r="O84" s="528">
        <f t="shared" si="5"/>
        <v>0</v>
      </c>
      <c r="P84" s="540"/>
      <c r="Q84" s="541"/>
      <c r="T84" s="2"/>
      <c r="U84" s="20"/>
      <c r="V84" s="254"/>
      <c r="W84" s="376"/>
      <c r="X84" s="254">
        <f t="shared" si="6"/>
        <v>0</v>
      </c>
      <c r="Y84" s="377"/>
      <c r="Z84" s="375"/>
      <c r="AC84" s="2"/>
      <c r="AD84" s="20"/>
      <c r="AE84" s="254"/>
      <c r="AF84" s="376"/>
      <c r="AG84" s="254">
        <f t="shared" si="7"/>
        <v>0</v>
      </c>
      <c r="AH84" s="377"/>
      <c r="AI84" s="375"/>
    </row>
    <row r="85" spans="1:35" x14ac:dyDescent="0.25">
      <c r="B85" s="2"/>
      <c r="C85" s="20"/>
      <c r="D85" s="254"/>
      <c r="E85" s="376"/>
      <c r="F85" s="254">
        <f t="shared" si="4"/>
        <v>0</v>
      </c>
      <c r="G85" s="377"/>
      <c r="H85" s="375"/>
      <c r="K85" s="2"/>
      <c r="L85" s="20"/>
      <c r="M85" s="528"/>
      <c r="N85" s="539"/>
      <c r="O85" s="528">
        <f t="shared" si="5"/>
        <v>0</v>
      </c>
      <c r="P85" s="540"/>
      <c r="Q85" s="541"/>
      <c r="T85" s="2"/>
      <c r="U85" s="20"/>
      <c r="V85" s="254"/>
      <c r="W85" s="376"/>
      <c r="X85" s="254">
        <f t="shared" si="6"/>
        <v>0</v>
      </c>
      <c r="Y85" s="377"/>
      <c r="Z85" s="375"/>
      <c r="AC85" s="2"/>
      <c r="AD85" s="20"/>
      <c r="AE85" s="254"/>
      <c r="AF85" s="376"/>
      <c r="AG85" s="254">
        <f t="shared" si="7"/>
        <v>0</v>
      </c>
      <c r="AH85" s="377"/>
      <c r="AI85" s="375"/>
    </row>
    <row r="86" spans="1:35" x14ac:dyDescent="0.25">
      <c r="B86" s="2"/>
      <c r="C86" s="20"/>
      <c r="D86" s="254"/>
      <c r="E86" s="376"/>
      <c r="F86" s="254">
        <f t="shared" si="4"/>
        <v>0</v>
      </c>
      <c r="G86" s="377"/>
      <c r="H86" s="375"/>
      <c r="K86" s="2"/>
      <c r="L86" s="20"/>
      <c r="M86" s="528"/>
      <c r="N86" s="539"/>
      <c r="O86" s="528">
        <f t="shared" si="5"/>
        <v>0</v>
      </c>
      <c r="P86" s="540"/>
      <c r="Q86" s="541"/>
      <c r="T86" s="2"/>
      <c r="U86" s="20"/>
      <c r="V86" s="254"/>
      <c r="W86" s="376"/>
      <c r="X86" s="254">
        <f t="shared" si="6"/>
        <v>0</v>
      </c>
      <c r="Y86" s="377"/>
      <c r="Z86" s="375"/>
      <c r="AC86" s="2"/>
      <c r="AD86" s="20"/>
      <c r="AE86" s="254"/>
      <c r="AF86" s="376"/>
      <c r="AG86" s="254">
        <f t="shared" si="7"/>
        <v>0</v>
      </c>
      <c r="AH86" s="377"/>
      <c r="AI86" s="375"/>
    </row>
    <row r="87" spans="1:35" x14ac:dyDescent="0.25">
      <c r="B87" s="2"/>
      <c r="C87" s="20"/>
      <c r="D87" s="254"/>
      <c r="E87" s="376"/>
      <c r="F87" s="254">
        <f t="shared" si="4"/>
        <v>0</v>
      </c>
      <c r="G87" s="377"/>
      <c r="H87" s="375"/>
      <c r="K87" s="2"/>
      <c r="L87" s="20"/>
      <c r="M87" s="528"/>
      <c r="N87" s="539"/>
      <c r="O87" s="528">
        <f t="shared" si="5"/>
        <v>0</v>
      </c>
      <c r="P87" s="540"/>
      <c r="Q87" s="541"/>
      <c r="T87" s="2"/>
      <c r="U87" s="20"/>
      <c r="V87" s="254"/>
      <c r="W87" s="376"/>
      <c r="X87" s="254">
        <f t="shared" si="6"/>
        <v>0</v>
      </c>
      <c r="Y87" s="377"/>
      <c r="Z87" s="375"/>
      <c r="AC87" s="2"/>
      <c r="AD87" s="20"/>
      <c r="AE87" s="254"/>
      <c r="AF87" s="376"/>
      <c r="AG87" s="254">
        <f t="shared" si="7"/>
        <v>0</v>
      </c>
      <c r="AH87" s="377"/>
      <c r="AI87" s="375"/>
    </row>
    <row r="88" spans="1:35" x14ac:dyDescent="0.25">
      <c r="B88" s="2"/>
      <c r="C88" s="20"/>
      <c r="D88" s="254"/>
      <c r="E88" s="376"/>
      <c r="F88" s="254">
        <f t="shared" si="4"/>
        <v>0</v>
      </c>
      <c r="G88" s="377"/>
      <c r="H88" s="375"/>
      <c r="K88" s="2"/>
      <c r="L88" s="20"/>
      <c r="M88" s="528"/>
      <c r="N88" s="539"/>
      <c r="O88" s="528">
        <f t="shared" si="5"/>
        <v>0</v>
      </c>
      <c r="P88" s="540"/>
      <c r="Q88" s="541"/>
      <c r="T88" s="2"/>
      <c r="U88" s="20"/>
      <c r="V88" s="254"/>
      <c r="W88" s="376"/>
      <c r="X88" s="254">
        <f t="shared" si="6"/>
        <v>0</v>
      </c>
      <c r="Y88" s="377"/>
      <c r="Z88" s="375"/>
      <c r="AC88" s="2"/>
      <c r="AD88" s="20"/>
      <c r="AE88" s="254"/>
      <c r="AF88" s="376"/>
      <c r="AG88" s="254">
        <f t="shared" si="7"/>
        <v>0</v>
      </c>
      <c r="AH88" s="377"/>
      <c r="AI88" s="375"/>
    </row>
    <row r="89" spans="1:35" x14ac:dyDescent="0.25">
      <c r="B89" s="2"/>
      <c r="C89" s="20"/>
      <c r="D89" s="254"/>
      <c r="E89" s="376"/>
      <c r="F89" s="254">
        <f t="shared" si="4"/>
        <v>0</v>
      </c>
      <c r="G89" s="377"/>
      <c r="H89" s="375"/>
      <c r="K89" s="2"/>
      <c r="L89" s="20"/>
      <c r="M89" s="254"/>
      <c r="N89" s="376"/>
      <c r="O89" s="254">
        <f t="shared" si="5"/>
        <v>0</v>
      </c>
      <c r="P89" s="377"/>
      <c r="Q89" s="375"/>
      <c r="T89" s="2"/>
      <c r="U89" s="20"/>
      <c r="V89" s="254"/>
      <c r="W89" s="376"/>
      <c r="X89" s="254">
        <f t="shared" si="6"/>
        <v>0</v>
      </c>
      <c r="Y89" s="377"/>
      <c r="Z89" s="375"/>
      <c r="AC89" s="2"/>
      <c r="AD89" s="20"/>
      <c r="AE89" s="254"/>
      <c r="AF89" s="376"/>
      <c r="AG89" s="254">
        <f t="shared" si="7"/>
        <v>0</v>
      </c>
      <c r="AH89" s="377"/>
      <c r="AI89" s="375"/>
    </row>
    <row r="90" spans="1:35" x14ac:dyDescent="0.25">
      <c r="B90" s="2"/>
      <c r="C90" s="20"/>
      <c r="D90" s="254"/>
      <c r="E90" s="376"/>
      <c r="F90" s="254">
        <f t="shared" si="4"/>
        <v>0</v>
      </c>
      <c r="G90" s="377"/>
      <c r="H90" s="375"/>
      <c r="K90" s="2"/>
      <c r="L90" s="20"/>
      <c r="M90" s="254"/>
      <c r="N90" s="376"/>
      <c r="O90" s="254">
        <f t="shared" si="5"/>
        <v>0</v>
      </c>
      <c r="P90" s="377"/>
      <c r="Q90" s="375"/>
      <c r="T90" s="2"/>
      <c r="U90" s="20"/>
      <c r="V90" s="254"/>
      <c r="W90" s="376"/>
      <c r="X90" s="254">
        <f t="shared" si="6"/>
        <v>0</v>
      </c>
      <c r="Y90" s="377"/>
      <c r="Z90" s="375"/>
      <c r="AC90" s="2"/>
      <c r="AD90" s="20"/>
      <c r="AE90" s="254"/>
      <c r="AF90" s="376"/>
      <c r="AG90" s="254">
        <f t="shared" si="7"/>
        <v>0</v>
      </c>
      <c r="AH90" s="377"/>
      <c r="AI90" s="375"/>
    </row>
    <row r="91" spans="1:35" x14ac:dyDescent="0.25">
      <c r="B91" s="2"/>
      <c r="C91" s="20"/>
      <c r="D91" s="254"/>
      <c r="E91" s="376"/>
      <c r="F91" s="254">
        <f t="shared" si="4"/>
        <v>0</v>
      </c>
      <c r="G91" s="377"/>
      <c r="H91" s="375"/>
      <c r="K91" s="2"/>
      <c r="L91" s="20"/>
      <c r="M91" s="254"/>
      <c r="N91" s="376"/>
      <c r="O91" s="254">
        <f t="shared" si="5"/>
        <v>0</v>
      </c>
      <c r="P91" s="377"/>
      <c r="Q91" s="375"/>
      <c r="T91" s="2"/>
      <c r="U91" s="20"/>
      <c r="V91" s="254"/>
      <c r="W91" s="376"/>
      <c r="X91" s="254">
        <f t="shared" si="6"/>
        <v>0</v>
      </c>
      <c r="Y91" s="377"/>
      <c r="Z91" s="375"/>
      <c r="AC91" s="2"/>
      <c r="AD91" s="20"/>
      <c r="AE91" s="254"/>
      <c r="AF91" s="376"/>
      <c r="AG91" s="254">
        <f t="shared" si="7"/>
        <v>0</v>
      </c>
      <c r="AH91" s="377"/>
      <c r="AI91" s="375"/>
    </row>
    <row r="92" spans="1:35" x14ac:dyDescent="0.25">
      <c r="B92" s="2"/>
      <c r="C92" s="20"/>
      <c r="D92" s="254"/>
      <c r="E92" s="376"/>
      <c r="F92" s="254">
        <f t="shared" si="4"/>
        <v>0</v>
      </c>
      <c r="G92" s="377"/>
      <c r="H92" s="375"/>
      <c r="K92" s="2"/>
      <c r="L92" s="20"/>
      <c r="M92" s="254"/>
      <c r="N92" s="376"/>
      <c r="O92" s="254">
        <f t="shared" si="5"/>
        <v>0</v>
      </c>
      <c r="P92" s="377"/>
      <c r="Q92" s="375"/>
      <c r="T92" s="2"/>
      <c r="U92" s="20"/>
      <c r="V92" s="254"/>
      <c r="W92" s="376"/>
      <c r="X92" s="254">
        <f t="shared" si="6"/>
        <v>0</v>
      </c>
      <c r="Y92" s="377"/>
      <c r="Z92" s="375"/>
      <c r="AC92" s="2"/>
      <c r="AD92" s="20"/>
      <c r="AE92" s="254"/>
      <c r="AF92" s="376"/>
      <c r="AG92" s="254">
        <f t="shared" si="7"/>
        <v>0</v>
      </c>
      <c r="AH92" s="377"/>
      <c r="AI92" s="375"/>
    </row>
    <row r="93" spans="1:35" x14ac:dyDescent="0.25">
      <c r="B93" s="2"/>
      <c r="C93" s="20"/>
      <c r="D93" s="254"/>
      <c r="E93" s="376"/>
      <c r="F93" s="254">
        <f t="shared" si="4"/>
        <v>0</v>
      </c>
      <c r="G93" s="377"/>
      <c r="H93" s="375"/>
      <c r="K93" s="2"/>
      <c r="L93" s="20"/>
      <c r="M93" s="254"/>
      <c r="N93" s="376"/>
      <c r="O93" s="254">
        <f t="shared" si="5"/>
        <v>0</v>
      </c>
      <c r="P93" s="377"/>
      <c r="Q93" s="375"/>
      <c r="T93" s="2"/>
      <c r="U93" s="20"/>
      <c r="V93" s="254"/>
      <c r="W93" s="376"/>
      <c r="X93" s="254">
        <f t="shared" si="6"/>
        <v>0</v>
      </c>
      <c r="Y93" s="377"/>
      <c r="Z93" s="375"/>
      <c r="AC93" s="2"/>
      <c r="AD93" s="20"/>
      <c r="AE93" s="254"/>
      <c r="AF93" s="376"/>
      <c r="AG93" s="254">
        <f t="shared" si="7"/>
        <v>0</v>
      </c>
      <c r="AH93" s="377"/>
      <c r="AI93" s="375"/>
    </row>
    <row r="94" spans="1:35" ht="15.75" thickBot="1" x14ac:dyDescent="0.3">
      <c r="A94" s="245"/>
      <c r="B94" s="2"/>
      <c r="C94" s="20"/>
      <c r="D94" s="254"/>
      <c r="E94" s="376"/>
      <c r="F94" s="254">
        <f t="shared" si="4"/>
        <v>0</v>
      </c>
      <c r="G94" s="377"/>
      <c r="H94" s="375"/>
      <c r="J94" s="245"/>
      <c r="K94" s="2"/>
      <c r="L94" s="20"/>
      <c r="M94" s="254"/>
      <c r="N94" s="376"/>
      <c r="O94" s="254">
        <f t="shared" si="5"/>
        <v>0</v>
      </c>
      <c r="P94" s="377"/>
      <c r="Q94" s="375"/>
      <c r="S94" s="245"/>
      <c r="T94" s="2"/>
      <c r="U94" s="20"/>
      <c r="V94" s="254"/>
      <c r="W94" s="376"/>
      <c r="X94" s="254">
        <f t="shared" si="6"/>
        <v>0</v>
      </c>
      <c r="Y94" s="377"/>
      <c r="Z94" s="375"/>
      <c r="AB94" s="245"/>
      <c r="AC94" s="2"/>
      <c r="AD94" s="20"/>
      <c r="AE94" s="254"/>
      <c r="AF94" s="376"/>
      <c r="AG94" s="254">
        <f t="shared" si="7"/>
        <v>0</v>
      </c>
      <c r="AH94" s="377"/>
      <c r="AI94" s="375"/>
    </row>
    <row r="95" spans="1:35" ht="16.5" thickTop="1" thickBot="1" x14ac:dyDescent="0.3">
      <c r="B95" s="3"/>
      <c r="C95" s="47"/>
      <c r="D95" s="378"/>
      <c r="E95" s="379"/>
      <c r="F95" s="378">
        <f t="shared" si="4"/>
        <v>0</v>
      </c>
      <c r="G95" s="475"/>
      <c r="H95" s="476"/>
      <c r="K95" s="3"/>
      <c r="L95" s="47"/>
      <c r="M95" s="378"/>
      <c r="N95" s="379"/>
      <c r="O95" s="378">
        <f t="shared" si="5"/>
        <v>0</v>
      </c>
      <c r="P95" s="475"/>
      <c r="Q95" s="476"/>
      <c r="T95" s="3"/>
      <c r="U95" s="47"/>
      <c r="V95" s="378"/>
      <c r="W95" s="379"/>
      <c r="X95" s="378">
        <f t="shared" si="6"/>
        <v>0</v>
      </c>
      <c r="Y95" s="475"/>
      <c r="Z95" s="476"/>
      <c r="AC95" s="3"/>
      <c r="AD95" s="47"/>
      <c r="AE95" s="378"/>
      <c r="AF95" s="379"/>
      <c r="AG95" s="378">
        <f t="shared" si="7"/>
        <v>0</v>
      </c>
      <c r="AH95" s="475"/>
      <c r="AI95" s="476"/>
    </row>
    <row r="96" spans="1:35" x14ac:dyDescent="0.25">
      <c r="C96" s="82">
        <f>SUM(C8:C95)</f>
        <v>265</v>
      </c>
      <c r="D96" s="425">
        <f>SUM(D9:D95)</f>
        <v>4165.03</v>
      </c>
      <c r="E96" s="426"/>
      <c r="F96" s="425">
        <f>SUM(F8:F95)</f>
        <v>5013.0100000000011</v>
      </c>
      <c r="G96" s="426"/>
      <c r="H96" s="426"/>
      <c r="L96" s="82">
        <f>SUM(L8:L95)</f>
        <v>364</v>
      </c>
      <c r="M96" s="425">
        <f>SUM(M9:M95)</f>
        <v>6402.0600000000013</v>
      </c>
      <c r="N96" s="426"/>
      <c r="O96" s="425">
        <f>SUM(O8:O95)</f>
        <v>7233.18</v>
      </c>
      <c r="P96" s="426"/>
      <c r="Q96" s="426"/>
      <c r="U96" s="82">
        <f>SUM(U8:U95)</f>
        <v>105</v>
      </c>
      <c r="V96" s="425">
        <f>SUM(V9:V95)</f>
        <v>2070.3000000000002</v>
      </c>
      <c r="W96" s="426"/>
      <c r="X96" s="425">
        <f>SUM(X8:X95)</f>
        <v>2288.38</v>
      </c>
      <c r="Y96" s="426"/>
      <c r="Z96" s="426"/>
      <c r="AD96" s="82">
        <f>SUM(AD8:AD95)</f>
        <v>0</v>
      </c>
      <c r="AE96" s="425">
        <f>SUM(AE9:AE95)</f>
        <v>0</v>
      </c>
      <c r="AF96" s="426"/>
      <c r="AG96" s="425">
        <f>SUM(AG8:AG95)</f>
        <v>0</v>
      </c>
      <c r="AH96" s="426"/>
      <c r="AI96" s="426"/>
    </row>
    <row r="97" spans="2:32" x14ac:dyDescent="0.25">
      <c r="C97" s="214"/>
      <c r="L97" s="214"/>
      <c r="U97" s="214"/>
      <c r="AD97" s="214"/>
    </row>
    <row r="98" spans="2:32" ht="15.75" thickBot="1" x14ac:dyDescent="0.3">
      <c r="B98" s="170"/>
      <c r="K98" s="170"/>
      <c r="T98" s="170"/>
      <c r="AC98" s="170"/>
    </row>
    <row r="99" spans="2:32" ht="15.75" thickBot="1" x14ac:dyDescent="0.3">
      <c r="B99" s="178"/>
      <c r="D99" s="61" t="s">
        <v>4</v>
      </c>
      <c r="E99" s="93">
        <f>F4+F5+F6-C96</f>
        <v>2</v>
      </c>
      <c r="K99" s="178"/>
      <c r="M99" s="61" t="s">
        <v>4</v>
      </c>
      <c r="N99" s="93">
        <f>O5-L96+O4+O6</f>
        <v>2</v>
      </c>
      <c r="T99" s="178"/>
      <c r="V99" s="61" t="s">
        <v>4</v>
      </c>
      <c r="W99" s="93">
        <f>X5-U96+X4+X6</f>
        <v>429</v>
      </c>
      <c r="AC99" s="178"/>
      <c r="AE99" s="61" t="s">
        <v>4</v>
      </c>
      <c r="AF99" s="93">
        <f>AG5-AD96+AG4+AG6</f>
        <v>569</v>
      </c>
    </row>
    <row r="100" spans="2:32" ht="15.75" thickBot="1" x14ac:dyDescent="0.3">
      <c r="B100" s="258"/>
      <c r="K100" s="258"/>
      <c r="T100" s="258"/>
      <c r="AC100" s="258"/>
    </row>
    <row r="101" spans="2:32" ht="15.75" thickBot="1" x14ac:dyDescent="0.3">
      <c r="B101" s="178"/>
      <c r="C101" s="757" t="s">
        <v>11</v>
      </c>
      <c r="D101" s="758"/>
      <c r="E101" s="95">
        <f>E5-F96+E4+E6</f>
        <v>15.989999999998982</v>
      </c>
      <c r="K101" s="178"/>
      <c r="L101" s="757" t="s">
        <v>11</v>
      </c>
      <c r="M101" s="758"/>
      <c r="N101" s="95">
        <f>N5-O96+N4+N6</f>
        <v>76.760000000000218</v>
      </c>
      <c r="T101" s="178"/>
      <c r="U101" s="757" t="s">
        <v>11</v>
      </c>
      <c r="V101" s="758"/>
      <c r="W101" s="95">
        <f>W5-X96+W4+W6</f>
        <v>9529.8499999999985</v>
      </c>
      <c r="AC101" s="178"/>
      <c r="AD101" s="757" t="s">
        <v>11</v>
      </c>
      <c r="AE101" s="758"/>
      <c r="AF101" s="95">
        <f>AF5-AG96+AF4+AF6</f>
        <v>12017.77</v>
      </c>
    </row>
  </sheetData>
  <mergeCells count="8">
    <mergeCell ref="S1:Y1"/>
    <mergeCell ref="U101:V101"/>
    <mergeCell ref="AB1:AH1"/>
    <mergeCell ref="AD101:AE101"/>
    <mergeCell ref="A1:G1"/>
    <mergeCell ref="C101:D101"/>
    <mergeCell ref="J1:P1"/>
    <mergeCell ref="L101:M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pane ySplit="7" topLeftCell="A23" activePane="bottomLeft" state="frozen"/>
      <selection pane="bottomLeft" activeCell="C34" sqref="C3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0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761" t="s">
        <v>426</v>
      </c>
      <c r="B1" s="761"/>
      <c r="C1" s="761"/>
      <c r="D1" s="761"/>
      <c r="E1" s="761"/>
      <c r="F1" s="761"/>
      <c r="G1" s="761"/>
      <c r="H1" s="188">
        <v>1</v>
      </c>
      <c r="J1" s="766" t="s">
        <v>423</v>
      </c>
      <c r="K1" s="766"/>
      <c r="L1" s="766"/>
      <c r="M1" s="766"/>
      <c r="N1" s="766"/>
      <c r="O1" s="766"/>
      <c r="P1" s="766"/>
      <c r="Q1" s="188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18" t="s">
        <v>2</v>
      </c>
      <c r="E3" s="12" t="s">
        <v>3</v>
      </c>
      <c r="F3" s="22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18" t="s">
        <v>2</v>
      </c>
      <c r="N3" s="12" t="s">
        <v>3</v>
      </c>
      <c r="O3" s="222" t="s">
        <v>4</v>
      </c>
      <c r="P3" s="69" t="s">
        <v>12</v>
      </c>
      <c r="Q3" s="46" t="s">
        <v>11</v>
      </c>
    </row>
    <row r="4" spans="1:17" ht="17.25" thickTop="1" thickBot="1" x14ac:dyDescent="0.3">
      <c r="A4" s="133"/>
      <c r="B4" s="321" t="s">
        <v>262</v>
      </c>
      <c r="C4" s="24"/>
      <c r="D4" s="64"/>
      <c r="E4" s="104">
        <v>2060.1</v>
      </c>
      <c r="F4" s="320">
        <v>189</v>
      </c>
      <c r="G4" s="16"/>
      <c r="H4" s="16"/>
      <c r="J4" s="133"/>
      <c r="K4" s="321"/>
      <c r="L4" s="24"/>
      <c r="M4" s="64"/>
      <c r="N4" s="104"/>
      <c r="O4" s="320"/>
      <c r="P4" s="16"/>
      <c r="Q4" s="16"/>
    </row>
    <row r="5" spans="1:17" ht="15" customHeight="1" x14ac:dyDescent="0.25">
      <c r="A5" s="411" t="s">
        <v>43</v>
      </c>
      <c r="B5" s="762" t="s">
        <v>90</v>
      </c>
      <c r="C5" s="75"/>
      <c r="D5" s="234">
        <v>42214</v>
      </c>
      <c r="E5" s="587">
        <v>5682.61</v>
      </c>
      <c r="F5" s="320">
        <v>522</v>
      </c>
      <c r="G5" s="329">
        <f>F92</f>
        <v>7488.2999999999993</v>
      </c>
      <c r="H5" s="99">
        <f>E4+E5+E6-G5</f>
        <v>3117.49</v>
      </c>
      <c r="J5" s="411" t="s">
        <v>43</v>
      </c>
      <c r="K5" s="762" t="s">
        <v>90</v>
      </c>
      <c r="L5" s="670" t="s">
        <v>497</v>
      </c>
      <c r="M5" s="234">
        <v>42301</v>
      </c>
      <c r="N5" s="587">
        <v>10614.24</v>
      </c>
      <c r="O5" s="320">
        <v>975</v>
      </c>
      <c r="P5" s="329">
        <f>O92</f>
        <v>0</v>
      </c>
      <c r="Q5" s="99">
        <f>N4+N5+N6-P5</f>
        <v>10614.24</v>
      </c>
    </row>
    <row r="6" spans="1:17" ht="16.5" thickBot="1" x14ac:dyDescent="0.3">
      <c r="A6" s="16"/>
      <c r="B6" s="763"/>
      <c r="C6" s="16"/>
      <c r="D6" s="64"/>
      <c r="E6" s="321">
        <v>2863.08</v>
      </c>
      <c r="F6" s="588">
        <v>263</v>
      </c>
      <c r="G6" s="16"/>
      <c r="J6" s="16"/>
      <c r="K6" s="763"/>
      <c r="L6" s="16"/>
      <c r="M6" s="64"/>
      <c r="N6" s="321"/>
      <c r="O6" s="588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19" t="s">
        <v>3</v>
      </c>
      <c r="E7" s="28" t="s">
        <v>2</v>
      </c>
      <c r="F7" s="224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19" t="s">
        <v>3</v>
      </c>
      <c r="N7" s="28" t="s">
        <v>2</v>
      </c>
      <c r="O7" s="224" t="s">
        <v>9</v>
      </c>
      <c r="P7" s="29" t="s">
        <v>15</v>
      </c>
      <c r="Q7" s="37"/>
    </row>
    <row r="8" spans="1:17" ht="15.75" thickTop="1" x14ac:dyDescent="0.25">
      <c r="A8" s="2"/>
      <c r="B8" s="394">
        <v>10.9</v>
      </c>
      <c r="C8" s="20">
        <v>220</v>
      </c>
      <c r="D8" s="542">
        <f>C8*B8</f>
        <v>2398</v>
      </c>
      <c r="E8" s="529">
        <v>42233</v>
      </c>
      <c r="F8" s="528">
        <f t="shared" ref="F8:F50" si="0">D8</f>
        <v>2398</v>
      </c>
      <c r="G8" s="530" t="s">
        <v>309</v>
      </c>
      <c r="H8" s="230">
        <v>700</v>
      </c>
      <c r="J8" s="2"/>
      <c r="K8" s="394">
        <v>10.9</v>
      </c>
      <c r="L8" s="20"/>
      <c r="M8" s="392">
        <f>L8*K8</f>
        <v>0</v>
      </c>
      <c r="N8" s="167"/>
      <c r="O8" s="114">
        <f t="shared" ref="O8:O71" si="1">M8</f>
        <v>0</v>
      </c>
      <c r="P8" s="115"/>
      <c r="Q8" s="116"/>
    </row>
    <row r="9" spans="1:17" x14ac:dyDescent="0.25">
      <c r="A9" s="2"/>
      <c r="B9" s="394">
        <v>10.9</v>
      </c>
      <c r="C9" s="20">
        <v>7</v>
      </c>
      <c r="D9" s="542">
        <f t="shared" ref="D9:D50" si="2">C9*B9</f>
        <v>76.3</v>
      </c>
      <c r="E9" s="544">
        <v>42236</v>
      </c>
      <c r="F9" s="528">
        <f t="shared" si="0"/>
        <v>76.3</v>
      </c>
      <c r="G9" s="530" t="s">
        <v>315</v>
      </c>
      <c r="H9" s="230">
        <v>700</v>
      </c>
      <c r="J9" s="2"/>
      <c r="K9" s="394">
        <v>10.9</v>
      </c>
      <c r="L9" s="20"/>
      <c r="M9" s="392">
        <f t="shared" ref="M9:M50" si="3">L9*K9</f>
        <v>0</v>
      </c>
      <c r="N9" s="180"/>
      <c r="O9" s="114">
        <f t="shared" si="1"/>
        <v>0</v>
      </c>
      <c r="P9" s="115"/>
      <c r="Q9" s="116"/>
    </row>
    <row r="10" spans="1:17" x14ac:dyDescent="0.25">
      <c r="A10" s="2"/>
      <c r="B10" s="394">
        <v>10.9</v>
      </c>
      <c r="C10" s="20">
        <v>60</v>
      </c>
      <c r="D10" s="542">
        <f t="shared" si="2"/>
        <v>654</v>
      </c>
      <c r="E10" s="531">
        <v>42236</v>
      </c>
      <c r="F10" s="528">
        <f t="shared" si="0"/>
        <v>654</v>
      </c>
      <c r="G10" s="530" t="s">
        <v>317</v>
      </c>
      <c r="H10" s="230">
        <v>700</v>
      </c>
      <c r="J10" s="2"/>
      <c r="K10" s="394">
        <v>10.9</v>
      </c>
      <c r="L10" s="20"/>
      <c r="M10" s="392">
        <f t="shared" si="3"/>
        <v>0</v>
      </c>
      <c r="N10" s="233"/>
      <c r="O10" s="114">
        <f t="shared" si="1"/>
        <v>0</v>
      </c>
      <c r="P10" s="115"/>
      <c r="Q10" s="116"/>
    </row>
    <row r="11" spans="1:17" x14ac:dyDescent="0.25">
      <c r="A11" s="2"/>
      <c r="B11" s="394">
        <v>10.9</v>
      </c>
      <c r="C11" s="20">
        <v>64</v>
      </c>
      <c r="D11" s="542">
        <f t="shared" si="2"/>
        <v>697.6</v>
      </c>
      <c r="E11" s="544">
        <v>42244</v>
      </c>
      <c r="F11" s="528">
        <f t="shared" si="0"/>
        <v>697.6</v>
      </c>
      <c r="G11" s="530" t="s">
        <v>331</v>
      </c>
      <c r="H11" s="230">
        <v>700</v>
      </c>
      <c r="J11" s="2"/>
      <c r="K11" s="394">
        <v>10.9</v>
      </c>
      <c r="L11" s="20"/>
      <c r="M11" s="392">
        <f t="shared" si="3"/>
        <v>0</v>
      </c>
      <c r="N11" s="180"/>
      <c r="O11" s="114">
        <f t="shared" si="1"/>
        <v>0</v>
      </c>
      <c r="P11" s="115"/>
      <c r="Q11" s="116"/>
    </row>
    <row r="12" spans="1:17" x14ac:dyDescent="0.25">
      <c r="A12" s="157" t="s">
        <v>33</v>
      </c>
      <c r="B12" s="394">
        <v>10.9</v>
      </c>
      <c r="C12" s="20">
        <v>10</v>
      </c>
      <c r="D12" s="542">
        <f t="shared" si="2"/>
        <v>109</v>
      </c>
      <c r="E12" s="544">
        <v>42245</v>
      </c>
      <c r="F12" s="528">
        <f t="shared" si="0"/>
        <v>109</v>
      </c>
      <c r="G12" s="530" t="s">
        <v>334</v>
      </c>
      <c r="H12" s="230">
        <v>700</v>
      </c>
      <c r="J12" s="157" t="s">
        <v>33</v>
      </c>
      <c r="K12" s="394">
        <v>10.9</v>
      </c>
      <c r="L12" s="20"/>
      <c r="M12" s="392">
        <f t="shared" si="3"/>
        <v>0</v>
      </c>
      <c r="N12" s="180"/>
      <c r="O12" s="114">
        <f t="shared" si="1"/>
        <v>0</v>
      </c>
      <c r="P12" s="115"/>
      <c r="Q12" s="116"/>
    </row>
    <row r="13" spans="1:17" x14ac:dyDescent="0.25">
      <c r="A13" s="158"/>
      <c r="B13" s="394">
        <v>10.9</v>
      </c>
      <c r="C13" s="20">
        <v>64</v>
      </c>
      <c r="D13" s="542">
        <f t="shared" si="2"/>
        <v>697.6</v>
      </c>
      <c r="E13" s="531">
        <v>42245</v>
      </c>
      <c r="F13" s="528">
        <f t="shared" si="0"/>
        <v>697.6</v>
      </c>
      <c r="G13" s="530" t="s">
        <v>335</v>
      </c>
      <c r="H13" s="230">
        <v>700</v>
      </c>
      <c r="J13" s="158"/>
      <c r="K13" s="394">
        <v>10.9</v>
      </c>
      <c r="L13" s="20"/>
      <c r="M13" s="392">
        <f t="shared" si="3"/>
        <v>0</v>
      </c>
      <c r="N13" s="233"/>
      <c r="O13" s="114">
        <f t="shared" si="1"/>
        <v>0</v>
      </c>
      <c r="P13" s="115"/>
      <c r="Q13" s="116"/>
    </row>
    <row r="14" spans="1:17" x14ac:dyDescent="0.25">
      <c r="A14" s="164"/>
      <c r="B14" s="394">
        <v>10.9</v>
      </c>
      <c r="C14" s="20">
        <v>66</v>
      </c>
      <c r="D14" s="646">
        <f t="shared" si="2"/>
        <v>719.4</v>
      </c>
      <c r="E14" s="638">
        <v>42257</v>
      </c>
      <c r="F14" s="629">
        <f t="shared" si="0"/>
        <v>719.4</v>
      </c>
      <c r="G14" s="632" t="s">
        <v>387</v>
      </c>
      <c r="H14" s="261">
        <v>700</v>
      </c>
      <c r="J14" s="164"/>
      <c r="K14" s="394">
        <v>10.9</v>
      </c>
      <c r="L14" s="20"/>
      <c r="M14" s="392">
        <f t="shared" si="3"/>
        <v>0</v>
      </c>
      <c r="N14" s="233"/>
      <c r="O14" s="114">
        <f t="shared" si="1"/>
        <v>0</v>
      </c>
      <c r="P14" s="115"/>
      <c r="Q14" s="116"/>
    </row>
    <row r="15" spans="1:17" x14ac:dyDescent="0.25">
      <c r="A15" s="159" t="s">
        <v>34</v>
      </c>
      <c r="B15" s="394">
        <v>10.9</v>
      </c>
      <c r="C15" s="20">
        <v>64</v>
      </c>
      <c r="D15" s="646">
        <f t="shared" si="2"/>
        <v>697.6</v>
      </c>
      <c r="E15" s="638">
        <v>42259</v>
      </c>
      <c r="F15" s="629">
        <f t="shared" si="0"/>
        <v>697.6</v>
      </c>
      <c r="G15" s="632" t="s">
        <v>394</v>
      </c>
      <c r="H15" s="261">
        <v>700</v>
      </c>
      <c r="J15" s="159" t="s">
        <v>34</v>
      </c>
      <c r="K15" s="394">
        <v>10.9</v>
      </c>
      <c r="L15" s="20"/>
      <c r="M15" s="392">
        <f t="shared" si="3"/>
        <v>0</v>
      </c>
      <c r="N15" s="233"/>
      <c r="O15" s="114">
        <f t="shared" si="1"/>
        <v>0</v>
      </c>
      <c r="P15" s="115"/>
      <c r="Q15" s="116"/>
    </row>
    <row r="16" spans="1:17" x14ac:dyDescent="0.25">
      <c r="A16" s="158"/>
      <c r="B16" s="394">
        <v>10.9</v>
      </c>
      <c r="C16" s="20">
        <v>10</v>
      </c>
      <c r="D16" s="646">
        <f t="shared" si="2"/>
        <v>109</v>
      </c>
      <c r="E16" s="635">
        <v>42261</v>
      </c>
      <c r="F16" s="629">
        <f t="shared" si="0"/>
        <v>109</v>
      </c>
      <c r="G16" s="632" t="s">
        <v>399</v>
      </c>
      <c r="H16" s="261">
        <v>700</v>
      </c>
      <c r="J16" s="158"/>
      <c r="K16" s="394">
        <v>10.9</v>
      </c>
      <c r="L16" s="20"/>
      <c r="M16" s="392">
        <f t="shared" si="3"/>
        <v>0</v>
      </c>
      <c r="N16" s="180"/>
      <c r="O16" s="114">
        <f t="shared" si="1"/>
        <v>0</v>
      </c>
      <c r="P16" s="115"/>
      <c r="Q16" s="116"/>
    </row>
    <row r="17" spans="1:17" x14ac:dyDescent="0.25">
      <c r="A17" s="164"/>
      <c r="B17" s="394">
        <v>10.9</v>
      </c>
      <c r="C17" s="20">
        <v>64</v>
      </c>
      <c r="D17" s="646">
        <f t="shared" si="2"/>
        <v>697.6</v>
      </c>
      <c r="E17" s="635">
        <v>42271</v>
      </c>
      <c r="F17" s="629">
        <f t="shared" si="0"/>
        <v>697.6</v>
      </c>
      <c r="G17" s="647" t="s">
        <v>412</v>
      </c>
      <c r="H17" s="261">
        <v>700</v>
      </c>
      <c r="J17" s="164"/>
      <c r="K17" s="394">
        <v>10.9</v>
      </c>
      <c r="L17" s="20"/>
      <c r="M17" s="392">
        <f t="shared" si="3"/>
        <v>0</v>
      </c>
      <c r="N17" s="180"/>
      <c r="O17" s="114">
        <f t="shared" si="1"/>
        <v>0</v>
      </c>
      <c r="P17" s="669"/>
      <c r="Q17" s="116"/>
    </row>
    <row r="18" spans="1:17" x14ac:dyDescent="0.25">
      <c r="A18" s="2"/>
      <c r="B18" s="394">
        <v>10.9</v>
      </c>
      <c r="C18" s="20">
        <v>5</v>
      </c>
      <c r="D18" s="646">
        <f t="shared" si="2"/>
        <v>54.5</v>
      </c>
      <c r="E18" s="635">
        <v>42271</v>
      </c>
      <c r="F18" s="629">
        <f t="shared" si="0"/>
        <v>54.5</v>
      </c>
      <c r="G18" s="632" t="s">
        <v>413</v>
      </c>
      <c r="H18" s="261">
        <v>700</v>
      </c>
      <c r="J18" s="2"/>
      <c r="K18" s="394">
        <v>10.9</v>
      </c>
      <c r="L18" s="20"/>
      <c r="M18" s="392">
        <f t="shared" si="3"/>
        <v>0</v>
      </c>
      <c r="N18" s="180"/>
      <c r="O18" s="114">
        <f t="shared" si="1"/>
        <v>0</v>
      </c>
      <c r="P18" s="115"/>
      <c r="Q18" s="116"/>
    </row>
    <row r="19" spans="1:17" x14ac:dyDescent="0.25">
      <c r="A19" s="2"/>
      <c r="B19" s="394">
        <v>10.9</v>
      </c>
      <c r="C19" s="20">
        <v>8</v>
      </c>
      <c r="D19" s="646">
        <f t="shared" si="2"/>
        <v>87.2</v>
      </c>
      <c r="E19" s="635">
        <v>42276</v>
      </c>
      <c r="F19" s="629">
        <f t="shared" si="0"/>
        <v>87.2</v>
      </c>
      <c r="G19" s="632" t="s">
        <v>420</v>
      </c>
      <c r="H19" s="261">
        <v>700</v>
      </c>
      <c r="J19" s="2"/>
      <c r="K19" s="394">
        <v>10.9</v>
      </c>
      <c r="L19" s="20"/>
      <c r="M19" s="392">
        <f t="shared" si="3"/>
        <v>0</v>
      </c>
      <c r="N19" s="180"/>
      <c r="O19" s="114">
        <f t="shared" si="1"/>
        <v>0</v>
      </c>
      <c r="P19" s="115"/>
      <c r="Q19" s="116"/>
    </row>
    <row r="20" spans="1:17" x14ac:dyDescent="0.25">
      <c r="A20" s="2"/>
      <c r="B20" s="394">
        <v>10.9</v>
      </c>
      <c r="C20" s="20">
        <v>64</v>
      </c>
      <c r="D20" s="422">
        <f t="shared" si="2"/>
        <v>697.6</v>
      </c>
      <c r="E20" s="372">
        <v>42279</v>
      </c>
      <c r="F20" s="100">
        <f t="shared" si="0"/>
        <v>697.6</v>
      </c>
      <c r="G20" s="111" t="s">
        <v>633</v>
      </c>
      <c r="H20" s="101">
        <v>700</v>
      </c>
      <c r="J20" s="2"/>
      <c r="K20" s="394">
        <v>10.9</v>
      </c>
      <c r="L20" s="20"/>
      <c r="M20" s="392">
        <f t="shared" si="3"/>
        <v>0</v>
      </c>
      <c r="N20" s="233"/>
      <c r="O20" s="114">
        <f t="shared" si="1"/>
        <v>0</v>
      </c>
      <c r="P20" s="115"/>
      <c r="Q20" s="116"/>
    </row>
    <row r="21" spans="1:17" x14ac:dyDescent="0.25">
      <c r="A21" s="2"/>
      <c r="B21" s="394">
        <v>10.9</v>
      </c>
      <c r="C21" s="20">
        <v>10</v>
      </c>
      <c r="D21" s="422">
        <f t="shared" si="2"/>
        <v>109</v>
      </c>
      <c r="E21" s="372">
        <v>42279</v>
      </c>
      <c r="F21" s="100">
        <f t="shared" si="0"/>
        <v>109</v>
      </c>
      <c r="G21" s="111" t="s">
        <v>634</v>
      </c>
      <c r="H21" s="101">
        <v>700</v>
      </c>
      <c r="J21" s="2"/>
      <c r="K21" s="394">
        <v>10.9</v>
      </c>
      <c r="L21" s="20"/>
      <c r="M21" s="392">
        <f t="shared" si="3"/>
        <v>0</v>
      </c>
      <c r="N21" s="233"/>
      <c r="O21" s="114">
        <f t="shared" si="1"/>
        <v>0</v>
      </c>
      <c r="P21" s="115"/>
      <c r="Q21" s="116"/>
    </row>
    <row r="22" spans="1:17" x14ac:dyDescent="0.25">
      <c r="A22" s="2"/>
      <c r="B22" s="394">
        <v>10.9</v>
      </c>
      <c r="C22" s="20">
        <v>5</v>
      </c>
      <c r="D22" s="422">
        <f t="shared" si="2"/>
        <v>54.5</v>
      </c>
      <c r="E22" s="372">
        <v>42282</v>
      </c>
      <c r="F22" s="100">
        <f t="shared" si="0"/>
        <v>54.5</v>
      </c>
      <c r="G22" s="111" t="s">
        <v>646</v>
      </c>
      <c r="H22" s="101">
        <v>780</v>
      </c>
      <c r="J22" s="2"/>
      <c r="K22" s="394">
        <v>10.9</v>
      </c>
      <c r="L22" s="20"/>
      <c r="M22" s="392">
        <f t="shared" si="3"/>
        <v>0</v>
      </c>
      <c r="N22" s="233"/>
      <c r="O22" s="114">
        <f t="shared" si="1"/>
        <v>0</v>
      </c>
      <c r="P22" s="115"/>
      <c r="Q22" s="116"/>
    </row>
    <row r="23" spans="1:17" x14ac:dyDescent="0.25">
      <c r="A23" s="2"/>
      <c r="B23" s="394">
        <v>10.9</v>
      </c>
      <c r="C23" s="20">
        <v>60</v>
      </c>
      <c r="D23" s="422">
        <f t="shared" si="2"/>
        <v>654</v>
      </c>
      <c r="E23" s="421">
        <v>42286</v>
      </c>
      <c r="F23" s="100">
        <f t="shared" si="0"/>
        <v>654</v>
      </c>
      <c r="G23" s="111" t="s">
        <v>669</v>
      </c>
      <c r="H23" s="101">
        <v>780</v>
      </c>
      <c r="J23" s="2"/>
      <c r="K23" s="394">
        <v>10.9</v>
      </c>
      <c r="L23" s="20"/>
      <c r="M23" s="392">
        <f t="shared" si="3"/>
        <v>0</v>
      </c>
      <c r="N23" s="180"/>
      <c r="O23" s="114">
        <f t="shared" si="1"/>
        <v>0</v>
      </c>
      <c r="P23" s="115"/>
      <c r="Q23" s="116"/>
    </row>
    <row r="24" spans="1:17" x14ac:dyDescent="0.25">
      <c r="A24" s="2"/>
      <c r="B24" s="394">
        <v>10.9</v>
      </c>
      <c r="C24" s="20">
        <v>10</v>
      </c>
      <c r="D24" s="422">
        <f t="shared" si="2"/>
        <v>109</v>
      </c>
      <c r="E24" s="421">
        <v>42289</v>
      </c>
      <c r="F24" s="100">
        <f t="shared" si="0"/>
        <v>109</v>
      </c>
      <c r="G24" s="111" t="s">
        <v>680</v>
      </c>
      <c r="H24" s="101">
        <v>780</v>
      </c>
      <c r="J24" s="2"/>
      <c r="K24" s="394">
        <v>10.9</v>
      </c>
      <c r="L24" s="20"/>
      <c r="M24" s="392">
        <f t="shared" si="3"/>
        <v>0</v>
      </c>
      <c r="N24" s="180"/>
      <c r="O24" s="114">
        <f t="shared" si="1"/>
        <v>0</v>
      </c>
      <c r="P24" s="115"/>
      <c r="Q24" s="116"/>
    </row>
    <row r="25" spans="1:17" x14ac:dyDescent="0.25">
      <c r="A25" s="2"/>
      <c r="B25" s="394">
        <v>10.9</v>
      </c>
      <c r="C25" s="20">
        <v>30</v>
      </c>
      <c r="D25" s="422">
        <f t="shared" si="2"/>
        <v>327</v>
      </c>
      <c r="E25" s="421">
        <v>42293</v>
      </c>
      <c r="F25" s="100">
        <f t="shared" si="0"/>
        <v>327</v>
      </c>
      <c r="G25" s="111" t="s">
        <v>709</v>
      </c>
      <c r="H25" s="101">
        <v>780</v>
      </c>
      <c r="J25" s="2"/>
      <c r="K25" s="394">
        <v>10.9</v>
      </c>
      <c r="L25" s="20"/>
      <c r="M25" s="392">
        <f t="shared" si="3"/>
        <v>0</v>
      </c>
      <c r="N25" s="180"/>
      <c r="O25" s="114">
        <f t="shared" si="1"/>
        <v>0</v>
      </c>
      <c r="P25" s="115"/>
      <c r="Q25" s="116"/>
    </row>
    <row r="26" spans="1:17" x14ac:dyDescent="0.25">
      <c r="A26" s="2"/>
      <c r="B26" s="394">
        <v>10.9</v>
      </c>
      <c r="C26" s="20">
        <v>5</v>
      </c>
      <c r="D26" s="422">
        <f t="shared" si="2"/>
        <v>54.5</v>
      </c>
      <c r="E26" s="421">
        <v>42293</v>
      </c>
      <c r="F26" s="100">
        <f t="shared" si="0"/>
        <v>54.5</v>
      </c>
      <c r="G26" s="111" t="s">
        <v>711</v>
      </c>
      <c r="H26" s="101">
        <v>780</v>
      </c>
      <c r="J26" s="2"/>
      <c r="K26" s="394">
        <v>10.9</v>
      </c>
      <c r="L26" s="20"/>
      <c r="M26" s="392">
        <f t="shared" si="3"/>
        <v>0</v>
      </c>
      <c r="N26" s="180"/>
      <c r="O26" s="114">
        <f t="shared" si="1"/>
        <v>0</v>
      </c>
      <c r="P26" s="115"/>
      <c r="Q26" s="116"/>
    </row>
    <row r="27" spans="1:17" x14ac:dyDescent="0.25">
      <c r="A27" s="2"/>
      <c r="B27" s="394">
        <v>10.9</v>
      </c>
      <c r="C27" s="20">
        <v>10</v>
      </c>
      <c r="D27" s="422">
        <f t="shared" si="2"/>
        <v>109</v>
      </c>
      <c r="E27" s="372">
        <v>42294</v>
      </c>
      <c r="F27" s="100">
        <f t="shared" si="0"/>
        <v>109</v>
      </c>
      <c r="G27" s="111" t="s">
        <v>717</v>
      </c>
      <c r="H27" s="101">
        <v>780</v>
      </c>
      <c r="J27" s="2"/>
      <c r="K27" s="394">
        <v>10.9</v>
      </c>
      <c r="L27" s="20"/>
      <c r="M27" s="392">
        <f t="shared" si="3"/>
        <v>0</v>
      </c>
      <c r="N27" s="233"/>
      <c r="O27" s="114">
        <f t="shared" si="1"/>
        <v>0</v>
      </c>
      <c r="P27" s="115"/>
      <c r="Q27" s="116"/>
    </row>
    <row r="28" spans="1:17" x14ac:dyDescent="0.25">
      <c r="A28" s="2"/>
      <c r="B28" s="394">
        <v>10.9</v>
      </c>
      <c r="C28" s="20">
        <v>10</v>
      </c>
      <c r="D28" s="422">
        <f t="shared" si="2"/>
        <v>109</v>
      </c>
      <c r="E28" s="372">
        <v>42294</v>
      </c>
      <c r="F28" s="100">
        <f t="shared" si="0"/>
        <v>109</v>
      </c>
      <c r="G28" s="111" t="s">
        <v>718</v>
      </c>
      <c r="H28" s="101">
        <v>780</v>
      </c>
      <c r="J28" s="2"/>
      <c r="K28" s="394">
        <v>10.9</v>
      </c>
      <c r="L28" s="20"/>
      <c r="M28" s="392">
        <f t="shared" si="3"/>
        <v>0</v>
      </c>
      <c r="N28" s="233"/>
      <c r="O28" s="114">
        <f t="shared" si="1"/>
        <v>0</v>
      </c>
      <c r="P28" s="115"/>
      <c r="Q28" s="116"/>
    </row>
    <row r="29" spans="1:17" x14ac:dyDescent="0.25">
      <c r="A29" s="2"/>
      <c r="B29" s="394">
        <v>10.9</v>
      </c>
      <c r="C29" s="20">
        <v>1</v>
      </c>
      <c r="D29" s="422">
        <f t="shared" si="2"/>
        <v>10.9</v>
      </c>
      <c r="E29" s="372">
        <v>42298</v>
      </c>
      <c r="F29" s="100">
        <f t="shared" si="0"/>
        <v>10.9</v>
      </c>
      <c r="G29" s="111" t="s">
        <v>732</v>
      </c>
      <c r="H29" s="101">
        <v>780</v>
      </c>
      <c r="J29" s="2"/>
      <c r="K29" s="394">
        <v>10.9</v>
      </c>
      <c r="L29" s="20"/>
      <c r="M29" s="392">
        <f t="shared" si="3"/>
        <v>0</v>
      </c>
      <c r="N29" s="233"/>
      <c r="O29" s="114">
        <f t="shared" si="1"/>
        <v>0</v>
      </c>
      <c r="P29" s="115"/>
      <c r="Q29" s="116"/>
    </row>
    <row r="30" spans="1:17" x14ac:dyDescent="0.25">
      <c r="A30" s="2"/>
      <c r="B30" s="394">
        <v>10.9</v>
      </c>
      <c r="C30" s="20">
        <v>1</v>
      </c>
      <c r="D30" s="422">
        <f t="shared" si="2"/>
        <v>10.9</v>
      </c>
      <c r="E30" s="372">
        <v>42298</v>
      </c>
      <c r="F30" s="100">
        <f t="shared" si="0"/>
        <v>10.9</v>
      </c>
      <c r="G30" s="111" t="s">
        <v>732</v>
      </c>
      <c r="H30" s="101">
        <v>780</v>
      </c>
      <c r="J30" s="2"/>
      <c r="K30" s="394">
        <v>10.9</v>
      </c>
      <c r="L30" s="20"/>
      <c r="M30" s="392">
        <f t="shared" si="3"/>
        <v>0</v>
      </c>
      <c r="N30" s="233"/>
      <c r="O30" s="114">
        <f t="shared" si="1"/>
        <v>0</v>
      </c>
      <c r="P30" s="115"/>
      <c r="Q30" s="116"/>
    </row>
    <row r="31" spans="1:17" x14ac:dyDescent="0.25">
      <c r="A31" s="2"/>
      <c r="B31" s="394">
        <v>10.9</v>
      </c>
      <c r="C31" s="20">
        <v>46</v>
      </c>
      <c r="D31" s="422">
        <f t="shared" si="2"/>
        <v>501.40000000000003</v>
      </c>
      <c r="E31" s="372">
        <v>42298</v>
      </c>
      <c r="F31" s="100">
        <f t="shared" si="0"/>
        <v>501.40000000000003</v>
      </c>
      <c r="G31" s="111" t="s">
        <v>732</v>
      </c>
      <c r="H31" s="101">
        <v>780</v>
      </c>
      <c r="J31" s="2"/>
      <c r="K31" s="394">
        <v>10.9</v>
      </c>
      <c r="L31" s="20"/>
      <c r="M31" s="392">
        <f t="shared" si="3"/>
        <v>0</v>
      </c>
      <c r="N31" s="233"/>
      <c r="O31" s="114">
        <f t="shared" si="1"/>
        <v>0</v>
      </c>
      <c r="P31" s="115"/>
      <c r="Q31" s="116"/>
    </row>
    <row r="32" spans="1:17" x14ac:dyDescent="0.25">
      <c r="A32" s="2"/>
      <c r="B32" s="394">
        <v>10.9</v>
      </c>
      <c r="C32" s="20">
        <v>10</v>
      </c>
      <c r="D32" s="422">
        <f t="shared" si="2"/>
        <v>109</v>
      </c>
      <c r="E32" s="372">
        <v>42300</v>
      </c>
      <c r="F32" s="100">
        <f t="shared" si="0"/>
        <v>109</v>
      </c>
      <c r="G32" s="111" t="s">
        <v>747</v>
      </c>
      <c r="H32" s="101">
        <v>780</v>
      </c>
      <c r="J32" s="2"/>
      <c r="K32" s="394">
        <v>10.9</v>
      </c>
      <c r="L32" s="20"/>
      <c r="M32" s="392">
        <f t="shared" si="3"/>
        <v>0</v>
      </c>
      <c r="N32" s="233"/>
      <c r="O32" s="114">
        <f t="shared" si="1"/>
        <v>0</v>
      </c>
      <c r="P32" s="115"/>
      <c r="Q32" s="116"/>
    </row>
    <row r="33" spans="1:17" x14ac:dyDescent="0.25">
      <c r="A33" s="2"/>
      <c r="B33" s="394">
        <v>10.9</v>
      </c>
      <c r="C33" s="20">
        <v>10</v>
      </c>
      <c r="D33" s="422">
        <f t="shared" si="2"/>
        <v>109</v>
      </c>
      <c r="E33" s="372">
        <v>42306</v>
      </c>
      <c r="F33" s="100">
        <f t="shared" si="0"/>
        <v>109</v>
      </c>
      <c r="G33" s="111" t="s">
        <v>776</v>
      </c>
      <c r="H33" s="101">
        <v>780</v>
      </c>
      <c r="J33" s="2"/>
      <c r="K33" s="394">
        <v>10.9</v>
      </c>
      <c r="L33" s="20"/>
      <c r="M33" s="392">
        <f t="shared" si="3"/>
        <v>0</v>
      </c>
      <c r="N33" s="233"/>
      <c r="O33" s="114">
        <f t="shared" si="1"/>
        <v>0</v>
      </c>
      <c r="P33" s="115"/>
      <c r="Q33" s="116"/>
    </row>
    <row r="34" spans="1:17" x14ac:dyDescent="0.25">
      <c r="A34" s="2"/>
      <c r="B34" s="394">
        <v>10.9</v>
      </c>
      <c r="C34" s="20"/>
      <c r="D34" s="422">
        <f t="shared" si="2"/>
        <v>0</v>
      </c>
      <c r="E34" s="185"/>
      <c r="F34" s="100">
        <f t="shared" si="0"/>
        <v>0</v>
      </c>
      <c r="G34" s="111"/>
      <c r="H34" s="101"/>
      <c r="J34" s="2"/>
      <c r="K34" s="394">
        <v>10.9</v>
      </c>
      <c r="L34" s="20"/>
      <c r="M34" s="392">
        <f t="shared" si="3"/>
        <v>0</v>
      </c>
      <c r="N34" s="167"/>
      <c r="O34" s="114">
        <f t="shared" si="1"/>
        <v>0</v>
      </c>
      <c r="P34" s="115"/>
      <c r="Q34" s="116"/>
    </row>
    <row r="35" spans="1:17" x14ac:dyDescent="0.25">
      <c r="A35" s="2"/>
      <c r="B35" s="394">
        <v>10.9</v>
      </c>
      <c r="C35" s="20"/>
      <c r="D35" s="422">
        <f t="shared" si="2"/>
        <v>0</v>
      </c>
      <c r="E35" s="185"/>
      <c r="F35" s="100">
        <f t="shared" si="0"/>
        <v>0</v>
      </c>
      <c r="G35" s="111"/>
      <c r="H35" s="101"/>
      <c r="J35" s="2"/>
      <c r="K35" s="394">
        <v>10.9</v>
      </c>
      <c r="L35" s="20"/>
      <c r="M35" s="392">
        <f t="shared" si="3"/>
        <v>0</v>
      </c>
      <c r="N35" s="167"/>
      <c r="O35" s="114">
        <f t="shared" si="1"/>
        <v>0</v>
      </c>
      <c r="P35" s="115"/>
      <c r="Q35" s="116"/>
    </row>
    <row r="36" spans="1:17" x14ac:dyDescent="0.25">
      <c r="A36" s="2"/>
      <c r="B36" s="394">
        <v>10.9</v>
      </c>
      <c r="C36" s="20"/>
      <c r="D36" s="422">
        <f t="shared" si="2"/>
        <v>0</v>
      </c>
      <c r="E36" s="185"/>
      <c r="F36" s="100">
        <f t="shared" si="0"/>
        <v>0</v>
      </c>
      <c r="G36" s="111"/>
      <c r="H36" s="101"/>
      <c r="J36" s="2"/>
      <c r="K36" s="394">
        <v>10.9</v>
      </c>
      <c r="L36" s="20"/>
      <c r="M36" s="392">
        <f t="shared" si="3"/>
        <v>0</v>
      </c>
      <c r="N36" s="167"/>
      <c r="O36" s="114">
        <f t="shared" si="1"/>
        <v>0</v>
      </c>
      <c r="P36" s="115"/>
      <c r="Q36" s="116"/>
    </row>
    <row r="37" spans="1:17" x14ac:dyDescent="0.25">
      <c r="A37" s="2"/>
      <c r="B37" s="394">
        <v>10.9</v>
      </c>
      <c r="C37" s="20"/>
      <c r="D37" s="422">
        <f t="shared" si="2"/>
        <v>0</v>
      </c>
      <c r="E37" s="185"/>
      <c r="F37" s="100">
        <f t="shared" si="0"/>
        <v>0</v>
      </c>
      <c r="G37" s="111"/>
      <c r="H37" s="101"/>
      <c r="J37" s="2"/>
      <c r="K37" s="394">
        <v>10.9</v>
      </c>
      <c r="L37" s="20"/>
      <c r="M37" s="392">
        <f t="shared" si="3"/>
        <v>0</v>
      </c>
      <c r="N37" s="167"/>
      <c r="O37" s="114">
        <f t="shared" si="1"/>
        <v>0</v>
      </c>
      <c r="P37" s="115"/>
      <c r="Q37" s="116"/>
    </row>
    <row r="38" spans="1:17" x14ac:dyDescent="0.25">
      <c r="A38" s="2"/>
      <c r="B38" s="394">
        <v>10.9</v>
      </c>
      <c r="C38" s="20"/>
      <c r="D38" s="422">
        <f t="shared" si="2"/>
        <v>0</v>
      </c>
      <c r="E38" s="185"/>
      <c r="F38" s="100">
        <f t="shared" si="0"/>
        <v>0</v>
      </c>
      <c r="G38" s="111"/>
      <c r="H38" s="101"/>
      <c r="J38" s="2"/>
      <c r="K38" s="394">
        <v>10.9</v>
      </c>
      <c r="L38" s="20"/>
      <c r="M38" s="392">
        <f t="shared" si="3"/>
        <v>0</v>
      </c>
      <c r="N38" s="167"/>
      <c r="O38" s="114">
        <f t="shared" si="1"/>
        <v>0</v>
      </c>
      <c r="P38" s="115"/>
      <c r="Q38" s="116"/>
    </row>
    <row r="39" spans="1:17" x14ac:dyDescent="0.25">
      <c r="A39" s="2"/>
      <c r="B39" s="394">
        <v>10.9</v>
      </c>
      <c r="C39" s="20"/>
      <c r="D39" s="422">
        <f t="shared" si="2"/>
        <v>0</v>
      </c>
      <c r="E39" s="185"/>
      <c r="F39" s="100">
        <f t="shared" si="0"/>
        <v>0</v>
      </c>
      <c r="G39" s="111"/>
      <c r="H39" s="101"/>
      <c r="J39" s="2"/>
      <c r="K39" s="394">
        <v>10.9</v>
      </c>
      <c r="L39" s="20"/>
      <c r="M39" s="392">
        <f t="shared" si="3"/>
        <v>0</v>
      </c>
      <c r="N39" s="167"/>
      <c r="O39" s="114">
        <f t="shared" si="1"/>
        <v>0</v>
      </c>
      <c r="P39" s="115"/>
      <c r="Q39" s="116"/>
    </row>
    <row r="40" spans="1:17" x14ac:dyDescent="0.25">
      <c r="A40" s="2"/>
      <c r="B40" s="394">
        <v>10.9</v>
      </c>
      <c r="C40" s="20"/>
      <c r="D40" s="422">
        <f t="shared" si="2"/>
        <v>0</v>
      </c>
      <c r="E40" s="185"/>
      <c r="F40" s="100">
        <f t="shared" si="0"/>
        <v>0</v>
      </c>
      <c r="G40" s="111"/>
      <c r="H40" s="101"/>
      <c r="J40" s="2"/>
      <c r="K40" s="394">
        <v>10.9</v>
      </c>
      <c r="L40" s="20"/>
      <c r="M40" s="392">
        <f t="shared" si="3"/>
        <v>0</v>
      </c>
      <c r="N40" s="167"/>
      <c r="O40" s="114">
        <f t="shared" si="1"/>
        <v>0</v>
      </c>
      <c r="P40" s="115"/>
      <c r="Q40" s="116"/>
    </row>
    <row r="41" spans="1:17" x14ac:dyDescent="0.25">
      <c r="A41" s="2"/>
      <c r="B41" s="394">
        <v>10.9</v>
      </c>
      <c r="C41" s="20"/>
      <c r="D41" s="422">
        <f t="shared" si="2"/>
        <v>0</v>
      </c>
      <c r="E41" s="185"/>
      <c r="F41" s="100">
        <f t="shared" si="0"/>
        <v>0</v>
      </c>
      <c r="G41" s="111"/>
      <c r="H41" s="101"/>
      <c r="J41" s="2"/>
      <c r="K41" s="394">
        <v>10.9</v>
      </c>
      <c r="L41" s="20"/>
      <c r="M41" s="392">
        <f t="shared" si="3"/>
        <v>0</v>
      </c>
      <c r="N41" s="167"/>
      <c r="O41" s="114">
        <f t="shared" si="1"/>
        <v>0</v>
      </c>
      <c r="P41" s="115"/>
      <c r="Q41" s="116"/>
    </row>
    <row r="42" spans="1:17" x14ac:dyDescent="0.25">
      <c r="A42" s="2"/>
      <c r="B42" s="394">
        <v>10.9</v>
      </c>
      <c r="C42" s="20"/>
      <c r="D42" s="422">
        <f t="shared" si="2"/>
        <v>0</v>
      </c>
      <c r="E42" s="185"/>
      <c r="F42" s="100">
        <f t="shared" si="0"/>
        <v>0</v>
      </c>
      <c r="G42" s="111"/>
      <c r="H42" s="101"/>
      <c r="J42" s="2"/>
      <c r="K42" s="394">
        <v>10.9</v>
      </c>
      <c r="L42" s="20"/>
      <c r="M42" s="392">
        <f t="shared" si="3"/>
        <v>0</v>
      </c>
      <c r="N42" s="167"/>
      <c r="O42" s="114">
        <f t="shared" si="1"/>
        <v>0</v>
      </c>
      <c r="P42" s="115"/>
      <c r="Q42" s="116"/>
    </row>
    <row r="43" spans="1:17" x14ac:dyDescent="0.25">
      <c r="A43" s="2"/>
      <c r="B43" s="394">
        <v>10.9</v>
      </c>
      <c r="C43" s="20"/>
      <c r="D43" s="422">
        <f t="shared" si="2"/>
        <v>0</v>
      </c>
      <c r="E43" s="185"/>
      <c r="F43" s="100">
        <f t="shared" si="0"/>
        <v>0</v>
      </c>
      <c r="G43" s="111"/>
      <c r="H43" s="101"/>
      <c r="J43" s="2"/>
      <c r="K43" s="394">
        <v>10.9</v>
      </c>
      <c r="L43" s="20"/>
      <c r="M43" s="392">
        <f t="shared" si="3"/>
        <v>0</v>
      </c>
      <c r="N43" s="167"/>
      <c r="O43" s="114">
        <f t="shared" si="1"/>
        <v>0</v>
      </c>
      <c r="P43" s="115"/>
      <c r="Q43" s="116"/>
    </row>
    <row r="44" spans="1:17" x14ac:dyDescent="0.25">
      <c r="A44" s="2"/>
      <c r="B44" s="394">
        <v>10.9</v>
      </c>
      <c r="C44" s="20"/>
      <c r="D44" s="422">
        <f t="shared" si="2"/>
        <v>0</v>
      </c>
      <c r="E44" s="185"/>
      <c r="F44" s="100">
        <f t="shared" si="0"/>
        <v>0</v>
      </c>
      <c r="G44" s="111"/>
      <c r="H44" s="101"/>
      <c r="J44" s="2"/>
      <c r="K44" s="394">
        <v>10.9</v>
      </c>
      <c r="L44" s="20"/>
      <c r="M44" s="392">
        <f t="shared" si="3"/>
        <v>0</v>
      </c>
      <c r="N44" s="167"/>
      <c r="O44" s="114">
        <f t="shared" si="1"/>
        <v>0</v>
      </c>
      <c r="P44" s="115"/>
      <c r="Q44" s="116"/>
    </row>
    <row r="45" spans="1:17" x14ac:dyDescent="0.25">
      <c r="A45" s="2"/>
      <c r="B45" s="394">
        <v>10.9</v>
      </c>
      <c r="C45" s="20"/>
      <c r="D45" s="422">
        <f t="shared" si="2"/>
        <v>0</v>
      </c>
      <c r="E45" s="185"/>
      <c r="F45" s="100">
        <f t="shared" si="0"/>
        <v>0</v>
      </c>
      <c r="G45" s="111"/>
      <c r="H45" s="101"/>
      <c r="J45" s="2"/>
      <c r="K45" s="394">
        <v>10.9</v>
      </c>
      <c r="L45" s="20"/>
      <c r="M45" s="392">
        <f t="shared" si="3"/>
        <v>0</v>
      </c>
      <c r="N45" s="167"/>
      <c r="O45" s="114">
        <f t="shared" si="1"/>
        <v>0</v>
      </c>
      <c r="P45" s="115"/>
      <c r="Q45" s="116"/>
    </row>
    <row r="46" spans="1:17" x14ac:dyDescent="0.25">
      <c r="A46" s="2"/>
      <c r="B46" s="394">
        <v>10.9</v>
      </c>
      <c r="C46" s="20"/>
      <c r="D46" s="422">
        <f t="shared" si="2"/>
        <v>0</v>
      </c>
      <c r="E46" s="185"/>
      <c r="F46" s="100">
        <f t="shared" si="0"/>
        <v>0</v>
      </c>
      <c r="G46" s="111"/>
      <c r="H46" s="101"/>
      <c r="J46" s="2"/>
      <c r="K46" s="394">
        <v>10.9</v>
      </c>
      <c r="L46" s="20"/>
      <c r="M46" s="392">
        <f t="shared" si="3"/>
        <v>0</v>
      </c>
      <c r="N46" s="167"/>
      <c r="O46" s="114">
        <f t="shared" si="1"/>
        <v>0</v>
      </c>
      <c r="P46" s="115"/>
      <c r="Q46" s="116"/>
    </row>
    <row r="47" spans="1:17" x14ac:dyDescent="0.25">
      <c r="A47" s="2"/>
      <c r="B47" s="394">
        <v>10.9</v>
      </c>
      <c r="C47" s="20"/>
      <c r="D47" s="422">
        <f t="shared" si="2"/>
        <v>0</v>
      </c>
      <c r="E47" s="185"/>
      <c r="F47" s="100">
        <f t="shared" si="0"/>
        <v>0</v>
      </c>
      <c r="G47" s="111"/>
      <c r="H47" s="101"/>
      <c r="J47" s="2"/>
      <c r="K47" s="394">
        <v>10.9</v>
      </c>
      <c r="L47" s="20"/>
      <c r="M47" s="392">
        <f t="shared" si="3"/>
        <v>0</v>
      </c>
      <c r="N47" s="167"/>
      <c r="O47" s="114">
        <f t="shared" si="1"/>
        <v>0</v>
      </c>
      <c r="P47" s="115"/>
      <c r="Q47" s="116"/>
    </row>
    <row r="48" spans="1:17" x14ac:dyDescent="0.25">
      <c r="A48" s="2"/>
      <c r="B48" s="394">
        <v>10.9</v>
      </c>
      <c r="C48" s="20"/>
      <c r="D48" s="422">
        <f t="shared" si="2"/>
        <v>0</v>
      </c>
      <c r="E48" s="185"/>
      <c r="F48" s="100">
        <f t="shared" si="0"/>
        <v>0</v>
      </c>
      <c r="G48" s="111"/>
      <c r="H48" s="101"/>
      <c r="J48" s="2"/>
      <c r="K48" s="394">
        <v>10.9</v>
      </c>
      <c r="L48" s="20"/>
      <c r="M48" s="392">
        <f t="shared" si="3"/>
        <v>0</v>
      </c>
      <c r="N48" s="167"/>
      <c r="O48" s="114">
        <f t="shared" si="1"/>
        <v>0</v>
      </c>
      <c r="P48" s="115"/>
      <c r="Q48" s="116"/>
    </row>
    <row r="49" spans="1:17" x14ac:dyDescent="0.25">
      <c r="A49" s="2"/>
      <c r="B49" s="394">
        <v>10.9</v>
      </c>
      <c r="C49" s="20"/>
      <c r="D49" s="422">
        <f t="shared" si="2"/>
        <v>0</v>
      </c>
      <c r="E49" s="185"/>
      <c r="F49" s="100">
        <f t="shared" si="0"/>
        <v>0</v>
      </c>
      <c r="G49" s="111"/>
      <c r="H49" s="101"/>
      <c r="J49" s="2"/>
      <c r="K49" s="394">
        <v>10.9</v>
      </c>
      <c r="L49" s="20"/>
      <c r="M49" s="392">
        <f t="shared" si="3"/>
        <v>0</v>
      </c>
      <c r="N49" s="167"/>
      <c r="O49" s="114">
        <f t="shared" si="1"/>
        <v>0</v>
      </c>
      <c r="P49" s="115"/>
      <c r="Q49" s="116"/>
    </row>
    <row r="50" spans="1:17" x14ac:dyDescent="0.25">
      <c r="A50" s="2"/>
      <c r="B50" s="394">
        <v>10.9</v>
      </c>
      <c r="C50" s="20"/>
      <c r="D50" s="422">
        <f t="shared" si="2"/>
        <v>0</v>
      </c>
      <c r="E50" s="185"/>
      <c r="F50" s="100">
        <f t="shared" si="0"/>
        <v>0</v>
      </c>
      <c r="G50" s="111"/>
      <c r="H50" s="101"/>
      <c r="J50" s="2"/>
      <c r="K50" s="394">
        <v>10.9</v>
      </c>
      <c r="L50" s="20"/>
      <c r="M50" s="392">
        <f t="shared" si="3"/>
        <v>0</v>
      </c>
      <c r="N50" s="167"/>
      <c r="O50" s="114">
        <f t="shared" si="1"/>
        <v>0</v>
      </c>
      <c r="P50" s="115"/>
      <c r="Q50" s="116"/>
    </row>
    <row r="51" spans="1:17" x14ac:dyDescent="0.25">
      <c r="A51" s="2"/>
      <c r="B51" s="394">
        <v>10.9</v>
      </c>
      <c r="C51" s="20"/>
      <c r="D51" s="422">
        <f t="shared" ref="D51:D89" si="4">C51*B42</f>
        <v>0</v>
      </c>
      <c r="E51" s="185"/>
      <c r="F51" s="100">
        <f t="shared" ref="F51:F71" si="5">D51</f>
        <v>0</v>
      </c>
      <c r="G51" s="111"/>
      <c r="H51" s="101"/>
      <c r="J51" s="2"/>
      <c r="K51" s="394">
        <v>10.9</v>
      </c>
      <c r="L51" s="20"/>
      <c r="M51" s="392">
        <f t="shared" ref="M51:M89" si="6">L51*K42</f>
        <v>0</v>
      </c>
      <c r="N51" s="167"/>
      <c r="O51" s="114">
        <f t="shared" si="1"/>
        <v>0</v>
      </c>
      <c r="P51" s="115"/>
      <c r="Q51" s="116"/>
    </row>
    <row r="52" spans="1:17" x14ac:dyDescent="0.25">
      <c r="A52" s="2"/>
      <c r="B52" s="394">
        <v>10.9</v>
      </c>
      <c r="C52" s="20"/>
      <c r="D52" s="422">
        <f t="shared" si="4"/>
        <v>0</v>
      </c>
      <c r="E52" s="185"/>
      <c r="F52" s="100">
        <f t="shared" si="5"/>
        <v>0</v>
      </c>
      <c r="G52" s="111"/>
      <c r="H52" s="101"/>
      <c r="J52" s="2"/>
      <c r="K52" s="394">
        <v>10.9</v>
      </c>
      <c r="L52" s="20"/>
      <c r="M52" s="392">
        <f t="shared" si="6"/>
        <v>0</v>
      </c>
      <c r="N52" s="167"/>
      <c r="O52" s="114">
        <f t="shared" si="1"/>
        <v>0</v>
      </c>
      <c r="P52" s="115"/>
      <c r="Q52" s="116"/>
    </row>
    <row r="53" spans="1:17" x14ac:dyDescent="0.25">
      <c r="A53" s="2"/>
      <c r="B53" s="394">
        <v>10.9</v>
      </c>
      <c r="C53" s="20"/>
      <c r="D53" s="422">
        <f t="shared" si="4"/>
        <v>0</v>
      </c>
      <c r="E53" s="185"/>
      <c r="F53" s="100">
        <f t="shared" si="5"/>
        <v>0</v>
      </c>
      <c r="G53" s="111"/>
      <c r="H53" s="101"/>
      <c r="J53" s="2"/>
      <c r="K53" s="394">
        <v>10.9</v>
      </c>
      <c r="L53" s="20"/>
      <c r="M53" s="392">
        <f t="shared" si="6"/>
        <v>0</v>
      </c>
      <c r="N53" s="167"/>
      <c r="O53" s="114">
        <f t="shared" si="1"/>
        <v>0</v>
      </c>
      <c r="P53" s="115"/>
      <c r="Q53" s="116"/>
    </row>
    <row r="54" spans="1:17" x14ac:dyDescent="0.25">
      <c r="A54" s="2"/>
      <c r="B54" s="394">
        <v>10.9</v>
      </c>
      <c r="C54" s="20"/>
      <c r="D54" s="422">
        <f t="shared" si="4"/>
        <v>0</v>
      </c>
      <c r="E54" s="185"/>
      <c r="F54" s="100">
        <f t="shared" si="5"/>
        <v>0</v>
      </c>
      <c r="G54" s="111"/>
      <c r="H54" s="101"/>
      <c r="J54" s="2"/>
      <c r="K54" s="394">
        <v>10.9</v>
      </c>
      <c r="L54" s="20"/>
      <c r="M54" s="392">
        <f t="shared" si="6"/>
        <v>0</v>
      </c>
      <c r="N54" s="167"/>
      <c r="O54" s="114">
        <f t="shared" si="1"/>
        <v>0</v>
      </c>
      <c r="P54" s="115"/>
      <c r="Q54" s="116"/>
    </row>
    <row r="55" spans="1:17" x14ac:dyDescent="0.25">
      <c r="A55" s="2"/>
      <c r="B55" s="394">
        <v>10.9</v>
      </c>
      <c r="C55" s="20"/>
      <c r="D55" s="422">
        <f t="shared" si="4"/>
        <v>0</v>
      </c>
      <c r="E55" s="185"/>
      <c r="F55" s="100">
        <f t="shared" si="5"/>
        <v>0</v>
      </c>
      <c r="G55" s="111"/>
      <c r="H55" s="101"/>
      <c r="J55" s="2"/>
      <c r="K55" s="394">
        <v>10.9</v>
      </c>
      <c r="L55" s="20"/>
      <c r="M55" s="392">
        <f t="shared" si="6"/>
        <v>0</v>
      </c>
      <c r="N55" s="167"/>
      <c r="O55" s="114">
        <f t="shared" si="1"/>
        <v>0</v>
      </c>
      <c r="P55" s="115"/>
      <c r="Q55" s="116"/>
    </row>
    <row r="56" spans="1:17" x14ac:dyDescent="0.25">
      <c r="A56" s="2"/>
      <c r="B56" s="394">
        <v>10.9</v>
      </c>
      <c r="C56" s="20"/>
      <c r="D56" s="422">
        <f t="shared" si="4"/>
        <v>0</v>
      </c>
      <c r="E56" s="185"/>
      <c r="F56" s="100">
        <f t="shared" si="5"/>
        <v>0</v>
      </c>
      <c r="G56" s="111"/>
      <c r="H56" s="101"/>
      <c r="J56" s="2"/>
      <c r="K56" s="394">
        <v>10.9</v>
      </c>
      <c r="L56" s="20"/>
      <c r="M56" s="392">
        <f t="shared" si="6"/>
        <v>0</v>
      </c>
      <c r="N56" s="167"/>
      <c r="O56" s="114">
        <f t="shared" si="1"/>
        <v>0</v>
      </c>
      <c r="P56" s="115"/>
      <c r="Q56" s="116"/>
    </row>
    <row r="57" spans="1:17" x14ac:dyDescent="0.25">
      <c r="A57" s="2"/>
      <c r="B57" s="394">
        <v>10.9</v>
      </c>
      <c r="C57" s="20"/>
      <c r="D57" s="422">
        <f t="shared" si="4"/>
        <v>0</v>
      </c>
      <c r="E57" s="185"/>
      <c r="F57" s="100">
        <f t="shared" si="5"/>
        <v>0</v>
      </c>
      <c r="G57" s="111"/>
      <c r="H57" s="101"/>
      <c r="J57" s="2"/>
      <c r="K57" s="394">
        <v>10.9</v>
      </c>
      <c r="L57" s="20"/>
      <c r="M57" s="392">
        <f t="shared" si="6"/>
        <v>0</v>
      </c>
      <c r="N57" s="167"/>
      <c r="O57" s="114">
        <f t="shared" si="1"/>
        <v>0</v>
      </c>
      <c r="P57" s="115"/>
      <c r="Q57" s="116"/>
    </row>
    <row r="58" spans="1:17" x14ac:dyDescent="0.25">
      <c r="A58" s="2"/>
      <c r="B58" s="394">
        <v>10.9</v>
      </c>
      <c r="C58" s="20"/>
      <c r="D58" s="422">
        <f t="shared" si="4"/>
        <v>0</v>
      </c>
      <c r="E58" s="185"/>
      <c r="F58" s="100">
        <f t="shared" si="5"/>
        <v>0</v>
      </c>
      <c r="G58" s="111"/>
      <c r="H58" s="101"/>
      <c r="J58" s="2"/>
      <c r="K58" s="394">
        <v>10.9</v>
      </c>
      <c r="L58" s="20"/>
      <c r="M58" s="392">
        <f t="shared" si="6"/>
        <v>0</v>
      </c>
      <c r="N58" s="167"/>
      <c r="O58" s="114">
        <f t="shared" si="1"/>
        <v>0</v>
      </c>
      <c r="P58" s="115"/>
      <c r="Q58" s="116"/>
    </row>
    <row r="59" spans="1:17" x14ac:dyDescent="0.25">
      <c r="A59" s="2"/>
      <c r="B59" s="394">
        <v>10.9</v>
      </c>
      <c r="C59" s="20"/>
      <c r="D59" s="422">
        <f t="shared" si="4"/>
        <v>0</v>
      </c>
      <c r="E59" s="185"/>
      <c r="F59" s="100">
        <f t="shared" si="5"/>
        <v>0</v>
      </c>
      <c r="G59" s="111"/>
      <c r="H59" s="101"/>
      <c r="J59" s="2"/>
      <c r="K59" s="394">
        <v>10.9</v>
      </c>
      <c r="L59" s="20"/>
      <c r="M59" s="392">
        <f t="shared" si="6"/>
        <v>0</v>
      </c>
      <c r="N59" s="167"/>
      <c r="O59" s="114">
        <f t="shared" si="1"/>
        <v>0</v>
      </c>
      <c r="P59" s="115"/>
      <c r="Q59" s="116"/>
    </row>
    <row r="60" spans="1:17" x14ac:dyDescent="0.25">
      <c r="A60" s="2"/>
      <c r="B60" s="394">
        <v>10.9</v>
      </c>
      <c r="C60" s="20"/>
      <c r="D60" s="422">
        <f t="shared" si="4"/>
        <v>0</v>
      </c>
      <c r="E60" s="185"/>
      <c r="F60" s="100">
        <f t="shared" si="5"/>
        <v>0</v>
      </c>
      <c r="G60" s="111"/>
      <c r="H60" s="101"/>
      <c r="J60" s="2"/>
      <c r="K60" s="394">
        <v>10.9</v>
      </c>
      <c r="L60" s="20"/>
      <c r="M60" s="392">
        <f t="shared" si="6"/>
        <v>0</v>
      </c>
      <c r="N60" s="167"/>
      <c r="O60" s="114">
        <f t="shared" si="1"/>
        <v>0</v>
      </c>
      <c r="P60" s="115"/>
      <c r="Q60" s="116"/>
    </row>
    <row r="61" spans="1:17" x14ac:dyDescent="0.25">
      <c r="A61" s="2"/>
      <c r="B61" s="394">
        <v>10.9</v>
      </c>
      <c r="C61" s="20"/>
      <c r="D61" s="422">
        <f t="shared" si="4"/>
        <v>0</v>
      </c>
      <c r="E61" s="185"/>
      <c r="F61" s="100">
        <f t="shared" si="5"/>
        <v>0</v>
      </c>
      <c r="G61" s="111"/>
      <c r="H61" s="101"/>
      <c r="J61" s="2"/>
      <c r="K61" s="394">
        <v>10.9</v>
      </c>
      <c r="L61" s="20"/>
      <c r="M61" s="392">
        <f t="shared" si="6"/>
        <v>0</v>
      </c>
      <c r="N61" s="167"/>
      <c r="O61" s="114">
        <f t="shared" si="1"/>
        <v>0</v>
      </c>
      <c r="P61" s="115"/>
      <c r="Q61" s="116"/>
    </row>
    <row r="62" spans="1:17" x14ac:dyDescent="0.25">
      <c r="A62" s="2"/>
      <c r="B62" s="394">
        <v>10.9</v>
      </c>
      <c r="C62" s="20"/>
      <c r="D62" s="422">
        <f t="shared" si="4"/>
        <v>0</v>
      </c>
      <c r="E62" s="185"/>
      <c r="F62" s="100">
        <f t="shared" si="5"/>
        <v>0</v>
      </c>
      <c r="G62" s="111"/>
      <c r="H62" s="101"/>
      <c r="J62" s="2"/>
      <c r="K62" s="394">
        <v>10.9</v>
      </c>
      <c r="L62" s="20"/>
      <c r="M62" s="392">
        <f t="shared" si="6"/>
        <v>0</v>
      </c>
      <c r="N62" s="167"/>
      <c r="O62" s="114">
        <f t="shared" si="1"/>
        <v>0</v>
      </c>
      <c r="P62" s="115"/>
      <c r="Q62" s="116"/>
    </row>
    <row r="63" spans="1:17" x14ac:dyDescent="0.25">
      <c r="A63" s="2"/>
      <c r="B63" s="394">
        <v>10.9</v>
      </c>
      <c r="C63" s="20"/>
      <c r="D63" s="422">
        <f t="shared" si="4"/>
        <v>0</v>
      </c>
      <c r="E63" s="185"/>
      <c r="F63" s="100">
        <f t="shared" si="5"/>
        <v>0</v>
      </c>
      <c r="G63" s="111"/>
      <c r="H63" s="101"/>
      <c r="J63" s="2"/>
      <c r="K63" s="394">
        <v>10.9</v>
      </c>
      <c r="L63" s="20"/>
      <c r="M63" s="392">
        <f t="shared" si="6"/>
        <v>0</v>
      </c>
      <c r="N63" s="167"/>
      <c r="O63" s="114">
        <f t="shared" si="1"/>
        <v>0</v>
      </c>
      <c r="P63" s="115"/>
      <c r="Q63" s="116"/>
    </row>
    <row r="64" spans="1:17" x14ac:dyDescent="0.25">
      <c r="A64" s="2"/>
      <c r="B64" s="394">
        <v>10.9</v>
      </c>
      <c r="C64" s="20"/>
      <c r="D64" s="422">
        <f t="shared" si="4"/>
        <v>0</v>
      </c>
      <c r="E64" s="185"/>
      <c r="F64" s="100">
        <f t="shared" si="5"/>
        <v>0</v>
      </c>
      <c r="G64" s="111"/>
      <c r="H64" s="101"/>
      <c r="J64" s="2"/>
      <c r="K64" s="394">
        <v>10.9</v>
      </c>
      <c r="L64" s="20"/>
      <c r="M64" s="392">
        <f t="shared" si="6"/>
        <v>0</v>
      </c>
      <c r="N64" s="167"/>
      <c r="O64" s="114">
        <f t="shared" si="1"/>
        <v>0</v>
      </c>
      <c r="P64" s="115"/>
      <c r="Q64" s="116"/>
    </row>
    <row r="65" spans="1:17" x14ac:dyDescent="0.25">
      <c r="A65" s="2"/>
      <c r="B65" s="394">
        <v>10.9</v>
      </c>
      <c r="C65" s="20"/>
      <c r="D65" s="422">
        <f t="shared" si="4"/>
        <v>0</v>
      </c>
      <c r="E65" s="185"/>
      <c r="F65" s="100">
        <f t="shared" si="5"/>
        <v>0</v>
      </c>
      <c r="G65" s="111"/>
      <c r="H65" s="101"/>
      <c r="J65" s="2"/>
      <c r="K65" s="394">
        <v>10.9</v>
      </c>
      <c r="L65" s="20"/>
      <c r="M65" s="392">
        <f t="shared" si="6"/>
        <v>0</v>
      </c>
      <c r="N65" s="167"/>
      <c r="O65" s="114">
        <f t="shared" si="1"/>
        <v>0</v>
      </c>
      <c r="P65" s="115"/>
      <c r="Q65" s="116"/>
    </row>
    <row r="66" spans="1:17" x14ac:dyDescent="0.25">
      <c r="A66" s="2"/>
      <c r="B66" s="394">
        <v>10.9</v>
      </c>
      <c r="C66" s="20"/>
      <c r="D66" s="422">
        <f t="shared" si="4"/>
        <v>0</v>
      </c>
      <c r="E66" s="185"/>
      <c r="F66" s="100">
        <f t="shared" si="5"/>
        <v>0</v>
      </c>
      <c r="G66" s="111"/>
      <c r="H66" s="101"/>
      <c r="J66" s="2"/>
      <c r="K66" s="394">
        <v>10.9</v>
      </c>
      <c r="L66" s="20"/>
      <c r="M66" s="392">
        <f t="shared" si="6"/>
        <v>0</v>
      </c>
      <c r="N66" s="167"/>
      <c r="O66" s="114">
        <f t="shared" si="1"/>
        <v>0</v>
      </c>
      <c r="P66" s="115"/>
      <c r="Q66" s="116"/>
    </row>
    <row r="67" spans="1:17" x14ac:dyDescent="0.25">
      <c r="A67" s="2"/>
      <c r="B67" s="394">
        <v>10.9</v>
      </c>
      <c r="C67" s="20"/>
      <c r="D67" s="422">
        <f t="shared" si="4"/>
        <v>0</v>
      </c>
      <c r="E67" s="185"/>
      <c r="F67" s="100">
        <f t="shared" si="5"/>
        <v>0</v>
      </c>
      <c r="G67" s="111"/>
      <c r="H67" s="101"/>
      <c r="J67" s="2"/>
      <c r="K67" s="394">
        <v>10.9</v>
      </c>
      <c r="L67" s="20"/>
      <c r="M67" s="392">
        <f t="shared" si="6"/>
        <v>0</v>
      </c>
      <c r="N67" s="167"/>
      <c r="O67" s="114">
        <f t="shared" si="1"/>
        <v>0</v>
      </c>
      <c r="P67" s="115"/>
      <c r="Q67" s="116"/>
    </row>
    <row r="68" spans="1:17" x14ac:dyDescent="0.25">
      <c r="A68" s="2"/>
      <c r="B68" s="394">
        <v>10.9</v>
      </c>
      <c r="C68" s="20"/>
      <c r="D68" s="422">
        <f t="shared" si="4"/>
        <v>0</v>
      </c>
      <c r="E68" s="185"/>
      <c r="F68" s="100">
        <f t="shared" si="5"/>
        <v>0</v>
      </c>
      <c r="G68" s="111"/>
      <c r="H68" s="101"/>
      <c r="J68" s="2"/>
      <c r="K68" s="394">
        <v>10.9</v>
      </c>
      <c r="L68" s="20"/>
      <c r="M68" s="392">
        <f t="shared" si="6"/>
        <v>0</v>
      </c>
      <c r="N68" s="167"/>
      <c r="O68" s="114">
        <f t="shared" si="1"/>
        <v>0</v>
      </c>
      <c r="P68" s="115"/>
      <c r="Q68" s="116"/>
    </row>
    <row r="69" spans="1:17" x14ac:dyDescent="0.25">
      <c r="A69" s="2"/>
      <c r="B69" s="394">
        <v>10.9</v>
      </c>
      <c r="C69" s="20"/>
      <c r="D69" s="422">
        <f t="shared" si="4"/>
        <v>0</v>
      </c>
      <c r="E69" s="185"/>
      <c r="F69" s="100">
        <f t="shared" si="5"/>
        <v>0</v>
      </c>
      <c r="G69" s="111"/>
      <c r="H69" s="101"/>
      <c r="J69" s="2"/>
      <c r="K69" s="394">
        <v>10.9</v>
      </c>
      <c r="L69" s="20"/>
      <c r="M69" s="392">
        <f t="shared" si="6"/>
        <v>0</v>
      </c>
      <c r="N69" s="167"/>
      <c r="O69" s="114">
        <f t="shared" si="1"/>
        <v>0</v>
      </c>
      <c r="P69" s="115"/>
      <c r="Q69" s="116"/>
    </row>
    <row r="70" spans="1:17" x14ac:dyDescent="0.25">
      <c r="A70" s="2"/>
      <c r="B70" s="394">
        <v>10.9</v>
      </c>
      <c r="C70" s="20"/>
      <c r="D70" s="422">
        <f t="shared" si="4"/>
        <v>0</v>
      </c>
      <c r="E70" s="185"/>
      <c r="F70" s="100">
        <f t="shared" si="5"/>
        <v>0</v>
      </c>
      <c r="G70" s="111"/>
      <c r="H70" s="101"/>
      <c r="J70" s="2"/>
      <c r="K70" s="394">
        <v>10.9</v>
      </c>
      <c r="L70" s="20"/>
      <c r="M70" s="392">
        <f t="shared" si="6"/>
        <v>0</v>
      </c>
      <c r="N70" s="167"/>
      <c r="O70" s="114">
        <f t="shared" si="1"/>
        <v>0</v>
      </c>
      <c r="P70" s="115"/>
      <c r="Q70" s="116"/>
    </row>
    <row r="71" spans="1:17" x14ac:dyDescent="0.25">
      <c r="A71" s="2"/>
      <c r="B71" s="394">
        <v>10.9</v>
      </c>
      <c r="C71" s="20"/>
      <c r="D71" s="422">
        <f t="shared" si="4"/>
        <v>0</v>
      </c>
      <c r="E71" s="185"/>
      <c r="F71" s="100">
        <f t="shared" si="5"/>
        <v>0</v>
      </c>
      <c r="G71" s="111"/>
      <c r="H71" s="101"/>
      <c r="J71" s="2"/>
      <c r="K71" s="394">
        <v>10.9</v>
      </c>
      <c r="L71" s="20"/>
      <c r="M71" s="392">
        <f t="shared" si="6"/>
        <v>0</v>
      </c>
      <c r="N71" s="167"/>
      <c r="O71" s="114">
        <f t="shared" si="1"/>
        <v>0</v>
      </c>
      <c r="P71" s="115"/>
      <c r="Q71" s="116"/>
    </row>
    <row r="72" spans="1:17" x14ac:dyDescent="0.25">
      <c r="A72" s="2"/>
      <c r="B72" s="394">
        <v>10.9</v>
      </c>
      <c r="C72" s="20"/>
      <c r="D72" s="422">
        <f t="shared" si="4"/>
        <v>0</v>
      </c>
      <c r="E72" s="185"/>
      <c r="F72" s="100">
        <f t="shared" ref="F72:F91" si="7">D72</f>
        <v>0</v>
      </c>
      <c r="G72" s="111"/>
      <c r="H72" s="101"/>
      <c r="J72" s="2"/>
      <c r="K72" s="394">
        <v>10.9</v>
      </c>
      <c r="L72" s="20"/>
      <c r="M72" s="392">
        <f t="shared" si="6"/>
        <v>0</v>
      </c>
      <c r="N72" s="167"/>
      <c r="O72" s="114">
        <f t="shared" ref="O72:O91" si="8">M72</f>
        <v>0</v>
      </c>
      <c r="P72" s="115"/>
      <c r="Q72" s="116"/>
    </row>
    <row r="73" spans="1:17" x14ac:dyDescent="0.25">
      <c r="A73" s="2"/>
      <c r="B73" s="394">
        <v>10.9</v>
      </c>
      <c r="C73" s="20"/>
      <c r="D73" s="422">
        <f t="shared" si="4"/>
        <v>0</v>
      </c>
      <c r="E73" s="185"/>
      <c r="F73" s="100">
        <f t="shared" si="7"/>
        <v>0</v>
      </c>
      <c r="G73" s="111"/>
      <c r="H73" s="101"/>
      <c r="J73" s="2"/>
      <c r="K73" s="394">
        <v>10.9</v>
      </c>
      <c r="L73" s="20"/>
      <c r="M73" s="392">
        <f t="shared" si="6"/>
        <v>0</v>
      </c>
      <c r="N73" s="167"/>
      <c r="O73" s="114">
        <f t="shared" si="8"/>
        <v>0</v>
      </c>
      <c r="P73" s="115"/>
      <c r="Q73" s="116"/>
    </row>
    <row r="74" spans="1:17" x14ac:dyDescent="0.25">
      <c r="A74" s="2"/>
      <c r="B74" s="394">
        <v>10.9</v>
      </c>
      <c r="C74" s="20"/>
      <c r="D74" s="422">
        <f t="shared" si="4"/>
        <v>0</v>
      </c>
      <c r="E74" s="185"/>
      <c r="F74" s="100">
        <f t="shared" si="7"/>
        <v>0</v>
      </c>
      <c r="G74" s="111"/>
      <c r="H74" s="101"/>
      <c r="J74" s="2"/>
      <c r="K74" s="394">
        <v>10.9</v>
      </c>
      <c r="L74" s="20"/>
      <c r="M74" s="392">
        <f t="shared" si="6"/>
        <v>0</v>
      </c>
      <c r="N74" s="167"/>
      <c r="O74" s="114">
        <f t="shared" si="8"/>
        <v>0</v>
      </c>
      <c r="P74" s="115"/>
      <c r="Q74" s="116"/>
    </row>
    <row r="75" spans="1:17" x14ac:dyDescent="0.25">
      <c r="A75" s="2"/>
      <c r="B75" s="394">
        <v>10.9</v>
      </c>
      <c r="C75" s="20"/>
      <c r="D75" s="422">
        <f t="shared" si="4"/>
        <v>0</v>
      </c>
      <c r="E75" s="185"/>
      <c r="F75" s="100">
        <f t="shared" si="7"/>
        <v>0</v>
      </c>
      <c r="G75" s="111"/>
      <c r="H75" s="101"/>
      <c r="J75" s="2"/>
      <c r="K75" s="394">
        <v>10.9</v>
      </c>
      <c r="L75" s="20"/>
      <c r="M75" s="392">
        <f t="shared" si="6"/>
        <v>0</v>
      </c>
      <c r="N75" s="167"/>
      <c r="O75" s="114">
        <f t="shared" si="8"/>
        <v>0</v>
      </c>
      <c r="P75" s="115"/>
      <c r="Q75" s="116"/>
    </row>
    <row r="76" spans="1:17" x14ac:dyDescent="0.25">
      <c r="A76" s="2"/>
      <c r="B76" s="394">
        <v>10.9</v>
      </c>
      <c r="C76" s="20"/>
      <c r="D76" s="422">
        <f t="shared" si="4"/>
        <v>0</v>
      </c>
      <c r="E76" s="185"/>
      <c r="F76" s="100">
        <f t="shared" si="7"/>
        <v>0</v>
      </c>
      <c r="G76" s="111"/>
      <c r="H76" s="101"/>
      <c r="J76" s="2"/>
      <c r="K76" s="394">
        <v>10.9</v>
      </c>
      <c r="L76" s="20"/>
      <c r="M76" s="392">
        <f t="shared" si="6"/>
        <v>0</v>
      </c>
      <c r="N76" s="167"/>
      <c r="O76" s="114">
        <f t="shared" si="8"/>
        <v>0</v>
      </c>
      <c r="P76" s="115"/>
      <c r="Q76" s="116"/>
    </row>
    <row r="77" spans="1:17" x14ac:dyDescent="0.25">
      <c r="A77" s="2"/>
      <c r="B77" s="394">
        <v>10.9</v>
      </c>
      <c r="C77" s="20"/>
      <c r="D77" s="422">
        <f t="shared" si="4"/>
        <v>0</v>
      </c>
      <c r="E77" s="185"/>
      <c r="F77" s="100">
        <f t="shared" si="7"/>
        <v>0</v>
      </c>
      <c r="G77" s="111"/>
      <c r="H77" s="101"/>
      <c r="J77" s="2"/>
      <c r="K77" s="394">
        <v>10.9</v>
      </c>
      <c r="L77" s="20"/>
      <c r="M77" s="392">
        <f t="shared" si="6"/>
        <v>0</v>
      </c>
      <c r="N77" s="167"/>
      <c r="O77" s="114">
        <f t="shared" si="8"/>
        <v>0</v>
      </c>
      <c r="P77" s="115"/>
      <c r="Q77" s="116"/>
    </row>
    <row r="78" spans="1:17" x14ac:dyDescent="0.25">
      <c r="A78" s="2"/>
      <c r="B78" s="394">
        <v>10.9</v>
      </c>
      <c r="C78" s="20"/>
      <c r="D78" s="422">
        <f t="shared" si="4"/>
        <v>0</v>
      </c>
      <c r="E78" s="185"/>
      <c r="F78" s="100">
        <f t="shared" si="7"/>
        <v>0</v>
      </c>
      <c r="G78" s="111"/>
      <c r="H78" s="101"/>
      <c r="J78" s="2"/>
      <c r="K78" s="394">
        <v>10.9</v>
      </c>
      <c r="L78" s="20"/>
      <c r="M78" s="392">
        <f t="shared" si="6"/>
        <v>0</v>
      </c>
      <c r="N78" s="167"/>
      <c r="O78" s="114">
        <f t="shared" si="8"/>
        <v>0</v>
      </c>
      <c r="P78" s="115"/>
      <c r="Q78" s="116"/>
    </row>
    <row r="79" spans="1:17" x14ac:dyDescent="0.25">
      <c r="A79" s="2"/>
      <c r="B79" s="394">
        <v>10.9</v>
      </c>
      <c r="C79" s="20"/>
      <c r="D79" s="422">
        <f t="shared" si="4"/>
        <v>0</v>
      </c>
      <c r="E79" s="185"/>
      <c r="F79" s="100">
        <f t="shared" si="7"/>
        <v>0</v>
      </c>
      <c r="G79" s="111"/>
      <c r="H79" s="101"/>
      <c r="J79" s="2"/>
      <c r="K79" s="394">
        <v>10.9</v>
      </c>
      <c r="L79" s="20"/>
      <c r="M79" s="392">
        <f t="shared" si="6"/>
        <v>0</v>
      </c>
      <c r="N79" s="167"/>
      <c r="O79" s="114">
        <f t="shared" si="8"/>
        <v>0</v>
      </c>
      <c r="P79" s="115"/>
      <c r="Q79" s="116"/>
    </row>
    <row r="80" spans="1:17" x14ac:dyDescent="0.25">
      <c r="A80" s="2"/>
      <c r="B80" s="394">
        <v>10.9</v>
      </c>
      <c r="C80" s="20"/>
      <c r="D80" s="422">
        <f t="shared" si="4"/>
        <v>0</v>
      </c>
      <c r="E80" s="185"/>
      <c r="F80" s="100">
        <f t="shared" si="7"/>
        <v>0</v>
      </c>
      <c r="G80" s="111"/>
      <c r="H80" s="101"/>
      <c r="J80" s="2"/>
      <c r="K80" s="394">
        <v>10.9</v>
      </c>
      <c r="L80" s="20"/>
      <c r="M80" s="392">
        <f t="shared" si="6"/>
        <v>0</v>
      </c>
      <c r="N80" s="167"/>
      <c r="O80" s="114">
        <f t="shared" si="8"/>
        <v>0</v>
      </c>
      <c r="P80" s="115"/>
      <c r="Q80" s="116"/>
    </row>
    <row r="81" spans="1:17" x14ac:dyDescent="0.25">
      <c r="A81" s="2"/>
      <c r="B81" s="394">
        <v>10.9</v>
      </c>
      <c r="C81" s="20"/>
      <c r="D81" s="422">
        <f t="shared" si="4"/>
        <v>0</v>
      </c>
      <c r="E81" s="185"/>
      <c r="F81" s="100">
        <f t="shared" si="7"/>
        <v>0</v>
      </c>
      <c r="G81" s="111"/>
      <c r="H81" s="101"/>
      <c r="J81" s="2"/>
      <c r="K81" s="394">
        <v>10.9</v>
      </c>
      <c r="L81" s="20"/>
      <c r="M81" s="392">
        <f t="shared" si="6"/>
        <v>0</v>
      </c>
      <c r="N81" s="167"/>
      <c r="O81" s="114">
        <f t="shared" si="8"/>
        <v>0</v>
      </c>
      <c r="P81" s="115"/>
      <c r="Q81" s="116"/>
    </row>
    <row r="82" spans="1:17" x14ac:dyDescent="0.25">
      <c r="A82" s="2"/>
      <c r="B82" s="394">
        <v>10.9</v>
      </c>
      <c r="C82" s="20"/>
      <c r="D82" s="422">
        <f t="shared" si="4"/>
        <v>0</v>
      </c>
      <c r="E82" s="185"/>
      <c r="F82" s="100">
        <f t="shared" si="7"/>
        <v>0</v>
      </c>
      <c r="G82" s="111"/>
      <c r="H82" s="101"/>
      <c r="J82" s="2"/>
      <c r="K82" s="394">
        <v>10.9</v>
      </c>
      <c r="L82" s="20"/>
      <c r="M82" s="392">
        <f t="shared" si="6"/>
        <v>0</v>
      </c>
      <c r="N82" s="167"/>
      <c r="O82" s="114">
        <f t="shared" si="8"/>
        <v>0</v>
      </c>
      <c r="P82" s="115"/>
      <c r="Q82" s="116"/>
    </row>
    <row r="83" spans="1:17" x14ac:dyDescent="0.25">
      <c r="A83" s="2"/>
      <c r="B83" s="394">
        <v>10.9</v>
      </c>
      <c r="C83" s="20"/>
      <c r="D83" s="422">
        <f t="shared" si="4"/>
        <v>0</v>
      </c>
      <c r="E83" s="185"/>
      <c r="F83" s="100">
        <f t="shared" si="7"/>
        <v>0</v>
      </c>
      <c r="G83" s="111"/>
      <c r="H83" s="101"/>
      <c r="J83" s="2"/>
      <c r="K83" s="394">
        <v>10.9</v>
      </c>
      <c r="L83" s="20"/>
      <c r="M83" s="392">
        <f t="shared" si="6"/>
        <v>0</v>
      </c>
      <c r="N83" s="167"/>
      <c r="O83" s="114">
        <f t="shared" si="8"/>
        <v>0</v>
      </c>
      <c r="P83" s="115"/>
      <c r="Q83" s="116"/>
    </row>
    <row r="84" spans="1:17" x14ac:dyDescent="0.25">
      <c r="A84" s="2"/>
      <c r="B84" s="394">
        <v>10.9</v>
      </c>
      <c r="C84" s="20"/>
      <c r="D84" s="422">
        <f t="shared" si="4"/>
        <v>0</v>
      </c>
      <c r="E84" s="185"/>
      <c r="F84" s="100">
        <f t="shared" si="7"/>
        <v>0</v>
      </c>
      <c r="G84" s="111"/>
      <c r="H84" s="101"/>
      <c r="J84" s="2"/>
      <c r="K84" s="394">
        <v>10.9</v>
      </c>
      <c r="L84" s="20"/>
      <c r="M84" s="392">
        <f t="shared" si="6"/>
        <v>0</v>
      </c>
      <c r="N84" s="167"/>
      <c r="O84" s="114">
        <f t="shared" si="8"/>
        <v>0</v>
      </c>
      <c r="P84" s="115"/>
      <c r="Q84" s="116"/>
    </row>
    <row r="85" spans="1:17" x14ac:dyDescent="0.25">
      <c r="A85" s="2"/>
      <c r="B85" s="394">
        <v>10.9</v>
      </c>
      <c r="C85" s="20"/>
      <c r="D85" s="422">
        <f t="shared" si="4"/>
        <v>0</v>
      </c>
      <c r="E85" s="185"/>
      <c r="F85" s="100">
        <f t="shared" si="7"/>
        <v>0</v>
      </c>
      <c r="G85" s="111"/>
      <c r="H85" s="101"/>
      <c r="J85" s="2"/>
      <c r="K85" s="394">
        <v>10.9</v>
      </c>
      <c r="L85" s="20"/>
      <c r="M85" s="392">
        <f t="shared" si="6"/>
        <v>0</v>
      </c>
      <c r="N85" s="167"/>
      <c r="O85" s="114">
        <f t="shared" si="8"/>
        <v>0</v>
      </c>
      <c r="P85" s="115"/>
      <c r="Q85" s="116"/>
    </row>
    <row r="86" spans="1:17" x14ac:dyDescent="0.25">
      <c r="A86" s="207"/>
      <c r="B86" s="394">
        <v>10.9</v>
      </c>
      <c r="C86" s="20"/>
      <c r="D86" s="422">
        <f t="shared" si="4"/>
        <v>0</v>
      </c>
      <c r="E86" s="185"/>
      <c r="F86" s="100">
        <f t="shared" si="7"/>
        <v>0</v>
      </c>
      <c r="G86" s="111"/>
      <c r="H86" s="101"/>
      <c r="J86" s="207"/>
      <c r="K86" s="394">
        <v>10.9</v>
      </c>
      <c r="L86" s="20"/>
      <c r="M86" s="392">
        <f t="shared" si="6"/>
        <v>0</v>
      </c>
      <c r="N86" s="167"/>
      <c r="O86" s="114">
        <f t="shared" si="8"/>
        <v>0</v>
      </c>
      <c r="P86" s="115"/>
      <c r="Q86" s="116"/>
    </row>
    <row r="87" spans="1:17" x14ac:dyDescent="0.25">
      <c r="A87" s="2"/>
      <c r="B87" s="394">
        <v>10.9</v>
      </c>
      <c r="C87" s="20"/>
      <c r="D87" s="422">
        <f t="shared" si="4"/>
        <v>0</v>
      </c>
      <c r="E87" s="185"/>
      <c r="F87" s="100">
        <f t="shared" si="7"/>
        <v>0</v>
      </c>
      <c r="G87" s="111"/>
      <c r="H87" s="101"/>
      <c r="J87" s="2"/>
      <c r="K87" s="394">
        <v>10.9</v>
      </c>
      <c r="L87" s="20"/>
      <c r="M87" s="392">
        <f t="shared" si="6"/>
        <v>0</v>
      </c>
      <c r="N87" s="167"/>
      <c r="O87" s="114">
        <f t="shared" si="8"/>
        <v>0</v>
      </c>
      <c r="P87" s="115"/>
      <c r="Q87" s="116"/>
    </row>
    <row r="88" spans="1:17" x14ac:dyDescent="0.25">
      <c r="A88" s="2"/>
      <c r="B88" s="394">
        <v>10.9</v>
      </c>
      <c r="C88" s="20"/>
      <c r="D88" s="422">
        <f t="shared" si="4"/>
        <v>0</v>
      </c>
      <c r="E88" s="185"/>
      <c r="F88" s="100">
        <f t="shared" si="7"/>
        <v>0</v>
      </c>
      <c r="G88" s="111"/>
      <c r="H88" s="101"/>
      <c r="J88" s="2"/>
      <c r="K88" s="394">
        <v>10.9</v>
      </c>
      <c r="L88" s="20"/>
      <c r="M88" s="392">
        <f t="shared" si="6"/>
        <v>0</v>
      </c>
      <c r="N88" s="167"/>
      <c r="O88" s="114">
        <f t="shared" si="8"/>
        <v>0</v>
      </c>
      <c r="P88" s="115"/>
      <c r="Q88" s="116"/>
    </row>
    <row r="89" spans="1:17" x14ac:dyDescent="0.25">
      <c r="A89" s="2"/>
      <c r="B89" s="394">
        <v>10.9</v>
      </c>
      <c r="C89" s="20"/>
      <c r="D89" s="422">
        <f t="shared" si="4"/>
        <v>0</v>
      </c>
      <c r="E89" s="185"/>
      <c r="F89" s="100">
        <f t="shared" si="7"/>
        <v>0</v>
      </c>
      <c r="G89" s="111"/>
      <c r="H89" s="101"/>
      <c r="J89" s="2"/>
      <c r="K89" s="394">
        <v>10.9</v>
      </c>
      <c r="L89" s="20"/>
      <c r="M89" s="392">
        <f t="shared" si="6"/>
        <v>0</v>
      </c>
      <c r="N89" s="167"/>
      <c r="O89" s="114">
        <f t="shared" si="8"/>
        <v>0</v>
      </c>
      <c r="P89" s="115"/>
      <c r="Q89" s="116"/>
    </row>
    <row r="90" spans="1:17" x14ac:dyDescent="0.25">
      <c r="A90" s="2"/>
      <c r="B90" s="394">
        <v>10.9</v>
      </c>
      <c r="C90" s="20"/>
      <c r="D90" s="422">
        <f>C90*B31</f>
        <v>0</v>
      </c>
      <c r="E90" s="185"/>
      <c r="F90" s="100">
        <f t="shared" si="7"/>
        <v>0</v>
      </c>
      <c r="G90" s="111"/>
      <c r="H90" s="101"/>
      <c r="J90" s="2"/>
      <c r="K90" s="394">
        <v>10.9</v>
      </c>
      <c r="L90" s="20"/>
      <c r="M90" s="392">
        <f>L90*K31</f>
        <v>0</v>
      </c>
      <c r="N90" s="167"/>
      <c r="O90" s="114">
        <f t="shared" si="8"/>
        <v>0</v>
      </c>
      <c r="P90" s="115"/>
      <c r="Q90" s="116"/>
    </row>
    <row r="91" spans="1:17" ht="15.75" thickBot="1" x14ac:dyDescent="0.3">
      <c r="A91" s="4"/>
      <c r="B91" s="394">
        <v>10.9</v>
      </c>
      <c r="C91" s="48"/>
      <c r="D91" s="695">
        <f>C91*B32</f>
        <v>0</v>
      </c>
      <c r="E91" s="209"/>
      <c r="F91" s="199">
        <f t="shared" si="7"/>
        <v>0</v>
      </c>
      <c r="G91" s="200"/>
      <c r="H91" s="101"/>
      <c r="J91" s="4"/>
      <c r="K91" s="394">
        <v>10.9</v>
      </c>
      <c r="L91" s="48"/>
      <c r="M91" s="393">
        <f>L91*K32</f>
        <v>0</v>
      </c>
      <c r="N91" s="382"/>
      <c r="O91" s="355">
        <f t="shared" si="8"/>
        <v>0</v>
      </c>
      <c r="P91" s="306"/>
      <c r="Q91" s="116"/>
    </row>
    <row r="92" spans="1:17" ht="16.5" thickTop="1" thickBot="1" x14ac:dyDescent="0.3">
      <c r="C92" s="177">
        <f>SUM(C10:C91)</f>
        <v>687</v>
      </c>
      <c r="D92" s="220">
        <f>SUM(D10:D91)</f>
        <v>7488.2999999999993</v>
      </c>
      <c r="E92" s="50"/>
      <c r="F92" s="6">
        <f>SUM(F10:F91)</f>
        <v>7488.2999999999993</v>
      </c>
      <c r="L92" s="177">
        <f>SUM(L10:L91)</f>
        <v>0</v>
      </c>
      <c r="M92" s="220">
        <f>SUM(M10:M91)</f>
        <v>0</v>
      </c>
      <c r="N92" s="50"/>
      <c r="O92" s="6">
        <f>SUM(O10:O91)</f>
        <v>0</v>
      </c>
    </row>
    <row r="93" spans="1:17" ht="15.75" thickBot="1" x14ac:dyDescent="0.3">
      <c r="A93" s="247"/>
      <c r="D93" s="221" t="s">
        <v>4</v>
      </c>
      <c r="E93" s="113">
        <f>F4+F5+F6-+C92</f>
        <v>287</v>
      </c>
      <c r="J93" s="247"/>
      <c r="M93" s="221" t="s">
        <v>4</v>
      </c>
      <c r="N93" s="113">
        <f>O4+O5+O6-+L92</f>
        <v>975</v>
      </c>
    </row>
    <row r="94" spans="1:17" ht="15.75" thickBot="1" x14ac:dyDescent="0.3">
      <c r="A94" s="240"/>
      <c r="J94" s="240"/>
    </row>
    <row r="95" spans="1:17" ht="16.5" thickTop="1" thickBot="1" x14ac:dyDescent="0.3">
      <c r="A95" s="170"/>
      <c r="C95" s="764" t="s">
        <v>11</v>
      </c>
      <c r="D95" s="765"/>
      <c r="E95" s="323">
        <f>E5+E4+E6+-F92</f>
        <v>3117.49</v>
      </c>
      <c r="J95" s="170"/>
      <c r="L95" s="764" t="s">
        <v>11</v>
      </c>
      <c r="M95" s="765"/>
      <c r="N95" s="323">
        <f>N5+N4+N6+-O92</f>
        <v>10614.24</v>
      </c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3"/>
  <sheetViews>
    <sheetView topLeftCell="A15" workbookViewId="0">
      <selection activeCell="C34" sqref="C3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761" t="s">
        <v>430</v>
      </c>
      <c r="B1" s="761"/>
      <c r="C1" s="761"/>
      <c r="D1" s="761"/>
      <c r="E1" s="761"/>
      <c r="F1" s="761"/>
      <c r="G1" s="761"/>
      <c r="H1" s="188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18" t="s">
        <v>2</v>
      </c>
      <c r="E3" s="12" t="s">
        <v>3</v>
      </c>
      <c r="F3" s="222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4"/>
      <c r="F4" s="320"/>
      <c r="G4" s="16"/>
      <c r="H4" s="16"/>
    </row>
    <row r="5" spans="1:8" x14ac:dyDescent="0.25">
      <c r="A5" s="15" t="s">
        <v>117</v>
      </c>
      <c r="B5" s="767" t="s">
        <v>118</v>
      </c>
      <c r="C5" s="75">
        <v>46</v>
      </c>
      <c r="D5" s="234">
        <v>42146</v>
      </c>
      <c r="E5" s="94">
        <v>9070</v>
      </c>
      <c r="F5" s="150">
        <v>907</v>
      </c>
      <c r="G5" s="329">
        <f>F90</f>
        <v>2660</v>
      </c>
      <c r="H5" s="99">
        <f>E4+E5+E6-G5</f>
        <v>6410</v>
      </c>
    </row>
    <row r="6" spans="1:8" ht="16.5" thickBot="1" x14ac:dyDescent="0.3">
      <c r="A6" s="16"/>
      <c r="B6" s="768"/>
      <c r="C6" s="16"/>
      <c r="D6" s="64"/>
      <c r="E6" s="321"/>
      <c r="F6" s="322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19" t="s">
        <v>3</v>
      </c>
      <c r="E7" s="28" t="s">
        <v>2</v>
      </c>
      <c r="F7" s="224" t="s">
        <v>9</v>
      </c>
      <c r="G7" s="29" t="s">
        <v>15</v>
      </c>
      <c r="H7" s="37"/>
    </row>
    <row r="8" spans="1:8" ht="15.75" thickTop="1" x14ac:dyDescent="0.25">
      <c r="A8" s="2"/>
      <c r="B8" s="394">
        <v>10</v>
      </c>
      <c r="C8" s="20">
        <v>1</v>
      </c>
      <c r="D8" s="356">
        <f t="shared" ref="D8:D20" si="0">C8*B8</f>
        <v>10</v>
      </c>
      <c r="E8" s="233">
        <v>42149</v>
      </c>
      <c r="F8" s="114">
        <f t="shared" ref="F8:F89" si="1">D8</f>
        <v>10</v>
      </c>
      <c r="G8" s="115" t="s">
        <v>152</v>
      </c>
      <c r="H8" s="116">
        <v>640</v>
      </c>
    </row>
    <row r="9" spans="1:8" x14ac:dyDescent="0.25">
      <c r="A9" s="2"/>
      <c r="B9" s="394">
        <v>10</v>
      </c>
      <c r="C9" s="20">
        <v>10</v>
      </c>
      <c r="D9" s="356">
        <f t="shared" si="0"/>
        <v>100</v>
      </c>
      <c r="E9" s="180">
        <v>42149</v>
      </c>
      <c r="F9" s="114">
        <f t="shared" si="1"/>
        <v>100</v>
      </c>
      <c r="G9" s="115" t="s">
        <v>153</v>
      </c>
      <c r="H9" s="116">
        <v>640</v>
      </c>
    </row>
    <row r="10" spans="1:8" x14ac:dyDescent="0.25">
      <c r="A10" s="157" t="s">
        <v>33</v>
      </c>
      <c r="B10" s="394">
        <v>10</v>
      </c>
      <c r="C10" s="20">
        <v>2</v>
      </c>
      <c r="D10" s="356">
        <f t="shared" si="0"/>
        <v>20</v>
      </c>
      <c r="E10" s="180">
        <v>42150</v>
      </c>
      <c r="F10" s="114">
        <f t="shared" si="1"/>
        <v>20</v>
      </c>
      <c r="G10" s="115" t="s">
        <v>155</v>
      </c>
      <c r="H10" s="116">
        <v>640</v>
      </c>
    </row>
    <row r="11" spans="1:8" x14ac:dyDescent="0.25">
      <c r="A11" s="158"/>
      <c r="B11" s="394">
        <v>10</v>
      </c>
      <c r="C11" s="20">
        <v>10</v>
      </c>
      <c r="D11" s="356">
        <f t="shared" si="0"/>
        <v>100</v>
      </c>
      <c r="E11" s="233">
        <v>42155</v>
      </c>
      <c r="F11" s="114">
        <f t="shared" si="1"/>
        <v>100</v>
      </c>
      <c r="G11" s="115" t="s">
        <v>160</v>
      </c>
      <c r="H11" s="116">
        <v>640</v>
      </c>
    </row>
    <row r="12" spans="1:8" x14ac:dyDescent="0.25">
      <c r="A12" s="164"/>
      <c r="B12" s="394">
        <v>10</v>
      </c>
      <c r="C12" s="20">
        <v>39</v>
      </c>
      <c r="D12" s="356">
        <f t="shared" si="0"/>
        <v>390</v>
      </c>
      <c r="E12" s="233">
        <v>42155</v>
      </c>
      <c r="F12" s="114">
        <f t="shared" si="1"/>
        <v>390</v>
      </c>
      <c r="G12" s="115" t="s">
        <v>160</v>
      </c>
      <c r="H12" s="116">
        <v>640</v>
      </c>
    </row>
    <row r="13" spans="1:8" x14ac:dyDescent="0.25">
      <c r="A13" s="159" t="s">
        <v>34</v>
      </c>
      <c r="B13" s="394">
        <v>10</v>
      </c>
      <c r="C13" s="20">
        <v>80</v>
      </c>
      <c r="D13" s="543">
        <f t="shared" si="0"/>
        <v>800</v>
      </c>
      <c r="E13" s="531">
        <v>42156</v>
      </c>
      <c r="F13" s="528">
        <f t="shared" si="1"/>
        <v>800</v>
      </c>
      <c r="G13" s="530" t="s">
        <v>169</v>
      </c>
      <c r="H13" s="230">
        <v>640</v>
      </c>
    </row>
    <row r="14" spans="1:8" x14ac:dyDescent="0.25">
      <c r="A14" s="158"/>
      <c r="B14" s="394">
        <v>10</v>
      </c>
      <c r="C14" s="20">
        <v>2</v>
      </c>
      <c r="D14" s="543">
        <f t="shared" si="0"/>
        <v>20</v>
      </c>
      <c r="E14" s="544">
        <v>42171</v>
      </c>
      <c r="F14" s="528">
        <f t="shared" si="1"/>
        <v>20</v>
      </c>
      <c r="G14" s="530" t="s">
        <v>186</v>
      </c>
      <c r="H14" s="230">
        <v>640</v>
      </c>
    </row>
    <row r="15" spans="1:8" x14ac:dyDescent="0.25">
      <c r="A15" s="164"/>
      <c r="B15" s="394">
        <v>10</v>
      </c>
      <c r="C15" s="20">
        <v>2</v>
      </c>
      <c r="D15" s="543">
        <f t="shared" si="0"/>
        <v>20</v>
      </c>
      <c r="E15" s="544">
        <v>42182</v>
      </c>
      <c r="F15" s="528">
        <f t="shared" si="1"/>
        <v>20</v>
      </c>
      <c r="G15" s="545" t="s">
        <v>206</v>
      </c>
      <c r="H15" s="230">
        <v>640</v>
      </c>
    </row>
    <row r="16" spans="1:8" x14ac:dyDescent="0.25">
      <c r="A16" s="2"/>
      <c r="B16" s="394">
        <v>10</v>
      </c>
      <c r="C16" s="20">
        <v>2</v>
      </c>
      <c r="D16" s="555">
        <f t="shared" si="0"/>
        <v>20</v>
      </c>
      <c r="E16" s="556">
        <v>42201</v>
      </c>
      <c r="F16" s="550">
        <f t="shared" si="1"/>
        <v>20</v>
      </c>
      <c r="G16" s="552" t="s">
        <v>240</v>
      </c>
      <c r="H16" s="553">
        <v>640</v>
      </c>
    </row>
    <row r="17" spans="1:8" x14ac:dyDescent="0.25">
      <c r="A17" s="2"/>
      <c r="B17" s="394">
        <v>10</v>
      </c>
      <c r="C17" s="20">
        <v>10</v>
      </c>
      <c r="D17" s="520">
        <f t="shared" si="0"/>
        <v>100</v>
      </c>
      <c r="E17" s="421">
        <v>42223</v>
      </c>
      <c r="F17" s="100">
        <f t="shared" si="1"/>
        <v>100</v>
      </c>
      <c r="G17" s="111" t="s">
        <v>291</v>
      </c>
      <c r="H17" s="101">
        <v>640</v>
      </c>
    </row>
    <row r="18" spans="1:8" x14ac:dyDescent="0.25">
      <c r="A18" s="2"/>
      <c r="B18" s="394">
        <v>10</v>
      </c>
      <c r="C18" s="20">
        <v>20</v>
      </c>
      <c r="D18" s="520">
        <f t="shared" si="0"/>
        <v>200</v>
      </c>
      <c r="E18" s="372">
        <v>42238</v>
      </c>
      <c r="F18" s="100">
        <f t="shared" si="1"/>
        <v>200</v>
      </c>
      <c r="G18" s="111" t="s">
        <v>321</v>
      </c>
      <c r="H18" s="101">
        <v>600</v>
      </c>
    </row>
    <row r="19" spans="1:8" x14ac:dyDescent="0.25">
      <c r="A19" s="2"/>
      <c r="B19" s="394">
        <v>10</v>
      </c>
      <c r="C19" s="20">
        <v>2</v>
      </c>
      <c r="D19" s="520">
        <f t="shared" si="0"/>
        <v>20</v>
      </c>
      <c r="E19" s="372">
        <v>42245</v>
      </c>
      <c r="F19" s="100">
        <f t="shared" si="1"/>
        <v>20</v>
      </c>
      <c r="G19" s="111" t="s">
        <v>334</v>
      </c>
      <c r="H19" s="101">
        <v>600</v>
      </c>
    </row>
    <row r="20" spans="1:8" x14ac:dyDescent="0.25">
      <c r="A20" s="2"/>
      <c r="B20" s="394">
        <v>10</v>
      </c>
      <c r="C20" s="20">
        <v>1</v>
      </c>
      <c r="D20" s="645">
        <f t="shared" si="0"/>
        <v>10</v>
      </c>
      <c r="E20" s="638">
        <v>42251</v>
      </c>
      <c r="F20" s="629">
        <f t="shared" si="1"/>
        <v>10</v>
      </c>
      <c r="G20" s="632" t="s">
        <v>372</v>
      </c>
      <c r="H20" s="261">
        <v>600</v>
      </c>
    </row>
    <row r="21" spans="1:8" x14ac:dyDescent="0.25">
      <c r="A21" s="2"/>
      <c r="B21" s="394">
        <v>10</v>
      </c>
      <c r="C21" s="20">
        <v>3</v>
      </c>
      <c r="D21" s="645">
        <f>C21*B19</f>
        <v>30</v>
      </c>
      <c r="E21" s="635">
        <v>42258</v>
      </c>
      <c r="F21" s="629">
        <f t="shared" si="1"/>
        <v>30</v>
      </c>
      <c r="G21" s="632" t="s">
        <v>388</v>
      </c>
      <c r="H21" s="261">
        <v>600</v>
      </c>
    </row>
    <row r="22" spans="1:8" x14ac:dyDescent="0.25">
      <c r="A22" s="2"/>
      <c r="B22" s="394">
        <v>10</v>
      </c>
      <c r="C22" s="20">
        <v>2</v>
      </c>
      <c r="D22" s="645">
        <f t="shared" ref="D22:D31" si="2">C22*B20</f>
        <v>20</v>
      </c>
      <c r="E22" s="635">
        <v>42264</v>
      </c>
      <c r="F22" s="629">
        <f t="shared" si="1"/>
        <v>20</v>
      </c>
      <c r="G22" s="632" t="s">
        <v>403</v>
      </c>
      <c r="H22" s="261">
        <v>600</v>
      </c>
    </row>
    <row r="23" spans="1:8" x14ac:dyDescent="0.25">
      <c r="A23" s="2"/>
      <c r="B23" s="394">
        <v>10</v>
      </c>
      <c r="C23" s="20">
        <v>40</v>
      </c>
      <c r="D23" s="645">
        <f t="shared" si="2"/>
        <v>400</v>
      </c>
      <c r="E23" s="635">
        <v>42271</v>
      </c>
      <c r="F23" s="629">
        <f t="shared" si="1"/>
        <v>400</v>
      </c>
      <c r="G23" s="632" t="s">
        <v>412</v>
      </c>
      <c r="H23" s="261">
        <v>600</v>
      </c>
    </row>
    <row r="24" spans="1:8" x14ac:dyDescent="0.25">
      <c r="A24" s="2"/>
      <c r="B24" s="394">
        <v>10</v>
      </c>
      <c r="C24" s="20">
        <v>5</v>
      </c>
      <c r="D24" s="700">
        <f t="shared" si="2"/>
        <v>50</v>
      </c>
      <c r="E24" s="701">
        <v>42279</v>
      </c>
      <c r="F24" s="574">
        <f t="shared" si="1"/>
        <v>50</v>
      </c>
      <c r="G24" s="576" t="s">
        <v>634</v>
      </c>
      <c r="H24" s="577">
        <v>600</v>
      </c>
    </row>
    <row r="25" spans="1:8" x14ac:dyDescent="0.25">
      <c r="A25" s="2"/>
      <c r="B25" s="394">
        <v>10</v>
      </c>
      <c r="C25" s="20">
        <v>2</v>
      </c>
      <c r="D25" s="700">
        <f t="shared" si="2"/>
        <v>20</v>
      </c>
      <c r="E25" s="702">
        <v>42279</v>
      </c>
      <c r="F25" s="574">
        <f t="shared" si="1"/>
        <v>20</v>
      </c>
      <c r="G25" s="576" t="s">
        <v>637</v>
      </c>
      <c r="H25" s="577">
        <v>600</v>
      </c>
    </row>
    <row r="26" spans="1:8" x14ac:dyDescent="0.25">
      <c r="A26" s="2"/>
      <c r="B26" s="394">
        <v>10</v>
      </c>
      <c r="C26" s="20">
        <v>4</v>
      </c>
      <c r="D26" s="700">
        <f t="shared" si="2"/>
        <v>40</v>
      </c>
      <c r="E26" s="702">
        <v>42286</v>
      </c>
      <c r="F26" s="574">
        <f t="shared" si="1"/>
        <v>40</v>
      </c>
      <c r="G26" s="576" t="s">
        <v>665</v>
      </c>
      <c r="H26" s="577">
        <v>580</v>
      </c>
    </row>
    <row r="27" spans="1:8" x14ac:dyDescent="0.25">
      <c r="A27" s="2"/>
      <c r="B27" s="394">
        <v>10</v>
      </c>
      <c r="C27" s="20">
        <v>3</v>
      </c>
      <c r="D27" s="700">
        <f t="shared" si="2"/>
        <v>30</v>
      </c>
      <c r="E27" s="702">
        <v>42292</v>
      </c>
      <c r="F27" s="574">
        <f t="shared" si="1"/>
        <v>30</v>
      </c>
      <c r="G27" s="576" t="s">
        <v>700</v>
      </c>
      <c r="H27" s="577">
        <v>580</v>
      </c>
    </row>
    <row r="28" spans="1:8" x14ac:dyDescent="0.25">
      <c r="A28" s="2"/>
      <c r="B28" s="394">
        <v>10</v>
      </c>
      <c r="C28" s="20">
        <v>10</v>
      </c>
      <c r="D28" s="700">
        <f t="shared" si="2"/>
        <v>100</v>
      </c>
      <c r="E28" s="702">
        <v>42294</v>
      </c>
      <c r="F28" s="574">
        <f t="shared" si="1"/>
        <v>100</v>
      </c>
      <c r="G28" s="576" t="s">
        <v>717</v>
      </c>
      <c r="H28" s="577">
        <v>580</v>
      </c>
    </row>
    <row r="29" spans="1:8" x14ac:dyDescent="0.25">
      <c r="A29" s="2"/>
      <c r="B29" s="394">
        <v>10</v>
      </c>
      <c r="C29" s="20">
        <v>2</v>
      </c>
      <c r="D29" s="700">
        <f t="shared" si="2"/>
        <v>20</v>
      </c>
      <c r="E29" s="702">
        <v>42294</v>
      </c>
      <c r="F29" s="574">
        <f t="shared" si="1"/>
        <v>20</v>
      </c>
      <c r="G29" s="576" t="s">
        <v>718</v>
      </c>
      <c r="H29" s="577">
        <v>580</v>
      </c>
    </row>
    <row r="30" spans="1:8" x14ac:dyDescent="0.25">
      <c r="A30" s="2"/>
      <c r="B30" s="394">
        <v>10</v>
      </c>
      <c r="C30" s="20">
        <v>4</v>
      </c>
      <c r="D30" s="700">
        <f t="shared" si="2"/>
        <v>40</v>
      </c>
      <c r="E30" s="702">
        <v>42298</v>
      </c>
      <c r="F30" s="574">
        <f t="shared" si="1"/>
        <v>40</v>
      </c>
      <c r="G30" s="576" t="s">
        <v>733</v>
      </c>
      <c r="H30" s="577">
        <v>580</v>
      </c>
    </row>
    <row r="31" spans="1:8" x14ac:dyDescent="0.25">
      <c r="A31" s="2"/>
      <c r="B31" s="394">
        <v>10</v>
      </c>
      <c r="C31" s="20">
        <v>2</v>
      </c>
      <c r="D31" s="700">
        <f t="shared" si="2"/>
        <v>20</v>
      </c>
      <c r="E31" s="702">
        <v>42305</v>
      </c>
      <c r="F31" s="574">
        <f t="shared" si="1"/>
        <v>20</v>
      </c>
      <c r="G31" s="576" t="s">
        <v>771</v>
      </c>
      <c r="H31" s="577">
        <v>580</v>
      </c>
    </row>
    <row r="32" spans="1:8" x14ac:dyDescent="0.25">
      <c r="A32" s="2"/>
      <c r="B32" s="394">
        <v>10</v>
      </c>
      <c r="C32" s="20">
        <v>4</v>
      </c>
      <c r="D32" s="703">
        <f>C32*B23</f>
        <v>40</v>
      </c>
      <c r="E32" s="575">
        <v>42307</v>
      </c>
      <c r="F32" s="574">
        <f t="shared" si="1"/>
        <v>40</v>
      </c>
      <c r="G32" s="576" t="s">
        <v>783</v>
      </c>
      <c r="H32" s="577">
        <v>580</v>
      </c>
    </row>
    <row r="33" spans="1:8" x14ac:dyDescent="0.25">
      <c r="A33" s="2"/>
      <c r="B33" s="394">
        <v>10</v>
      </c>
      <c r="C33" s="20">
        <v>4</v>
      </c>
      <c r="D33" s="703">
        <f t="shared" ref="D33:D87" si="3">C33*B24</f>
        <v>40</v>
      </c>
      <c r="E33" s="575">
        <v>42308</v>
      </c>
      <c r="F33" s="574">
        <f t="shared" si="1"/>
        <v>40</v>
      </c>
      <c r="G33" s="576" t="s">
        <v>787</v>
      </c>
      <c r="H33" s="577">
        <v>580</v>
      </c>
    </row>
    <row r="34" spans="1:8" x14ac:dyDescent="0.25">
      <c r="A34" s="2"/>
      <c r="B34" s="394">
        <v>10</v>
      </c>
      <c r="C34" s="20"/>
      <c r="D34" s="703">
        <f t="shared" si="3"/>
        <v>0</v>
      </c>
      <c r="E34" s="575"/>
      <c r="F34" s="574">
        <f t="shared" si="1"/>
        <v>0</v>
      </c>
      <c r="G34" s="576"/>
      <c r="H34" s="577"/>
    </row>
    <row r="35" spans="1:8" x14ac:dyDescent="0.25">
      <c r="A35" s="2"/>
      <c r="B35" s="394">
        <v>10</v>
      </c>
      <c r="C35" s="20"/>
      <c r="D35" s="703">
        <f t="shared" si="3"/>
        <v>0</v>
      </c>
      <c r="E35" s="575"/>
      <c r="F35" s="574">
        <f t="shared" si="1"/>
        <v>0</v>
      </c>
      <c r="G35" s="576"/>
      <c r="H35" s="577"/>
    </row>
    <row r="36" spans="1:8" x14ac:dyDescent="0.25">
      <c r="A36" s="2"/>
      <c r="B36" s="394">
        <v>10</v>
      </c>
      <c r="C36" s="20"/>
      <c r="D36" s="703">
        <f t="shared" si="3"/>
        <v>0</v>
      </c>
      <c r="E36" s="575"/>
      <c r="F36" s="574">
        <f t="shared" si="1"/>
        <v>0</v>
      </c>
      <c r="G36" s="576"/>
      <c r="H36" s="577"/>
    </row>
    <row r="37" spans="1:8" x14ac:dyDescent="0.25">
      <c r="A37" s="2"/>
      <c r="B37" s="394">
        <v>10</v>
      </c>
      <c r="C37" s="20"/>
      <c r="D37" s="703">
        <f t="shared" si="3"/>
        <v>0</v>
      </c>
      <c r="E37" s="575"/>
      <c r="F37" s="574">
        <f t="shared" si="1"/>
        <v>0</v>
      </c>
      <c r="G37" s="576"/>
      <c r="H37" s="577"/>
    </row>
    <row r="38" spans="1:8" x14ac:dyDescent="0.25">
      <c r="A38" s="2"/>
      <c r="B38" s="394">
        <v>10</v>
      </c>
      <c r="C38" s="20"/>
      <c r="D38" s="703">
        <f t="shared" si="3"/>
        <v>0</v>
      </c>
      <c r="E38" s="575"/>
      <c r="F38" s="574">
        <f t="shared" si="1"/>
        <v>0</v>
      </c>
      <c r="G38" s="576"/>
      <c r="H38" s="577"/>
    </row>
    <row r="39" spans="1:8" x14ac:dyDescent="0.25">
      <c r="A39" s="2"/>
      <c r="B39" s="394">
        <v>10</v>
      </c>
      <c r="C39" s="20"/>
      <c r="D39" s="703">
        <f t="shared" si="3"/>
        <v>0</v>
      </c>
      <c r="E39" s="575"/>
      <c r="F39" s="574">
        <f t="shared" si="1"/>
        <v>0</v>
      </c>
      <c r="G39" s="576"/>
      <c r="H39" s="577"/>
    </row>
    <row r="40" spans="1:8" x14ac:dyDescent="0.25">
      <c r="A40" s="2"/>
      <c r="B40" s="394">
        <v>10</v>
      </c>
      <c r="C40" s="20"/>
      <c r="D40" s="703">
        <f t="shared" si="3"/>
        <v>0</v>
      </c>
      <c r="E40" s="575"/>
      <c r="F40" s="574">
        <f t="shared" si="1"/>
        <v>0</v>
      </c>
      <c r="G40" s="576"/>
      <c r="H40" s="577"/>
    </row>
    <row r="41" spans="1:8" x14ac:dyDescent="0.25">
      <c r="A41" s="2"/>
      <c r="B41" s="394">
        <v>10</v>
      </c>
      <c r="C41" s="20"/>
      <c r="D41" s="703">
        <f t="shared" si="3"/>
        <v>0</v>
      </c>
      <c r="E41" s="575"/>
      <c r="F41" s="574">
        <f t="shared" si="1"/>
        <v>0</v>
      </c>
      <c r="G41" s="576"/>
      <c r="H41" s="577"/>
    </row>
    <row r="42" spans="1:8" x14ac:dyDescent="0.25">
      <c r="A42" s="2"/>
      <c r="B42" s="394">
        <v>10</v>
      </c>
      <c r="C42" s="20"/>
      <c r="D42" s="703">
        <f t="shared" si="3"/>
        <v>0</v>
      </c>
      <c r="E42" s="575"/>
      <c r="F42" s="574">
        <f t="shared" si="1"/>
        <v>0</v>
      </c>
      <c r="G42" s="576"/>
      <c r="H42" s="577"/>
    </row>
    <row r="43" spans="1:8" x14ac:dyDescent="0.25">
      <c r="A43" s="2"/>
      <c r="B43" s="394">
        <v>10</v>
      </c>
      <c r="C43" s="20"/>
      <c r="D43" s="703">
        <f t="shared" si="3"/>
        <v>0</v>
      </c>
      <c r="E43" s="575"/>
      <c r="F43" s="574">
        <f t="shared" si="1"/>
        <v>0</v>
      </c>
      <c r="G43" s="576"/>
      <c r="H43" s="577"/>
    </row>
    <row r="44" spans="1:8" x14ac:dyDescent="0.25">
      <c r="A44" s="2"/>
      <c r="B44" s="394">
        <v>10</v>
      </c>
      <c r="C44" s="20"/>
      <c r="D44" s="703">
        <f t="shared" si="3"/>
        <v>0</v>
      </c>
      <c r="E44" s="575"/>
      <c r="F44" s="574">
        <f t="shared" si="1"/>
        <v>0</v>
      </c>
      <c r="G44" s="576"/>
      <c r="H44" s="577"/>
    </row>
    <row r="45" spans="1:8" x14ac:dyDescent="0.25">
      <c r="A45" s="2"/>
      <c r="B45" s="394">
        <v>10</v>
      </c>
      <c r="C45" s="20"/>
      <c r="D45" s="703">
        <f t="shared" si="3"/>
        <v>0</v>
      </c>
      <c r="E45" s="575"/>
      <c r="F45" s="574">
        <f t="shared" si="1"/>
        <v>0</v>
      </c>
      <c r="G45" s="576"/>
      <c r="H45" s="577"/>
    </row>
    <row r="46" spans="1:8" x14ac:dyDescent="0.25">
      <c r="A46" s="2"/>
      <c r="B46" s="394">
        <v>10</v>
      </c>
      <c r="C46" s="20"/>
      <c r="D46" s="703">
        <f t="shared" si="3"/>
        <v>0</v>
      </c>
      <c r="E46" s="575"/>
      <c r="F46" s="574">
        <f t="shared" si="1"/>
        <v>0</v>
      </c>
      <c r="G46" s="576"/>
      <c r="H46" s="577"/>
    </row>
    <row r="47" spans="1:8" x14ac:dyDescent="0.25">
      <c r="A47" s="2"/>
      <c r="B47" s="394">
        <v>10</v>
      </c>
      <c r="C47" s="20"/>
      <c r="D47" s="703">
        <f t="shared" si="3"/>
        <v>0</v>
      </c>
      <c r="E47" s="575"/>
      <c r="F47" s="574">
        <f t="shared" si="1"/>
        <v>0</v>
      </c>
      <c r="G47" s="576"/>
      <c r="H47" s="577"/>
    </row>
    <row r="48" spans="1:8" x14ac:dyDescent="0.25">
      <c r="A48" s="2"/>
      <c r="B48" s="394">
        <v>10</v>
      </c>
      <c r="C48" s="20"/>
      <c r="D48" s="703">
        <f t="shared" si="3"/>
        <v>0</v>
      </c>
      <c r="E48" s="575"/>
      <c r="F48" s="574">
        <f t="shared" si="1"/>
        <v>0</v>
      </c>
      <c r="G48" s="576"/>
      <c r="H48" s="577"/>
    </row>
    <row r="49" spans="1:8" x14ac:dyDescent="0.25">
      <c r="A49" s="2"/>
      <c r="B49" s="394">
        <v>10</v>
      </c>
      <c r="C49" s="20"/>
      <c r="D49" s="703">
        <f t="shared" si="3"/>
        <v>0</v>
      </c>
      <c r="E49" s="575"/>
      <c r="F49" s="574">
        <f t="shared" si="1"/>
        <v>0</v>
      </c>
      <c r="G49" s="576"/>
      <c r="H49" s="577"/>
    </row>
    <row r="50" spans="1:8" x14ac:dyDescent="0.25">
      <c r="A50" s="2"/>
      <c r="B50" s="394">
        <v>10</v>
      </c>
      <c r="C50" s="20"/>
      <c r="D50" s="703">
        <f t="shared" si="3"/>
        <v>0</v>
      </c>
      <c r="E50" s="575"/>
      <c r="F50" s="574">
        <f t="shared" si="1"/>
        <v>0</v>
      </c>
      <c r="G50" s="576"/>
      <c r="H50" s="577"/>
    </row>
    <row r="51" spans="1:8" x14ac:dyDescent="0.25">
      <c r="A51" s="2"/>
      <c r="B51" s="394">
        <v>10</v>
      </c>
      <c r="C51" s="20"/>
      <c r="D51" s="703">
        <f t="shared" si="3"/>
        <v>0</v>
      </c>
      <c r="E51" s="575"/>
      <c r="F51" s="574">
        <f t="shared" si="1"/>
        <v>0</v>
      </c>
      <c r="G51" s="576"/>
      <c r="H51" s="577"/>
    </row>
    <row r="52" spans="1:8" x14ac:dyDescent="0.25">
      <c r="A52" s="2"/>
      <c r="B52" s="394">
        <v>10</v>
      </c>
      <c r="C52" s="20"/>
      <c r="D52" s="703">
        <f t="shared" si="3"/>
        <v>0</v>
      </c>
      <c r="E52" s="575"/>
      <c r="F52" s="574">
        <f t="shared" si="1"/>
        <v>0</v>
      </c>
      <c r="G52" s="576"/>
      <c r="H52" s="577"/>
    </row>
    <row r="53" spans="1:8" x14ac:dyDescent="0.25">
      <c r="A53" s="2"/>
      <c r="B53" s="394">
        <v>10</v>
      </c>
      <c r="C53" s="20"/>
      <c r="D53" s="703">
        <f t="shared" si="3"/>
        <v>0</v>
      </c>
      <c r="E53" s="575"/>
      <c r="F53" s="574">
        <f t="shared" si="1"/>
        <v>0</v>
      </c>
      <c r="G53" s="576"/>
      <c r="H53" s="577"/>
    </row>
    <row r="54" spans="1:8" x14ac:dyDescent="0.25">
      <c r="A54" s="2"/>
      <c r="B54" s="394">
        <v>10</v>
      </c>
      <c r="C54" s="20"/>
      <c r="D54" s="703">
        <f t="shared" si="3"/>
        <v>0</v>
      </c>
      <c r="E54" s="575"/>
      <c r="F54" s="574">
        <f t="shared" si="1"/>
        <v>0</v>
      </c>
      <c r="G54" s="576"/>
      <c r="H54" s="577"/>
    </row>
    <row r="55" spans="1:8" x14ac:dyDescent="0.25">
      <c r="A55" s="2"/>
      <c r="B55" s="394">
        <v>10</v>
      </c>
      <c r="C55" s="20"/>
      <c r="D55" s="703">
        <f t="shared" si="3"/>
        <v>0</v>
      </c>
      <c r="E55" s="575"/>
      <c r="F55" s="574">
        <f t="shared" si="1"/>
        <v>0</v>
      </c>
      <c r="G55" s="576"/>
      <c r="H55" s="577"/>
    </row>
    <row r="56" spans="1:8" x14ac:dyDescent="0.25">
      <c r="A56" s="2"/>
      <c r="B56" s="394">
        <v>10</v>
      </c>
      <c r="C56" s="20"/>
      <c r="D56" s="703">
        <f t="shared" si="3"/>
        <v>0</v>
      </c>
      <c r="E56" s="575"/>
      <c r="F56" s="574">
        <f t="shared" si="1"/>
        <v>0</v>
      </c>
      <c r="G56" s="576"/>
      <c r="H56" s="577"/>
    </row>
    <row r="57" spans="1:8" x14ac:dyDescent="0.25">
      <c r="A57" s="2"/>
      <c r="B57" s="394">
        <v>10</v>
      </c>
      <c r="C57" s="20"/>
      <c r="D57" s="703">
        <f t="shared" si="3"/>
        <v>0</v>
      </c>
      <c r="E57" s="575"/>
      <c r="F57" s="574">
        <f t="shared" si="1"/>
        <v>0</v>
      </c>
      <c r="G57" s="576"/>
      <c r="H57" s="577"/>
    </row>
    <row r="58" spans="1:8" x14ac:dyDescent="0.25">
      <c r="A58" s="2"/>
      <c r="B58" s="394">
        <v>10</v>
      </c>
      <c r="C58" s="20"/>
      <c r="D58" s="703">
        <f t="shared" si="3"/>
        <v>0</v>
      </c>
      <c r="E58" s="575"/>
      <c r="F58" s="574">
        <f t="shared" si="1"/>
        <v>0</v>
      </c>
      <c r="G58" s="576"/>
      <c r="H58" s="577"/>
    </row>
    <row r="59" spans="1:8" x14ac:dyDescent="0.25">
      <c r="A59" s="2"/>
      <c r="B59" s="394">
        <v>10</v>
      </c>
      <c r="C59" s="20"/>
      <c r="D59" s="703">
        <f t="shared" si="3"/>
        <v>0</v>
      </c>
      <c r="E59" s="575"/>
      <c r="F59" s="574">
        <f t="shared" si="1"/>
        <v>0</v>
      </c>
      <c r="G59" s="576"/>
      <c r="H59" s="577"/>
    </row>
    <row r="60" spans="1:8" x14ac:dyDescent="0.25">
      <c r="A60" s="2"/>
      <c r="B60" s="394">
        <v>10</v>
      </c>
      <c r="C60" s="20"/>
      <c r="D60" s="703">
        <f t="shared" si="3"/>
        <v>0</v>
      </c>
      <c r="E60" s="575"/>
      <c r="F60" s="574">
        <f t="shared" si="1"/>
        <v>0</v>
      </c>
      <c r="G60" s="576"/>
      <c r="H60" s="577"/>
    </row>
    <row r="61" spans="1:8" x14ac:dyDescent="0.25">
      <c r="A61" s="2"/>
      <c r="B61" s="394">
        <v>10</v>
      </c>
      <c r="C61" s="20"/>
      <c r="D61" s="703">
        <f t="shared" si="3"/>
        <v>0</v>
      </c>
      <c r="E61" s="575"/>
      <c r="F61" s="574">
        <f t="shared" si="1"/>
        <v>0</v>
      </c>
      <c r="G61" s="576"/>
      <c r="H61" s="577"/>
    </row>
    <row r="62" spans="1:8" x14ac:dyDescent="0.25">
      <c r="A62" s="2"/>
      <c r="B62" s="394">
        <v>10</v>
      </c>
      <c r="C62" s="20"/>
      <c r="D62" s="703">
        <f t="shared" si="3"/>
        <v>0</v>
      </c>
      <c r="E62" s="575"/>
      <c r="F62" s="574">
        <f t="shared" si="1"/>
        <v>0</v>
      </c>
      <c r="G62" s="576"/>
      <c r="H62" s="577"/>
    </row>
    <row r="63" spans="1:8" x14ac:dyDescent="0.25">
      <c r="A63" s="2"/>
      <c r="B63" s="394">
        <v>10</v>
      </c>
      <c r="C63" s="20"/>
      <c r="D63" s="703">
        <f t="shared" si="3"/>
        <v>0</v>
      </c>
      <c r="E63" s="575"/>
      <c r="F63" s="574">
        <f t="shared" si="1"/>
        <v>0</v>
      </c>
      <c r="G63" s="576"/>
      <c r="H63" s="577"/>
    </row>
    <row r="64" spans="1:8" x14ac:dyDescent="0.25">
      <c r="A64" s="2"/>
      <c r="B64" s="394">
        <v>10</v>
      </c>
      <c r="C64" s="20"/>
      <c r="D64" s="703">
        <f t="shared" si="3"/>
        <v>0</v>
      </c>
      <c r="E64" s="575"/>
      <c r="F64" s="574">
        <f t="shared" si="1"/>
        <v>0</v>
      </c>
      <c r="G64" s="576"/>
      <c r="H64" s="577"/>
    </row>
    <row r="65" spans="1:8" x14ac:dyDescent="0.25">
      <c r="A65" s="2"/>
      <c r="B65" s="394">
        <v>10</v>
      </c>
      <c r="C65" s="20"/>
      <c r="D65" s="703">
        <f t="shared" si="3"/>
        <v>0</v>
      </c>
      <c r="E65" s="575"/>
      <c r="F65" s="574">
        <f t="shared" si="1"/>
        <v>0</v>
      </c>
      <c r="G65" s="576"/>
      <c r="H65" s="577"/>
    </row>
    <row r="66" spans="1:8" x14ac:dyDescent="0.25">
      <c r="A66" s="2"/>
      <c r="B66" s="394">
        <v>10</v>
      </c>
      <c r="C66" s="20"/>
      <c r="D66" s="703">
        <f t="shared" si="3"/>
        <v>0</v>
      </c>
      <c r="E66" s="575"/>
      <c r="F66" s="574">
        <f t="shared" si="1"/>
        <v>0</v>
      </c>
      <c r="G66" s="576"/>
      <c r="H66" s="577"/>
    </row>
    <row r="67" spans="1:8" x14ac:dyDescent="0.25">
      <c r="A67" s="2"/>
      <c r="B67" s="394">
        <v>10</v>
      </c>
      <c r="C67" s="20"/>
      <c r="D67" s="703">
        <f t="shared" si="3"/>
        <v>0</v>
      </c>
      <c r="E67" s="575"/>
      <c r="F67" s="574">
        <f t="shared" si="1"/>
        <v>0</v>
      </c>
      <c r="G67" s="576"/>
      <c r="H67" s="577"/>
    </row>
    <row r="68" spans="1:8" x14ac:dyDescent="0.25">
      <c r="A68" s="2"/>
      <c r="B68" s="394">
        <v>10</v>
      </c>
      <c r="C68" s="20"/>
      <c r="D68" s="703">
        <f t="shared" si="3"/>
        <v>0</v>
      </c>
      <c r="E68" s="575"/>
      <c r="F68" s="574">
        <f t="shared" si="1"/>
        <v>0</v>
      </c>
      <c r="G68" s="576"/>
      <c r="H68" s="577"/>
    </row>
    <row r="69" spans="1:8" x14ac:dyDescent="0.25">
      <c r="A69" s="2"/>
      <c r="B69" s="394">
        <v>10</v>
      </c>
      <c r="C69" s="20"/>
      <c r="D69" s="703">
        <f t="shared" si="3"/>
        <v>0</v>
      </c>
      <c r="E69" s="575"/>
      <c r="F69" s="574">
        <f t="shared" si="1"/>
        <v>0</v>
      </c>
      <c r="G69" s="576"/>
      <c r="H69" s="577"/>
    </row>
    <row r="70" spans="1:8" x14ac:dyDescent="0.25">
      <c r="A70" s="2"/>
      <c r="B70" s="394">
        <v>10</v>
      </c>
      <c r="C70" s="20"/>
      <c r="D70" s="703">
        <f t="shared" si="3"/>
        <v>0</v>
      </c>
      <c r="E70" s="575"/>
      <c r="F70" s="574">
        <f t="shared" si="1"/>
        <v>0</v>
      </c>
      <c r="G70" s="576"/>
      <c r="H70" s="577"/>
    </row>
    <row r="71" spans="1:8" x14ac:dyDescent="0.25">
      <c r="A71" s="2"/>
      <c r="B71" s="394">
        <v>10</v>
      </c>
      <c r="C71" s="20"/>
      <c r="D71" s="703">
        <f t="shared" si="3"/>
        <v>0</v>
      </c>
      <c r="E71" s="575"/>
      <c r="F71" s="574">
        <f t="shared" si="1"/>
        <v>0</v>
      </c>
      <c r="G71" s="576"/>
      <c r="H71" s="577"/>
    </row>
    <row r="72" spans="1:8" x14ac:dyDescent="0.25">
      <c r="A72" s="2"/>
      <c r="B72" s="394">
        <v>10</v>
      </c>
      <c r="C72" s="20"/>
      <c r="D72" s="703">
        <f t="shared" si="3"/>
        <v>0</v>
      </c>
      <c r="E72" s="575"/>
      <c r="F72" s="574">
        <f t="shared" si="1"/>
        <v>0</v>
      </c>
      <c r="G72" s="576"/>
      <c r="H72" s="577"/>
    </row>
    <row r="73" spans="1:8" x14ac:dyDescent="0.25">
      <c r="A73" s="2"/>
      <c r="B73" s="394">
        <v>10</v>
      </c>
      <c r="C73" s="20"/>
      <c r="D73" s="703">
        <f t="shared" si="3"/>
        <v>0</v>
      </c>
      <c r="E73" s="575"/>
      <c r="F73" s="574">
        <f t="shared" si="1"/>
        <v>0</v>
      </c>
      <c r="G73" s="576"/>
      <c r="H73" s="577"/>
    </row>
    <row r="74" spans="1:8" x14ac:dyDescent="0.25">
      <c r="A74" s="2"/>
      <c r="B74" s="394">
        <v>10</v>
      </c>
      <c r="C74" s="20"/>
      <c r="D74" s="703">
        <f t="shared" si="3"/>
        <v>0</v>
      </c>
      <c r="E74" s="575"/>
      <c r="F74" s="574">
        <f t="shared" si="1"/>
        <v>0</v>
      </c>
      <c r="G74" s="576"/>
      <c r="H74" s="577"/>
    </row>
    <row r="75" spans="1:8" x14ac:dyDescent="0.25">
      <c r="A75" s="2"/>
      <c r="B75" s="394">
        <v>10</v>
      </c>
      <c r="C75" s="20"/>
      <c r="D75" s="703">
        <f t="shared" si="3"/>
        <v>0</v>
      </c>
      <c r="E75" s="575"/>
      <c r="F75" s="574">
        <f t="shared" si="1"/>
        <v>0</v>
      </c>
      <c r="G75" s="576"/>
      <c r="H75" s="577"/>
    </row>
    <row r="76" spans="1:8" x14ac:dyDescent="0.25">
      <c r="A76" s="2"/>
      <c r="B76" s="394">
        <v>10</v>
      </c>
      <c r="C76" s="20"/>
      <c r="D76" s="703">
        <f t="shared" si="3"/>
        <v>0</v>
      </c>
      <c r="E76" s="575"/>
      <c r="F76" s="574">
        <f t="shared" si="1"/>
        <v>0</v>
      </c>
      <c r="G76" s="576"/>
      <c r="H76" s="577"/>
    </row>
    <row r="77" spans="1:8" x14ac:dyDescent="0.25">
      <c r="A77" s="2"/>
      <c r="B77" s="394">
        <v>10</v>
      </c>
      <c r="C77" s="20"/>
      <c r="D77" s="703">
        <f t="shared" si="3"/>
        <v>0</v>
      </c>
      <c r="E77" s="575"/>
      <c r="F77" s="574">
        <f t="shared" si="1"/>
        <v>0</v>
      </c>
      <c r="G77" s="576"/>
      <c r="H77" s="577"/>
    </row>
    <row r="78" spans="1:8" x14ac:dyDescent="0.25">
      <c r="A78" s="2"/>
      <c r="B78" s="394">
        <v>10</v>
      </c>
      <c r="C78" s="20"/>
      <c r="D78" s="703">
        <f t="shared" si="3"/>
        <v>0</v>
      </c>
      <c r="E78" s="575"/>
      <c r="F78" s="574">
        <f t="shared" si="1"/>
        <v>0</v>
      </c>
      <c r="G78" s="576"/>
      <c r="H78" s="577"/>
    </row>
    <row r="79" spans="1:8" x14ac:dyDescent="0.25">
      <c r="A79" s="2"/>
      <c r="B79" s="394">
        <v>10</v>
      </c>
      <c r="C79" s="20"/>
      <c r="D79" s="703">
        <f t="shared" si="3"/>
        <v>0</v>
      </c>
      <c r="E79" s="575"/>
      <c r="F79" s="574">
        <f t="shared" si="1"/>
        <v>0</v>
      </c>
      <c r="G79" s="576"/>
      <c r="H79" s="577"/>
    </row>
    <row r="80" spans="1:8" x14ac:dyDescent="0.25">
      <c r="A80" s="2"/>
      <c r="B80" s="394">
        <v>10</v>
      </c>
      <c r="C80" s="20"/>
      <c r="D80" s="703">
        <f t="shared" si="3"/>
        <v>0</v>
      </c>
      <c r="E80" s="575"/>
      <c r="F80" s="574">
        <f t="shared" si="1"/>
        <v>0</v>
      </c>
      <c r="G80" s="576"/>
      <c r="H80" s="577"/>
    </row>
    <row r="81" spans="1:8" x14ac:dyDescent="0.25">
      <c r="A81" s="2"/>
      <c r="B81" s="394">
        <v>10</v>
      </c>
      <c r="C81" s="20"/>
      <c r="D81" s="703">
        <f t="shared" si="3"/>
        <v>0</v>
      </c>
      <c r="E81" s="575"/>
      <c r="F81" s="574">
        <f t="shared" si="1"/>
        <v>0</v>
      </c>
      <c r="G81" s="576"/>
      <c r="H81" s="577"/>
    </row>
    <row r="82" spans="1:8" x14ac:dyDescent="0.25">
      <c r="A82" s="2"/>
      <c r="B82" s="394">
        <v>10</v>
      </c>
      <c r="C82" s="20"/>
      <c r="D82" s="703">
        <f t="shared" si="3"/>
        <v>0</v>
      </c>
      <c r="E82" s="575"/>
      <c r="F82" s="574">
        <f t="shared" si="1"/>
        <v>0</v>
      </c>
      <c r="G82" s="576"/>
      <c r="H82" s="577"/>
    </row>
    <row r="83" spans="1:8" x14ac:dyDescent="0.25">
      <c r="A83" s="2"/>
      <c r="B83" s="394">
        <v>10</v>
      </c>
      <c r="C83" s="20"/>
      <c r="D83" s="703">
        <f t="shared" si="3"/>
        <v>0</v>
      </c>
      <c r="E83" s="575"/>
      <c r="F83" s="574">
        <f t="shared" si="1"/>
        <v>0</v>
      </c>
      <c r="G83" s="576"/>
      <c r="H83" s="577"/>
    </row>
    <row r="84" spans="1:8" x14ac:dyDescent="0.25">
      <c r="A84" s="207"/>
      <c r="B84" s="394">
        <v>10</v>
      </c>
      <c r="C84" s="20"/>
      <c r="D84" s="703">
        <f t="shared" si="3"/>
        <v>0</v>
      </c>
      <c r="E84" s="575"/>
      <c r="F84" s="574">
        <f t="shared" si="1"/>
        <v>0</v>
      </c>
      <c r="G84" s="576"/>
      <c r="H84" s="577"/>
    </row>
    <row r="85" spans="1:8" x14ac:dyDescent="0.25">
      <c r="A85" s="2"/>
      <c r="B85" s="394">
        <v>10</v>
      </c>
      <c r="C85" s="20"/>
      <c r="D85" s="703">
        <f t="shared" si="3"/>
        <v>0</v>
      </c>
      <c r="E85" s="575"/>
      <c r="F85" s="574">
        <f t="shared" si="1"/>
        <v>0</v>
      </c>
      <c r="G85" s="576"/>
      <c r="H85" s="577"/>
    </row>
    <row r="86" spans="1:8" x14ac:dyDescent="0.25">
      <c r="A86" s="2"/>
      <c r="B86" s="394">
        <v>10</v>
      </c>
      <c r="C86" s="20"/>
      <c r="D86" s="703">
        <f t="shared" si="3"/>
        <v>0</v>
      </c>
      <c r="E86" s="575"/>
      <c r="F86" s="574">
        <f t="shared" si="1"/>
        <v>0</v>
      </c>
      <c r="G86" s="576"/>
      <c r="H86" s="577"/>
    </row>
    <row r="87" spans="1:8" x14ac:dyDescent="0.25">
      <c r="A87" s="2"/>
      <c r="B87" s="394">
        <v>10</v>
      </c>
      <c r="C87" s="20"/>
      <c r="D87" s="703">
        <f t="shared" si="3"/>
        <v>0</v>
      </c>
      <c r="E87" s="575"/>
      <c r="F87" s="574">
        <f t="shared" si="1"/>
        <v>0</v>
      </c>
      <c r="G87" s="576"/>
      <c r="H87" s="577"/>
    </row>
    <row r="88" spans="1:8" x14ac:dyDescent="0.25">
      <c r="A88" s="2"/>
      <c r="B88" s="394">
        <v>10</v>
      </c>
      <c r="C88" s="20"/>
      <c r="D88" s="703">
        <f>C88*B29</f>
        <v>0</v>
      </c>
      <c r="E88" s="575"/>
      <c r="F88" s="574">
        <f t="shared" si="1"/>
        <v>0</v>
      </c>
      <c r="G88" s="576"/>
      <c r="H88" s="577"/>
    </row>
    <row r="89" spans="1:8" ht="15.75" thickBot="1" x14ac:dyDescent="0.3">
      <c r="A89" s="4"/>
      <c r="B89" s="394">
        <v>10</v>
      </c>
      <c r="C89" s="48"/>
      <c r="D89" s="704">
        <f>C89*B30</f>
        <v>0</v>
      </c>
      <c r="E89" s="705"/>
      <c r="F89" s="706">
        <f t="shared" si="1"/>
        <v>0</v>
      </c>
      <c r="G89" s="707"/>
      <c r="H89" s="577"/>
    </row>
    <row r="90" spans="1:8" ht="16.5" thickTop="1" thickBot="1" x14ac:dyDescent="0.3">
      <c r="C90" s="177">
        <f>SUM(C8:C89)</f>
        <v>266</v>
      </c>
      <c r="D90" s="220">
        <f>SUM(D8:D89)</f>
        <v>2660</v>
      </c>
      <c r="E90" s="50"/>
      <c r="F90" s="6">
        <f>SUM(F8:F89)</f>
        <v>2660</v>
      </c>
    </row>
    <row r="91" spans="1:8" ht="15.75" thickBot="1" x14ac:dyDescent="0.3">
      <c r="A91" s="247"/>
      <c r="D91" s="221" t="s">
        <v>4</v>
      </c>
      <c r="E91" s="113">
        <f>F4+F5+F6-+C90</f>
        <v>641</v>
      </c>
    </row>
    <row r="92" spans="1:8" ht="15.75" thickBot="1" x14ac:dyDescent="0.3">
      <c r="A92" s="240"/>
    </row>
    <row r="93" spans="1:8" ht="16.5" thickTop="1" thickBot="1" x14ac:dyDescent="0.3">
      <c r="A93" s="170"/>
      <c r="C93" s="764" t="s">
        <v>11</v>
      </c>
      <c r="D93" s="765"/>
      <c r="E93" s="323">
        <f>E5+E4+E6+-F90</f>
        <v>6410</v>
      </c>
    </row>
  </sheetData>
  <mergeCells count="3">
    <mergeCell ref="A1:G1"/>
    <mergeCell ref="B5:B6"/>
    <mergeCell ref="C93:D9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opLeftCell="T1" workbookViewId="0">
      <selection activeCell="W13" sqref="W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6" ht="40.5" x14ac:dyDescent="0.55000000000000004">
      <c r="A1" s="759" t="s">
        <v>259</v>
      </c>
      <c r="B1" s="759"/>
      <c r="C1" s="759"/>
      <c r="D1" s="759"/>
      <c r="E1" s="759"/>
      <c r="F1" s="759"/>
      <c r="G1" s="759"/>
      <c r="H1" s="14">
        <v>1</v>
      </c>
      <c r="J1" s="756" t="s">
        <v>494</v>
      </c>
      <c r="K1" s="756"/>
      <c r="L1" s="756"/>
      <c r="M1" s="756"/>
      <c r="N1" s="756"/>
      <c r="O1" s="756"/>
      <c r="P1" s="756"/>
      <c r="Q1" s="14">
        <f>H1+1</f>
        <v>2</v>
      </c>
      <c r="S1" s="751" t="s">
        <v>423</v>
      </c>
      <c r="T1" s="751"/>
      <c r="U1" s="751"/>
      <c r="V1" s="751"/>
      <c r="W1" s="751"/>
      <c r="X1" s="751"/>
      <c r="Y1" s="751"/>
      <c r="Z1" s="14">
        <f>Q1+1</f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</row>
    <row r="4" spans="1:26" ht="15.75" thickTop="1" x14ac:dyDescent="0.25">
      <c r="B4" s="15"/>
      <c r="C4" s="438">
        <v>35</v>
      </c>
      <c r="E4" s="6"/>
      <c r="F4" s="66"/>
      <c r="G4" s="16"/>
      <c r="H4" s="620"/>
      <c r="K4" s="15"/>
      <c r="L4" s="438">
        <v>35</v>
      </c>
      <c r="N4" s="6"/>
      <c r="O4" s="66"/>
      <c r="P4" s="650" t="s">
        <v>283</v>
      </c>
      <c r="Q4" s="16"/>
      <c r="T4" s="15"/>
      <c r="U4" s="438"/>
      <c r="W4" s="6">
        <v>25</v>
      </c>
      <c r="X4" s="66">
        <v>5</v>
      </c>
      <c r="Y4" s="16"/>
      <c r="Z4" s="16"/>
    </row>
    <row r="5" spans="1:26" x14ac:dyDescent="0.25">
      <c r="A5" s="15" t="s">
        <v>45</v>
      </c>
      <c r="B5" s="15" t="s">
        <v>48</v>
      </c>
      <c r="C5" s="573" t="s">
        <v>219</v>
      </c>
      <c r="D5" s="354">
        <v>42201</v>
      </c>
      <c r="E5" s="18">
        <v>3000</v>
      </c>
      <c r="F5" s="15">
        <v>300</v>
      </c>
      <c r="G5" s="18">
        <f>F71</f>
        <v>3050</v>
      </c>
      <c r="H5" s="621">
        <f>E4+E5-G5+E6</f>
        <v>-50</v>
      </c>
      <c r="J5" s="124" t="s">
        <v>45</v>
      </c>
      <c r="K5" s="124" t="s">
        <v>48</v>
      </c>
      <c r="L5" s="314" t="s">
        <v>280</v>
      </c>
      <c r="M5" s="354">
        <v>42243</v>
      </c>
      <c r="N5" s="18">
        <v>5000</v>
      </c>
      <c r="O5" s="15">
        <v>1000</v>
      </c>
      <c r="P5" s="730">
        <f>O71</f>
        <v>5000</v>
      </c>
      <c r="Q5" s="10">
        <f>N4+N5-P5+N6</f>
        <v>0</v>
      </c>
      <c r="S5" s="124" t="s">
        <v>45</v>
      </c>
      <c r="T5" s="124" t="s">
        <v>48</v>
      </c>
      <c r="U5" s="266">
        <v>36.75</v>
      </c>
      <c r="V5" s="354">
        <v>42298</v>
      </c>
      <c r="W5" s="204">
        <v>5000</v>
      </c>
      <c r="X5" s="124">
        <v>1000</v>
      </c>
      <c r="Y5" s="18">
        <f>X71</f>
        <v>450</v>
      </c>
      <c r="Z5" s="10">
        <f>W4+W5-Y5+W6</f>
        <v>4575</v>
      </c>
    </row>
    <row r="6" spans="1:26" ht="15.75" thickBot="1" x14ac:dyDescent="0.3">
      <c r="A6" s="16"/>
      <c r="B6" s="15"/>
      <c r="C6" s="16"/>
      <c r="D6" s="16"/>
      <c r="E6" s="133"/>
      <c r="F6" s="124"/>
      <c r="G6" s="16"/>
      <c r="H6" s="620"/>
      <c r="J6" s="16"/>
      <c r="K6" s="15"/>
      <c r="L6" s="16"/>
      <c r="M6" s="16"/>
      <c r="N6" s="133"/>
      <c r="O6" s="124"/>
      <c r="P6" s="16"/>
      <c r="S6" s="16"/>
      <c r="T6" s="15"/>
      <c r="U6" s="16"/>
      <c r="V6" s="16"/>
      <c r="W6" s="133"/>
      <c r="X6" s="124"/>
      <c r="Y6" s="16"/>
    </row>
    <row r="7" spans="1:26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7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</row>
    <row r="8" spans="1:26" ht="15.75" thickTop="1" x14ac:dyDescent="0.25">
      <c r="A8" s="7"/>
      <c r="B8" s="291">
        <v>10</v>
      </c>
      <c r="C8" s="20">
        <v>10</v>
      </c>
      <c r="D8" s="114">
        <f t="shared" ref="D8:D70" si="0">C8*B8</f>
        <v>100</v>
      </c>
      <c r="E8" s="180">
        <v>42203</v>
      </c>
      <c r="F8" s="114">
        <f t="shared" ref="F8:F70" si="1">D8</f>
        <v>100</v>
      </c>
      <c r="G8" s="115" t="s">
        <v>244</v>
      </c>
      <c r="H8" s="212">
        <v>40</v>
      </c>
      <c r="J8" s="7"/>
      <c r="K8" s="291">
        <v>5</v>
      </c>
      <c r="L8" s="20">
        <v>10</v>
      </c>
      <c r="M8" s="254">
        <f t="shared" ref="M8:M10" si="2">L8*K8</f>
        <v>50</v>
      </c>
      <c r="N8" s="615">
        <v>42243</v>
      </c>
      <c r="O8" s="254">
        <f t="shared" ref="O8:O10" si="3">M8</f>
        <v>50</v>
      </c>
      <c r="P8" s="255" t="s">
        <v>329</v>
      </c>
      <c r="Q8" s="474">
        <v>40</v>
      </c>
      <c r="S8" s="7"/>
      <c r="T8" s="291">
        <v>5</v>
      </c>
      <c r="U8" s="20">
        <v>20</v>
      </c>
      <c r="V8" s="254">
        <f t="shared" ref="V8:V10" si="4">U8*T8</f>
        <v>100</v>
      </c>
      <c r="W8" s="615">
        <v>42305</v>
      </c>
      <c r="X8" s="254">
        <f t="shared" ref="X8:X10" si="5">V8</f>
        <v>100</v>
      </c>
      <c r="Y8" s="255" t="s">
        <v>771</v>
      </c>
      <c r="Z8" s="474">
        <v>40</v>
      </c>
    </row>
    <row r="9" spans="1:26" x14ac:dyDescent="0.25">
      <c r="B9" s="291">
        <v>10</v>
      </c>
      <c r="C9" s="20">
        <v>90</v>
      </c>
      <c r="D9" s="114">
        <f t="shared" si="0"/>
        <v>900</v>
      </c>
      <c r="E9" s="180">
        <v>42203</v>
      </c>
      <c r="F9" s="114">
        <f t="shared" si="1"/>
        <v>900</v>
      </c>
      <c r="G9" s="115" t="s">
        <v>245</v>
      </c>
      <c r="H9" s="212">
        <v>40</v>
      </c>
      <c r="K9" s="291">
        <v>5</v>
      </c>
      <c r="L9" s="20">
        <v>20</v>
      </c>
      <c r="M9" s="616">
        <f t="shared" si="2"/>
        <v>100</v>
      </c>
      <c r="N9" s="615">
        <v>42244</v>
      </c>
      <c r="O9" s="254">
        <f t="shared" si="3"/>
        <v>100</v>
      </c>
      <c r="P9" s="255" t="s">
        <v>333</v>
      </c>
      <c r="Q9" s="256">
        <v>40</v>
      </c>
      <c r="T9" s="291">
        <v>5</v>
      </c>
      <c r="U9" s="20">
        <v>20</v>
      </c>
      <c r="V9" s="254">
        <f t="shared" si="4"/>
        <v>100</v>
      </c>
      <c r="W9" s="615">
        <v>42305</v>
      </c>
      <c r="X9" s="254">
        <f t="shared" si="5"/>
        <v>100</v>
      </c>
      <c r="Y9" s="255" t="s">
        <v>774</v>
      </c>
      <c r="Z9" s="474">
        <v>40</v>
      </c>
    </row>
    <row r="10" spans="1:26" x14ac:dyDescent="0.25">
      <c r="A10" s="92" t="s">
        <v>33</v>
      </c>
      <c r="B10" s="291">
        <v>10</v>
      </c>
      <c r="C10" s="20">
        <v>40</v>
      </c>
      <c r="D10" s="114">
        <f t="shared" si="0"/>
        <v>400</v>
      </c>
      <c r="E10" s="180">
        <v>42212</v>
      </c>
      <c r="F10" s="114">
        <f t="shared" si="1"/>
        <v>400</v>
      </c>
      <c r="G10" s="115" t="s">
        <v>253</v>
      </c>
      <c r="H10" s="212">
        <v>40</v>
      </c>
      <c r="J10" s="92" t="s">
        <v>33</v>
      </c>
      <c r="K10" s="291">
        <v>5</v>
      </c>
      <c r="L10" s="20">
        <v>10</v>
      </c>
      <c r="M10" s="114">
        <f t="shared" si="2"/>
        <v>50</v>
      </c>
      <c r="N10" s="180">
        <v>42247</v>
      </c>
      <c r="O10" s="114">
        <f t="shared" si="3"/>
        <v>50</v>
      </c>
      <c r="P10" s="115" t="s">
        <v>337</v>
      </c>
      <c r="Q10" s="212">
        <v>40</v>
      </c>
      <c r="S10" s="92" t="s">
        <v>33</v>
      </c>
      <c r="T10" s="291">
        <v>5</v>
      </c>
      <c r="U10" s="20">
        <v>20</v>
      </c>
      <c r="V10" s="254">
        <f t="shared" si="4"/>
        <v>100</v>
      </c>
      <c r="W10" s="615">
        <v>42306</v>
      </c>
      <c r="X10" s="254">
        <f t="shared" si="5"/>
        <v>100</v>
      </c>
      <c r="Y10" s="255" t="s">
        <v>775</v>
      </c>
      <c r="Z10" s="474">
        <v>40</v>
      </c>
    </row>
    <row r="11" spans="1:26" x14ac:dyDescent="0.25">
      <c r="A11" s="169"/>
      <c r="B11" s="291">
        <v>10</v>
      </c>
      <c r="C11" s="20">
        <v>50</v>
      </c>
      <c r="D11" s="528">
        <f t="shared" si="0"/>
        <v>500</v>
      </c>
      <c r="E11" s="544">
        <v>42219</v>
      </c>
      <c r="F11" s="528">
        <f t="shared" si="1"/>
        <v>500</v>
      </c>
      <c r="G11" s="530" t="s">
        <v>286</v>
      </c>
      <c r="H11" s="606">
        <v>40</v>
      </c>
      <c r="J11" s="169"/>
      <c r="K11" s="291">
        <v>5</v>
      </c>
      <c r="L11" s="20"/>
      <c r="M11" s="114">
        <f t="shared" ref="M11" si="6">L11*K11</f>
        <v>0</v>
      </c>
      <c r="N11" s="180"/>
      <c r="O11" s="114">
        <f t="shared" ref="O11" si="7">M11</f>
        <v>0</v>
      </c>
      <c r="P11" s="115"/>
      <c r="Q11" s="212"/>
      <c r="S11" s="169"/>
      <c r="T11" s="291">
        <v>5</v>
      </c>
      <c r="U11" s="20">
        <v>10</v>
      </c>
      <c r="V11" s="114">
        <f t="shared" ref="V11:V70" si="8">U11*T11</f>
        <v>50</v>
      </c>
      <c r="W11" s="180">
        <v>42306</v>
      </c>
      <c r="X11" s="114">
        <f t="shared" ref="X11:X70" si="9">V11</f>
        <v>50</v>
      </c>
      <c r="Y11" s="115" t="s">
        <v>776</v>
      </c>
      <c r="Z11" s="212">
        <v>40</v>
      </c>
    </row>
    <row r="12" spans="1:26" x14ac:dyDescent="0.25">
      <c r="A12" s="16"/>
      <c r="B12" s="291">
        <v>10</v>
      </c>
      <c r="C12" s="20">
        <v>10</v>
      </c>
      <c r="D12" s="528">
        <f t="shared" si="0"/>
        <v>100</v>
      </c>
      <c r="E12" s="544">
        <v>42223</v>
      </c>
      <c r="F12" s="528">
        <f t="shared" si="1"/>
        <v>100</v>
      </c>
      <c r="G12" s="530" t="s">
        <v>294</v>
      </c>
      <c r="H12" s="606">
        <v>40</v>
      </c>
      <c r="J12" s="16"/>
      <c r="K12" s="291">
        <v>5</v>
      </c>
      <c r="L12" s="20">
        <v>50</v>
      </c>
      <c r="M12" s="629">
        <f t="shared" ref="M12:M23" si="10">L12*K12</f>
        <v>250</v>
      </c>
      <c r="N12" s="635">
        <v>42248</v>
      </c>
      <c r="O12" s="629">
        <f t="shared" ref="O12:O23" si="11">M12</f>
        <v>250</v>
      </c>
      <c r="P12" s="632" t="s">
        <v>362</v>
      </c>
      <c r="Q12" s="636">
        <v>40</v>
      </c>
      <c r="S12" s="16"/>
      <c r="T12" s="291">
        <v>5</v>
      </c>
      <c r="U12" s="20">
        <v>20</v>
      </c>
      <c r="V12" s="114">
        <f t="shared" si="8"/>
        <v>100</v>
      </c>
      <c r="W12" s="180">
        <v>42307</v>
      </c>
      <c r="X12" s="114">
        <f t="shared" si="9"/>
        <v>100</v>
      </c>
      <c r="Y12" s="115" t="s">
        <v>777</v>
      </c>
      <c r="Z12" s="212">
        <v>40</v>
      </c>
    </row>
    <row r="13" spans="1:26" x14ac:dyDescent="0.25">
      <c r="A13" s="147" t="s">
        <v>34</v>
      </c>
      <c r="B13" s="291">
        <v>10</v>
      </c>
      <c r="C13" s="20">
        <v>50</v>
      </c>
      <c r="D13" s="528">
        <f t="shared" si="0"/>
        <v>500</v>
      </c>
      <c r="E13" s="544">
        <v>42226</v>
      </c>
      <c r="F13" s="528">
        <f t="shared" si="1"/>
        <v>500</v>
      </c>
      <c r="G13" s="530" t="s">
        <v>298</v>
      </c>
      <c r="H13" s="606">
        <v>40</v>
      </c>
      <c r="J13" s="147" t="s">
        <v>34</v>
      </c>
      <c r="K13" s="291">
        <v>5</v>
      </c>
      <c r="L13" s="20">
        <v>20</v>
      </c>
      <c r="M13" s="629">
        <f t="shared" si="10"/>
        <v>100</v>
      </c>
      <c r="N13" s="635">
        <v>42249</v>
      </c>
      <c r="O13" s="629">
        <f t="shared" si="11"/>
        <v>100</v>
      </c>
      <c r="P13" s="632" t="s">
        <v>366</v>
      </c>
      <c r="Q13" s="636">
        <v>40</v>
      </c>
      <c r="S13" s="147" t="s">
        <v>34</v>
      </c>
      <c r="T13" s="291">
        <v>5</v>
      </c>
      <c r="U13" s="20"/>
      <c r="V13" s="114">
        <f t="shared" si="8"/>
        <v>0</v>
      </c>
      <c r="W13" s="180"/>
      <c r="X13" s="114">
        <f t="shared" si="9"/>
        <v>0</v>
      </c>
      <c r="Y13" s="115"/>
      <c r="Z13" s="212"/>
    </row>
    <row r="14" spans="1:26" x14ac:dyDescent="0.25">
      <c r="A14" s="59"/>
      <c r="B14" s="291">
        <v>10</v>
      </c>
      <c r="C14" s="20">
        <v>50</v>
      </c>
      <c r="D14" s="528">
        <f t="shared" si="0"/>
        <v>500</v>
      </c>
      <c r="E14" s="544">
        <v>42231</v>
      </c>
      <c r="F14" s="528">
        <f t="shared" si="1"/>
        <v>500</v>
      </c>
      <c r="G14" s="530" t="s">
        <v>306</v>
      </c>
      <c r="H14" s="606">
        <v>40</v>
      </c>
      <c r="J14" s="59"/>
      <c r="K14" s="291">
        <v>5</v>
      </c>
      <c r="L14" s="20">
        <v>20</v>
      </c>
      <c r="M14" s="629">
        <f t="shared" si="10"/>
        <v>100</v>
      </c>
      <c r="N14" s="635">
        <v>42251</v>
      </c>
      <c r="O14" s="629">
        <f t="shared" si="11"/>
        <v>100</v>
      </c>
      <c r="P14" s="632" t="s">
        <v>373</v>
      </c>
      <c r="Q14" s="636">
        <v>40</v>
      </c>
      <c r="S14" s="59"/>
      <c r="T14" s="291">
        <v>5</v>
      </c>
      <c r="U14" s="20"/>
      <c r="V14" s="114">
        <f t="shared" si="8"/>
        <v>0</v>
      </c>
      <c r="W14" s="180"/>
      <c r="X14" s="114">
        <f t="shared" si="9"/>
        <v>0</v>
      </c>
      <c r="Y14" s="115"/>
      <c r="Z14" s="212"/>
    </row>
    <row r="15" spans="1:26" x14ac:dyDescent="0.25">
      <c r="A15" s="59"/>
      <c r="B15" s="291">
        <v>10</v>
      </c>
      <c r="C15" s="20">
        <v>5</v>
      </c>
      <c r="D15" s="528">
        <f t="shared" si="0"/>
        <v>50</v>
      </c>
      <c r="E15" s="544">
        <v>42245</v>
      </c>
      <c r="F15" s="528">
        <f t="shared" si="1"/>
        <v>50</v>
      </c>
      <c r="G15" s="530" t="s">
        <v>334</v>
      </c>
      <c r="H15" s="606">
        <v>40</v>
      </c>
      <c r="J15" s="59"/>
      <c r="K15" s="291">
        <v>5</v>
      </c>
      <c r="L15" s="20">
        <v>20</v>
      </c>
      <c r="M15" s="629">
        <f t="shared" si="10"/>
        <v>100</v>
      </c>
      <c r="N15" s="635">
        <v>42254</v>
      </c>
      <c r="O15" s="629">
        <f t="shared" si="11"/>
        <v>100</v>
      </c>
      <c r="P15" s="632" t="s">
        <v>379</v>
      </c>
      <c r="Q15" s="636">
        <v>40</v>
      </c>
      <c r="S15" s="59"/>
      <c r="T15" s="291">
        <v>5</v>
      </c>
      <c r="U15" s="20"/>
      <c r="V15" s="114">
        <f t="shared" si="8"/>
        <v>0</v>
      </c>
      <c r="W15" s="180"/>
      <c r="X15" s="114">
        <f t="shared" si="9"/>
        <v>0</v>
      </c>
      <c r="Y15" s="115"/>
      <c r="Z15" s="212"/>
    </row>
    <row r="16" spans="1:26" x14ac:dyDescent="0.25">
      <c r="A16" s="7"/>
      <c r="B16" s="291">
        <v>10</v>
      </c>
      <c r="C16" s="20"/>
      <c r="D16" s="532">
        <f t="shared" si="0"/>
        <v>0</v>
      </c>
      <c r="E16" s="544"/>
      <c r="F16" s="528">
        <f t="shared" si="1"/>
        <v>0</v>
      </c>
      <c r="G16" s="530"/>
      <c r="H16" s="230"/>
      <c r="J16" s="7"/>
      <c r="K16" s="291">
        <v>5</v>
      </c>
      <c r="L16" s="20">
        <v>20</v>
      </c>
      <c r="M16" s="629">
        <f t="shared" si="10"/>
        <v>100</v>
      </c>
      <c r="N16" s="635">
        <v>42254</v>
      </c>
      <c r="O16" s="629">
        <f t="shared" si="11"/>
        <v>100</v>
      </c>
      <c r="P16" s="632" t="s">
        <v>380</v>
      </c>
      <c r="Q16" s="636">
        <v>40</v>
      </c>
      <c r="S16" s="7"/>
      <c r="T16" s="291">
        <v>5</v>
      </c>
      <c r="U16" s="20"/>
      <c r="V16" s="114">
        <f t="shared" si="8"/>
        <v>0</v>
      </c>
      <c r="W16" s="180"/>
      <c r="X16" s="114">
        <f t="shared" si="9"/>
        <v>0</v>
      </c>
      <c r="Y16" s="115"/>
      <c r="Z16" s="212"/>
    </row>
    <row r="17" spans="1:26" x14ac:dyDescent="0.25">
      <c r="A17" s="7"/>
      <c r="B17" s="291">
        <v>10</v>
      </c>
      <c r="C17" s="20"/>
      <c r="D17" s="532">
        <f t="shared" si="0"/>
        <v>0</v>
      </c>
      <c r="E17" s="544"/>
      <c r="F17" s="528">
        <f t="shared" si="1"/>
        <v>0</v>
      </c>
      <c r="G17" s="530"/>
      <c r="H17" s="230"/>
      <c r="J17" s="7"/>
      <c r="K17" s="291">
        <v>5</v>
      </c>
      <c r="L17" s="20">
        <v>200</v>
      </c>
      <c r="M17" s="637">
        <f t="shared" si="10"/>
        <v>1000</v>
      </c>
      <c r="N17" s="635">
        <v>42255</v>
      </c>
      <c r="O17" s="629">
        <f t="shared" si="11"/>
        <v>1000</v>
      </c>
      <c r="P17" s="632" t="s">
        <v>381</v>
      </c>
      <c r="Q17" s="261">
        <v>40</v>
      </c>
      <c r="S17" s="7"/>
      <c r="T17" s="291">
        <v>5</v>
      </c>
      <c r="U17" s="20"/>
      <c r="V17" s="179">
        <f t="shared" si="8"/>
        <v>0</v>
      </c>
      <c r="W17" s="180"/>
      <c r="X17" s="114">
        <f t="shared" si="9"/>
        <v>0</v>
      </c>
      <c r="Y17" s="115"/>
      <c r="Z17" s="116"/>
    </row>
    <row r="18" spans="1:26" x14ac:dyDescent="0.25">
      <c r="A18" s="7"/>
      <c r="B18" s="291">
        <v>10</v>
      </c>
      <c r="C18" s="20"/>
      <c r="D18" s="532">
        <f t="shared" si="0"/>
        <v>0</v>
      </c>
      <c r="E18" s="544"/>
      <c r="F18" s="528">
        <f t="shared" si="1"/>
        <v>0</v>
      </c>
      <c r="G18" s="530"/>
      <c r="H18" s="230"/>
      <c r="J18" s="7"/>
      <c r="K18" s="291">
        <v>5</v>
      </c>
      <c r="L18" s="20">
        <v>20</v>
      </c>
      <c r="M18" s="637">
        <f t="shared" si="10"/>
        <v>100</v>
      </c>
      <c r="N18" s="635">
        <v>42256</v>
      </c>
      <c r="O18" s="629">
        <f t="shared" si="11"/>
        <v>100</v>
      </c>
      <c r="P18" s="632" t="s">
        <v>385</v>
      </c>
      <c r="Q18" s="261">
        <v>40</v>
      </c>
      <c r="S18" s="7"/>
      <c r="T18" s="291">
        <v>5</v>
      </c>
      <c r="U18" s="20"/>
      <c r="V18" s="179">
        <f t="shared" si="8"/>
        <v>0</v>
      </c>
      <c r="W18" s="180"/>
      <c r="X18" s="114">
        <f t="shared" si="9"/>
        <v>0</v>
      </c>
      <c r="Y18" s="115"/>
      <c r="Z18" s="116"/>
    </row>
    <row r="19" spans="1:26" x14ac:dyDescent="0.25">
      <c r="A19" s="7"/>
      <c r="B19" s="291">
        <v>10</v>
      </c>
      <c r="C19" s="20"/>
      <c r="D19" s="532">
        <f t="shared" si="0"/>
        <v>0</v>
      </c>
      <c r="E19" s="544"/>
      <c r="F19" s="528">
        <f t="shared" si="1"/>
        <v>0</v>
      </c>
      <c r="G19" s="530"/>
      <c r="H19" s="230"/>
      <c r="J19" s="7"/>
      <c r="K19" s="291">
        <v>5</v>
      </c>
      <c r="L19" s="20">
        <v>10</v>
      </c>
      <c r="M19" s="637">
        <f t="shared" si="10"/>
        <v>50</v>
      </c>
      <c r="N19" s="635">
        <v>42258</v>
      </c>
      <c r="O19" s="629">
        <f t="shared" si="11"/>
        <v>50</v>
      </c>
      <c r="P19" s="632" t="s">
        <v>388</v>
      </c>
      <c r="Q19" s="261">
        <v>40</v>
      </c>
      <c r="S19" s="7"/>
      <c r="T19" s="291">
        <v>5</v>
      </c>
      <c r="U19" s="20"/>
      <c r="V19" s="179">
        <f t="shared" si="8"/>
        <v>0</v>
      </c>
      <c r="W19" s="180"/>
      <c r="X19" s="114">
        <f t="shared" si="9"/>
        <v>0</v>
      </c>
      <c r="Y19" s="115"/>
      <c r="Z19" s="116"/>
    </row>
    <row r="20" spans="1:26" x14ac:dyDescent="0.25">
      <c r="A20" s="7"/>
      <c r="B20" s="291">
        <v>10</v>
      </c>
      <c r="C20" s="20"/>
      <c r="D20" s="532">
        <f t="shared" si="0"/>
        <v>0</v>
      </c>
      <c r="E20" s="544"/>
      <c r="F20" s="528">
        <f t="shared" si="1"/>
        <v>0</v>
      </c>
      <c r="G20" s="530"/>
      <c r="H20" s="230"/>
      <c r="J20" s="7"/>
      <c r="K20" s="291">
        <v>5</v>
      </c>
      <c r="L20" s="20">
        <v>150</v>
      </c>
      <c r="M20" s="637">
        <f t="shared" si="10"/>
        <v>750</v>
      </c>
      <c r="N20" s="635">
        <v>42259</v>
      </c>
      <c r="O20" s="629">
        <f t="shared" si="11"/>
        <v>750</v>
      </c>
      <c r="P20" s="632" t="s">
        <v>394</v>
      </c>
      <c r="Q20" s="261">
        <v>40</v>
      </c>
      <c r="S20" s="7"/>
      <c r="T20" s="291">
        <v>5</v>
      </c>
      <c r="U20" s="20"/>
      <c r="V20" s="179">
        <f t="shared" si="8"/>
        <v>0</v>
      </c>
      <c r="W20" s="180"/>
      <c r="X20" s="114">
        <f t="shared" si="9"/>
        <v>0</v>
      </c>
      <c r="Y20" s="115"/>
      <c r="Z20" s="116"/>
    </row>
    <row r="21" spans="1:26" x14ac:dyDescent="0.25">
      <c r="A21" s="7"/>
      <c r="B21" s="291">
        <v>10</v>
      </c>
      <c r="C21" s="20"/>
      <c r="D21" s="532">
        <f t="shared" si="0"/>
        <v>0</v>
      </c>
      <c r="E21" s="544"/>
      <c r="F21" s="528">
        <f t="shared" si="1"/>
        <v>0</v>
      </c>
      <c r="G21" s="530"/>
      <c r="H21" s="230"/>
      <c r="J21" s="7"/>
      <c r="K21" s="291">
        <v>5</v>
      </c>
      <c r="L21" s="20">
        <v>20</v>
      </c>
      <c r="M21" s="637">
        <f t="shared" si="10"/>
        <v>100</v>
      </c>
      <c r="N21" s="635">
        <v>42264</v>
      </c>
      <c r="O21" s="629">
        <f t="shared" si="11"/>
        <v>100</v>
      </c>
      <c r="P21" s="632" t="s">
        <v>403</v>
      </c>
      <c r="Q21" s="261">
        <v>40</v>
      </c>
      <c r="S21" s="7"/>
      <c r="T21" s="291">
        <v>5</v>
      </c>
      <c r="U21" s="20"/>
      <c r="V21" s="179">
        <f t="shared" si="8"/>
        <v>0</v>
      </c>
      <c r="W21" s="180"/>
      <c r="X21" s="114">
        <f t="shared" si="9"/>
        <v>0</v>
      </c>
      <c r="Y21" s="115"/>
      <c r="Z21" s="116"/>
    </row>
    <row r="22" spans="1:26" x14ac:dyDescent="0.25">
      <c r="A22" s="7"/>
      <c r="B22" s="291">
        <v>10</v>
      </c>
      <c r="C22" s="20"/>
      <c r="D22" s="532">
        <f t="shared" si="0"/>
        <v>0</v>
      </c>
      <c r="E22" s="544"/>
      <c r="F22" s="528">
        <f t="shared" si="1"/>
        <v>0</v>
      </c>
      <c r="G22" s="530"/>
      <c r="H22" s="230"/>
      <c r="J22" s="7"/>
      <c r="K22" s="291">
        <v>5</v>
      </c>
      <c r="L22" s="20">
        <v>10</v>
      </c>
      <c r="M22" s="637">
        <f t="shared" si="10"/>
        <v>50</v>
      </c>
      <c r="N22" s="635">
        <v>42265</v>
      </c>
      <c r="O22" s="629">
        <f t="shared" si="11"/>
        <v>50</v>
      </c>
      <c r="P22" s="632" t="s">
        <v>405</v>
      </c>
      <c r="Q22" s="261">
        <v>40</v>
      </c>
      <c r="S22" s="7"/>
      <c r="T22" s="291">
        <v>5</v>
      </c>
      <c r="U22" s="20"/>
      <c r="V22" s="179">
        <f t="shared" si="8"/>
        <v>0</v>
      </c>
      <c r="W22" s="180"/>
      <c r="X22" s="114">
        <f t="shared" si="9"/>
        <v>0</v>
      </c>
      <c r="Y22" s="115"/>
      <c r="Z22" s="116"/>
    </row>
    <row r="23" spans="1:26" x14ac:dyDescent="0.25">
      <c r="A23" s="7"/>
      <c r="B23" s="291">
        <v>10</v>
      </c>
      <c r="C23" s="20"/>
      <c r="D23" s="532">
        <f t="shared" si="0"/>
        <v>0</v>
      </c>
      <c r="E23" s="544"/>
      <c r="F23" s="528">
        <f t="shared" si="1"/>
        <v>0</v>
      </c>
      <c r="G23" s="530"/>
      <c r="H23" s="230"/>
      <c r="J23" s="7"/>
      <c r="K23" s="291">
        <v>5</v>
      </c>
      <c r="L23" s="20">
        <v>30</v>
      </c>
      <c r="M23" s="637">
        <f t="shared" si="10"/>
        <v>150</v>
      </c>
      <c r="N23" s="635">
        <v>42273</v>
      </c>
      <c r="O23" s="629">
        <f t="shared" si="11"/>
        <v>150</v>
      </c>
      <c r="P23" s="632" t="s">
        <v>418</v>
      </c>
      <c r="Q23" s="261">
        <v>40</v>
      </c>
      <c r="S23" s="7"/>
      <c r="T23" s="291">
        <v>5</v>
      </c>
      <c r="U23" s="20"/>
      <c r="V23" s="179">
        <f t="shared" si="8"/>
        <v>0</v>
      </c>
      <c r="W23" s="180"/>
      <c r="X23" s="114">
        <f t="shared" si="9"/>
        <v>0</v>
      </c>
      <c r="Y23" s="115"/>
      <c r="Z23" s="116"/>
    </row>
    <row r="24" spans="1:26" x14ac:dyDescent="0.25">
      <c r="A24" s="7"/>
      <c r="B24" s="291">
        <v>10</v>
      </c>
      <c r="C24" s="20"/>
      <c r="D24" s="532">
        <f t="shared" si="0"/>
        <v>0</v>
      </c>
      <c r="E24" s="544"/>
      <c r="F24" s="528">
        <f t="shared" si="1"/>
        <v>0</v>
      </c>
      <c r="G24" s="530"/>
      <c r="H24" s="230"/>
      <c r="J24" s="7"/>
      <c r="K24" s="291">
        <v>5</v>
      </c>
      <c r="L24" s="20">
        <v>20</v>
      </c>
      <c r="M24" s="420">
        <f t="shared" ref="M24:M70" si="12">L24*K24</f>
        <v>100</v>
      </c>
      <c r="N24" s="421">
        <v>42279</v>
      </c>
      <c r="O24" s="100">
        <f t="shared" ref="O24:O70" si="13">M24</f>
        <v>100</v>
      </c>
      <c r="P24" s="111" t="s">
        <v>634</v>
      </c>
      <c r="Q24" s="101">
        <v>40</v>
      </c>
      <c r="S24" s="7"/>
      <c r="T24" s="291">
        <v>5</v>
      </c>
      <c r="U24" s="20"/>
      <c r="V24" s="179">
        <f t="shared" si="8"/>
        <v>0</v>
      </c>
      <c r="W24" s="180"/>
      <c r="X24" s="114">
        <f t="shared" si="9"/>
        <v>0</v>
      </c>
      <c r="Y24" s="115"/>
      <c r="Z24" s="116"/>
    </row>
    <row r="25" spans="1:26" x14ac:dyDescent="0.25">
      <c r="A25" s="7"/>
      <c r="B25" s="291">
        <v>10</v>
      </c>
      <c r="C25" s="20"/>
      <c r="D25" s="532">
        <f t="shared" si="0"/>
        <v>0</v>
      </c>
      <c r="E25" s="544"/>
      <c r="F25" s="528">
        <f t="shared" si="1"/>
        <v>0</v>
      </c>
      <c r="G25" s="530"/>
      <c r="H25" s="230"/>
      <c r="J25" s="7"/>
      <c r="K25" s="291">
        <v>5</v>
      </c>
      <c r="L25" s="20">
        <v>10</v>
      </c>
      <c r="M25" s="420">
        <f t="shared" si="12"/>
        <v>50</v>
      </c>
      <c r="N25" s="421">
        <v>42279</v>
      </c>
      <c r="O25" s="100">
        <f t="shared" si="13"/>
        <v>50</v>
      </c>
      <c r="P25" s="111" t="s">
        <v>637</v>
      </c>
      <c r="Q25" s="101">
        <v>40</v>
      </c>
      <c r="S25" s="7"/>
      <c r="T25" s="291">
        <v>5</v>
      </c>
      <c r="U25" s="20"/>
      <c r="V25" s="179">
        <f t="shared" si="8"/>
        <v>0</v>
      </c>
      <c r="W25" s="180"/>
      <c r="X25" s="114">
        <f t="shared" si="9"/>
        <v>0</v>
      </c>
      <c r="Y25" s="115"/>
      <c r="Z25" s="116"/>
    </row>
    <row r="26" spans="1:26" x14ac:dyDescent="0.25">
      <c r="A26" s="7"/>
      <c r="B26" s="291">
        <v>10</v>
      </c>
      <c r="C26" s="20"/>
      <c r="D26" s="532">
        <f t="shared" si="0"/>
        <v>0</v>
      </c>
      <c r="E26" s="544"/>
      <c r="F26" s="528">
        <f t="shared" si="1"/>
        <v>0</v>
      </c>
      <c r="G26" s="530"/>
      <c r="H26" s="230"/>
      <c r="J26" s="7"/>
      <c r="K26" s="291">
        <v>5</v>
      </c>
      <c r="L26" s="20">
        <v>10</v>
      </c>
      <c r="M26" s="420">
        <f t="shared" si="12"/>
        <v>50</v>
      </c>
      <c r="N26" s="421">
        <v>42282</v>
      </c>
      <c r="O26" s="100">
        <f t="shared" si="13"/>
        <v>50</v>
      </c>
      <c r="P26" s="111" t="s">
        <v>646</v>
      </c>
      <c r="Q26" s="101">
        <v>40</v>
      </c>
      <c r="S26" s="7"/>
      <c r="T26" s="291">
        <v>5</v>
      </c>
      <c r="U26" s="20"/>
      <c r="V26" s="179">
        <f t="shared" si="8"/>
        <v>0</v>
      </c>
      <c r="W26" s="180"/>
      <c r="X26" s="114">
        <f t="shared" si="9"/>
        <v>0</v>
      </c>
      <c r="Y26" s="115"/>
      <c r="Z26" s="116"/>
    </row>
    <row r="27" spans="1:26" x14ac:dyDescent="0.25">
      <c r="A27" s="7"/>
      <c r="B27" s="291">
        <v>10</v>
      </c>
      <c r="C27" s="20"/>
      <c r="D27" s="532">
        <f t="shared" si="0"/>
        <v>0</v>
      </c>
      <c r="E27" s="544"/>
      <c r="F27" s="528">
        <f t="shared" si="1"/>
        <v>0</v>
      </c>
      <c r="G27" s="530"/>
      <c r="H27" s="230"/>
      <c r="J27" s="7"/>
      <c r="K27" s="291">
        <v>5</v>
      </c>
      <c r="L27" s="20">
        <v>10</v>
      </c>
      <c r="M27" s="420">
        <f t="shared" si="12"/>
        <v>50</v>
      </c>
      <c r="N27" s="421">
        <v>42284</v>
      </c>
      <c r="O27" s="100">
        <f t="shared" si="13"/>
        <v>50</v>
      </c>
      <c r="P27" s="111" t="s">
        <v>661</v>
      </c>
      <c r="Q27" s="101">
        <v>40</v>
      </c>
      <c r="S27" s="7"/>
      <c r="T27" s="291">
        <v>5</v>
      </c>
      <c r="U27" s="20"/>
      <c r="V27" s="179">
        <f t="shared" si="8"/>
        <v>0</v>
      </c>
      <c r="W27" s="180"/>
      <c r="X27" s="114">
        <f t="shared" si="9"/>
        <v>0</v>
      </c>
      <c r="Y27" s="115"/>
      <c r="Z27" s="116"/>
    </row>
    <row r="28" spans="1:26" x14ac:dyDescent="0.25">
      <c r="A28" s="7"/>
      <c r="B28" s="291">
        <v>10</v>
      </c>
      <c r="C28" s="20"/>
      <c r="D28" s="532">
        <f t="shared" si="0"/>
        <v>0</v>
      </c>
      <c r="E28" s="544"/>
      <c r="F28" s="528">
        <f t="shared" si="1"/>
        <v>0</v>
      </c>
      <c r="G28" s="530"/>
      <c r="H28" s="230"/>
      <c r="J28" s="7"/>
      <c r="K28" s="291">
        <v>5</v>
      </c>
      <c r="L28" s="20">
        <v>44</v>
      </c>
      <c r="M28" s="420">
        <f t="shared" si="12"/>
        <v>220</v>
      </c>
      <c r="N28" s="421">
        <v>42285</v>
      </c>
      <c r="O28" s="100">
        <f t="shared" si="13"/>
        <v>220</v>
      </c>
      <c r="P28" s="111" t="s">
        <v>662</v>
      </c>
      <c r="Q28" s="101">
        <v>40</v>
      </c>
      <c r="S28" s="7"/>
      <c r="T28" s="291">
        <v>5</v>
      </c>
      <c r="U28" s="20"/>
      <c r="V28" s="179">
        <f t="shared" si="8"/>
        <v>0</v>
      </c>
      <c r="W28" s="180"/>
      <c r="X28" s="114">
        <f t="shared" si="9"/>
        <v>0</v>
      </c>
      <c r="Y28" s="115"/>
      <c r="Z28" s="116"/>
    </row>
    <row r="29" spans="1:26" x14ac:dyDescent="0.25">
      <c r="A29" s="7"/>
      <c r="B29" s="291">
        <v>10</v>
      </c>
      <c r="C29" s="20"/>
      <c r="D29" s="532">
        <f t="shared" si="0"/>
        <v>0</v>
      </c>
      <c r="E29" s="544"/>
      <c r="F29" s="528">
        <f t="shared" si="1"/>
        <v>0</v>
      </c>
      <c r="G29" s="530"/>
      <c r="H29" s="230"/>
      <c r="J29" s="7"/>
      <c r="K29" s="291">
        <v>5</v>
      </c>
      <c r="L29" s="20">
        <v>10</v>
      </c>
      <c r="M29" s="420">
        <f t="shared" si="12"/>
        <v>50</v>
      </c>
      <c r="N29" s="421">
        <v>42286</v>
      </c>
      <c r="O29" s="100">
        <f t="shared" si="13"/>
        <v>50</v>
      </c>
      <c r="P29" s="111" t="s">
        <v>666</v>
      </c>
      <c r="Q29" s="101">
        <v>40</v>
      </c>
      <c r="S29" s="7"/>
      <c r="T29" s="291">
        <v>5</v>
      </c>
      <c r="U29" s="20"/>
      <c r="V29" s="179">
        <f t="shared" si="8"/>
        <v>0</v>
      </c>
      <c r="W29" s="180"/>
      <c r="X29" s="114">
        <f t="shared" si="9"/>
        <v>0</v>
      </c>
      <c r="Y29" s="115"/>
      <c r="Z29" s="116"/>
    </row>
    <row r="30" spans="1:26" x14ac:dyDescent="0.25">
      <c r="A30" s="7"/>
      <c r="B30" s="291">
        <v>10</v>
      </c>
      <c r="C30" s="20"/>
      <c r="D30" s="532">
        <f t="shared" si="0"/>
        <v>0</v>
      </c>
      <c r="E30" s="544"/>
      <c r="F30" s="528">
        <f t="shared" si="1"/>
        <v>0</v>
      </c>
      <c r="G30" s="530"/>
      <c r="H30" s="230"/>
      <c r="J30" s="7"/>
      <c r="K30" s="291">
        <v>5</v>
      </c>
      <c r="L30" s="20">
        <v>1</v>
      </c>
      <c r="M30" s="420">
        <f t="shared" si="12"/>
        <v>5</v>
      </c>
      <c r="N30" s="421">
        <v>42286</v>
      </c>
      <c r="O30" s="100">
        <f t="shared" si="13"/>
        <v>5</v>
      </c>
      <c r="P30" s="111" t="s">
        <v>669</v>
      </c>
      <c r="Q30" s="101">
        <v>40</v>
      </c>
      <c r="S30" s="7"/>
      <c r="T30" s="291">
        <v>5</v>
      </c>
      <c r="U30" s="20"/>
      <c r="V30" s="179">
        <f t="shared" si="8"/>
        <v>0</v>
      </c>
      <c r="W30" s="180"/>
      <c r="X30" s="114">
        <f t="shared" si="9"/>
        <v>0</v>
      </c>
      <c r="Y30" s="115"/>
      <c r="Z30" s="116"/>
    </row>
    <row r="31" spans="1:26" x14ac:dyDescent="0.25">
      <c r="A31" s="7"/>
      <c r="B31" s="291">
        <v>10</v>
      </c>
      <c r="C31" s="20"/>
      <c r="D31" s="532">
        <f t="shared" si="0"/>
        <v>0</v>
      </c>
      <c r="E31" s="544"/>
      <c r="F31" s="528">
        <f t="shared" si="1"/>
        <v>0</v>
      </c>
      <c r="G31" s="530"/>
      <c r="H31" s="230"/>
      <c r="J31" s="7"/>
      <c r="K31" s="291">
        <v>5</v>
      </c>
      <c r="L31" s="20">
        <v>100</v>
      </c>
      <c r="M31" s="420">
        <f t="shared" si="12"/>
        <v>500</v>
      </c>
      <c r="N31" s="421">
        <v>42286</v>
      </c>
      <c r="O31" s="100">
        <f t="shared" si="13"/>
        <v>500</v>
      </c>
      <c r="P31" s="111" t="s">
        <v>669</v>
      </c>
      <c r="Q31" s="101">
        <v>40</v>
      </c>
      <c r="S31" s="7"/>
      <c r="T31" s="291">
        <v>5</v>
      </c>
      <c r="U31" s="20"/>
      <c r="V31" s="179">
        <f t="shared" si="8"/>
        <v>0</v>
      </c>
      <c r="W31" s="180"/>
      <c r="X31" s="114">
        <f t="shared" si="9"/>
        <v>0</v>
      </c>
      <c r="Y31" s="115"/>
      <c r="Z31" s="116"/>
    </row>
    <row r="32" spans="1:26" x14ac:dyDescent="0.25">
      <c r="A32" s="7"/>
      <c r="B32" s="291">
        <v>10</v>
      </c>
      <c r="C32" s="20"/>
      <c r="D32" s="532">
        <f t="shared" si="0"/>
        <v>0</v>
      </c>
      <c r="E32" s="531"/>
      <c r="F32" s="528">
        <f t="shared" si="1"/>
        <v>0</v>
      </c>
      <c r="G32" s="530"/>
      <c r="H32" s="606"/>
      <c r="J32" s="7"/>
      <c r="K32" s="291">
        <v>5</v>
      </c>
      <c r="L32" s="20">
        <v>25</v>
      </c>
      <c r="M32" s="420">
        <f t="shared" si="12"/>
        <v>125</v>
      </c>
      <c r="N32" s="372">
        <v>42287</v>
      </c>
      <c r="O32" s="100">
        <f t="shared" si="13"/>
        <v>125</v>
      </c>
      <c r="P32" s="111" t="s">
        <v>674</v>
      </c>
      <c r="Q32" s="605">
        <v>40</v>
      </c>
      <c r="S32" s="7"/>
      <c r="T32" s="291">
        <v>5</v>
      </c>
      <c r="U32" s="20"/>
      <c r="V32" s="179">
        <f t="shared" si="8"/>
        <v>0</v>
      </c>
      <c r="W32" s="233"/>
      <c r="X32" s="114">
        <f t="shared" si="9"/>
        <v>0</v>
      </c>
      <c r="Y32" s="115"/>
      <c r="Z32" s="212"/>
    </row>
    <row r="33" spans="1:26" x14ac:dyDescent="0.25">
      <c r="A33" s="7"/>
      <c r="B33" s="291">
        <v>10</v>
      </c>
      <c r="C33" s="20"/>
      <c r="D33" s="532">
        <f t="shared" si="0"/>
        <v>0</v>
      </c>
      <c r="E33" s="531"/>
      <c r="F33" s="528">
        <f t="shared" si="1"/>
        <v>0</v>
      </c>
      <c r="G33" s="530"/>
      <c r="H33" s="606"/>
      <c r="J33" s="7"/>
      <c r="K33" s="291">
        <v>5</v>
      </c>
      <c r="L33" s="20">
        <v>10</v>
      </c>
      <c r="M33" s="420">
        <f t="shared" si="12"/>
        <v>50</v>
      </c>
      <c r="N33" s="372">
        <v>42289</v>
      </c>
      <c r="O33" s="100">
        <f t="shared" si="13"/>
        <v>50</v>
      </c>
      <c r="P33" s="111" t="s">
        <v>680</v>
      </c>
      <c r="Q33" s="605">
        <v>40</v>
      </c>
      <c r="S33" s="7"/>
      <c r="T33" s="291">
        <v>5</v>
      </c>
      <c r="U33" s="20"/>
      <c r="V33" s="179">
        <f t="shared" si="8"/>
        <v>0</v>
      </c>
      <c r="W33" s="233"/>
      <c r="X33" s="114">
        <f t="shared" si="9"/>
        <v>0</v>
      </c>
      <c r="Y33" s="115"/>
      <c r="Z33" s="212"/>
    </row>
    <row r="34" spans="1:26" x14ac:dyDescent="0.25">
      <c r="A34" s="7"/>
      <c r="B34" s="291">
        <v>10</v>
      </c>
      <c r="C34" s="20"/>
      <c r="D34" s="532">
        <f t="shared" si="0"/>
        <v>0</v>
      </c>
      <c r="E34" s="531"/>
      <c r="F34" s="528">
        <f t="shared" si="1"/>
        <v>0</v>
      </c>
      <c r="G34" s="530"/>
      <c r="H34" s="606"/>
      <c r="J34" s="7"/>
      <c r="K34" s="291">
        <v>5</v>
      </c>
      <c r="L34" s="20">
        <v>10</v>
      </c>
      <c r="M34" s="420">
        <f t="shared" si="12"/>
        <v>50</v>
      </c>
      <c r="N34" s="372">
        <v>42290</v>
      </c>
      <c r="O34" s="100">
        <f t="shared" si="13"/>
        <v>50</v>
      </c>
      <c r="P34" s="111" t="s">
        <v>683</v>
      </c>
      <c r="Q34" s="605">
        <v>40</v>
      </c>
      <c r="S34" s="7"/>
      <c r="T34" s="291">
        <v>5</v>
      </c>
      <c r="U34" s="20"/>
      <c r="V34" s="179">
        <f t="shared" si="8"/>
        <v>0</v>
      </c>
      <c r="W34" s="233"/>
      <c r="X34" s="114">
        <f t="shared" si="9"/>
        <v>0</v>
      </c>
      <c r="Y34" s="115"/>
      <c r="Z34" s="212"/>
    </row>
    <row r="35" spans="1:26" x14ac:dyDescent="0.25">
      <c r="A35" s="135"/>
      <c r="B35" s="291">
        <v>10</v>
      </c>
      <c r="C35" s="20"/>
      <c r="D35" s="532">
        <f t="shared" si="0"/>
        <v>0</v>
      </c>
      <c r="E35" s="531"/>
      <c r="F35" s="528">
        <f t="shared" si="1"/>
        <v>0</v>
      </c>
      <c r="G35" s="530"/>
      <c r="H35" s="606"/>
      <c r="J35" s="135"/>
      <c r="K35" s="291">
        <v>5</v>
      </c>
      <c r="L35" s="20">
        <v>30</v>
      </c>
      <c r="M35" s="420">
        <f t="shared" si="12"/>
        <v>150</v>
      </c>
      <c r="N35" s="372">
        <v>42292</v>
      </c>
      <c r="O35" s="100">
        <f t="shared" si="13"/>
        <v>150</v>
      </c>
      <c r="P35" s="111" t="s">
        <v>700</v>
      </c>
      <c r="Q35" s="605">
        <v>40</v>
      </c>
      <c r="S35" s="135"/>
      <c r="T35" s="291">
        <v>5</v>
      </c>
      <c r="U35" s="20"/>
      <c r="V35" s="179">
        <f t="shared" si="8"/>
        <v>0</v>
      </c>
      <c r="W35" s="233"/>
      <c r="X35" s="114">
        <f t="shared" si="9"/>
        <v>0</v>
      </c>
      <c r="Y35" s="115"/>
      <c r="Z35" s="212"/>
    </row>
    <row r="36" spans="1:26" x14ac:dyDescent="0.25">
      <c r="A36" s="7"/>
      <c r="B36" s="291">
        <v>10</v>
      </c>
      <c r="C36" s="20"/>
      <c r="D36" s="532">
        <f t="shared" si="0"/>
        <v>0</v>
      </c>
      <c r="E36" s="531"/>
      <c r="F36" s="528">
        <f t="shared" si="1"/>
        <v>0</v>
      </c>
      <c r="G36" s="530"/>
      <c r="H36" s="606"/>
      <c r="J36" s="7"/>
      <c r="K36" s="291">
        <v>5</v>
      </c>
      <c r="L36" s="20">
        <v>20</v>
      </c>
      <c r="M36" s="420">
        <f t="shared" si="12"/>
        <v>100</v>
      </c>
      <c r="N36" s="372">
        <v>42294</v>
      </c>
      <c r="O36" s="100">
        <f t="shared" si="13"/>
        <v>100</v>
      </c>
      <c r="P36" s="111" t="s">
        <v>717</v>
      </c>
      <c r="Q36" s="605">
        <v>40</v>
      </c>
      <c r="S36" s="7"/>
      <c r="T36" s="291">
        <v>5</v>
      </c>
      <c r="U36" s="20"/>
      <c r="V36" s="179">
        <f t="shared" si="8"/>
        <v>0</v>
      </c>
      <c r="W36" s="233"/>
      <c r="X36" s="114">
        <f t="shared" si="9"/>
        <v>0</v>
      </c>
      <c r="Y36" s="115"/>
      <c r="Z36" s="212"/>
    </row>
    <row r="37" spans="1:26" x14ac:dyDescent="0.25">
      <c r="A37" s="7"/>
      <c r="B37" s="291">
        <v>10</v>
      </c>
      <c r="C37" s="20"/>
      <c r="D37" s="528">
        <f t="shared" si="0"/>
        <v>0</v>
      </c>
      <c r="E37" s="544"/>
      <c r="F37" s="528">
        <f t="shared" si="1"/>
        <v>0</v>
      </c>
      <c r="G37" s="530"/>
      <c r="H37" s="606"/>
      <c r="J37" s="7"/>
      <c r="K37" s="291">
        <v>5</v>
      </c>
      <c r="L37" s="20">
        <v>15</v>
      </c>
      <c r="M37" s="100">
        <f t="shared" si="12"/>
        <v>75</v>
      </c>
      <c r="N37" s="421">
        <v>42294</v>
      </c>
      <c r="O37" s="100">
        <f t="shared" si="13"/>
        <v>75</v>
      </c>
      <c r="P37" s="111" t="s">
        <v>718</v>
      </c>
      <c r="Q37" s="605">
        <v>40</v>
      </c>
      <c r="S37" s="7"/>
      <c r="T37" s="291">
        <v>5</v>
      </c>
      <c r="U37" s="20"/>
      <c r="V37" s="114">
        <f t="shared" si="8"/>
        <v>0</v>
      </c>
      <c r="W37" s="180"/>
      <c r="X37" s="114">
        <f t="shared" si="9"/>
        <v>0</v>
      </c>
      <c r="Y37" s="115"/>
      <c r="Z37" s="212"/>
    </row>
    <row r="38" spans="1:26" x14ac:dyDescent="0.25">
      <c r="A38" s="7"/>
      <c r="B38" s="291">
        <v>10</v>
      </c>
      <c r="C38" s="20"/>
      <c r="D38" s="528">
        <f t="shared" si="0"/>
        <v>0</v>
      </c>
      <c r="E38" s="544"/>
      <c r="F38" s="528">
        <f t="shared" si="1"/>
        <v>0</v>
      </c>
      <c r="G38" s="530"/>
      <c r="H38" s="606"/>
      <c r="J38" s="7"/>
      <c r="K38" s="291">
        <v>5</v>
      </c>
      <c r="L38" s="20">
        <v>10</v>
      </c>
      <c r="M38" s="100">
        <f t="shared" si="12"/>
        <v>50</v>
      </c>
      <c r="N38" s="421">
        <v>42296</v>
      </c>
      <c r="O38" s="100">
        <f t="shared" si="13"/>
        <v>50</v>
      </c>
      <c r="P38" s="111" t="s">
        <v>725</v>
      </c>
      <c r="Q38" s="605">
        <v>40</v>
      </c>
      <c r="S38" s="7"/>
      <c r="T38" s="291">
        <v>5</v>
      </c>
      <c r="U38" s="20"/>
      <c r="V38" s="114">
        <f t="shared" si="8"/>
        <v>0</v>
      </c>
      <c r="W38" s="180"/>
      <c r="X38" s="114">
        <f t="shared" si="9"/>
        <v>0</v>
      </c>
      <c r="Y38" s="115"/>
      <c r="Z38" s="212"/>
    </row>
    <row r="39" spans="1:26" x14ac:dyDescent="0.25">
      <c r="A39" s="7"/>
      <c r="B39" s="291">
        <v>10</v>
      </c>
      <c r="C39" s="20"/>
      <c r="D39" s="528">
        <f t="shared" si="0"/>
        <v>0</v>
      </c>
      <c r="E39" s="544"/>
      <c r="F39" s="528">
        <f t="shared" si="1"/>
        <v>0</v>
      </c>
      <c r="G39" s="530"/>
      <c r="H39" s="606"/>
      <c r="J39" s="7"/>
      <c r="K39" s="291">
        <v>5</v>
      </c>
      <c r="L39" s="20">
        <v>20</v>
      </c>
      <c r="M39" s="100">
        <f t="shared" si="12"/>
        <v>100</v>
      </c>
      <c r="N39" s="421">
        <v>42298</v>
      </c>
      <c r="O39" s="100">
        <f t="shared" si="13"/>
        <v>100</v>
      </c>
      <c r="P39" s="111" t="s">
        <v>733</v>
      </c>
      <c r="Q39" s="605">
        <v>40</v>
      </c>
      <c r="S39" s="7"/>
      <c r="T39" s="291">
        <v>5</v>
      </c>
      <c r="U39" s="20"/>
      <c r="V39" s="114">
        <f t="shared" si="8"/>
        <v>0</v>
      </c>
      <c r="W39" s="180"/>
      <c r="X39" s="114">
        <f t="shared" si="9"/>
        <v>0</v>
      </c>
      <c r="Y39" s="115"/>
      <c r="Z39" s="212"/>
    </row>
    <row r="40" spans="1:26" x14ac:dyDescent="0.25">
      <c r="A40" s="7"/>
      <c r="B40" s="291">
        <v>10</v>
      </c>
      <c r="C40" s="20"/>
      <c r="D40" s="528">
        <f t="shared" si="0"/>
        <v>0</v>
      </c>
      <c r="E40" s="544"/>
      <c r="F40" s="528">
        <f t="shared" si="1"/>
        <v>0</v>
      </c>
      <c r="G40" s="530"/>
      <c r="H40" s="606"/>
      <c r="J40" s="7"/>
      <c r="K40" s="291">
        <v>5</v>
      </c>
      <c r="L40" s="20">
        <v>10</v>
      </c>
      <c r="M40" s="100">
        <f t="shared" si="12"/>
        <v>50</v>
      </c>
      <c r="N40" s="421">
        <v>42299</v>
      </c>
      <c r="O40" s="100">
        <f t="shared" si="13"/>
        <v>50</v>
      </c>
      <c r="P40" s="111" t="s">
        <v>738</v>
      </c>
      <c r="Q40" s="605">
        <v>40</v>
      </c>
      <c r="S40" s="7"/>
      <c r="T40" s="291">
        <v>5</v>
      </c>
      <c r="U40" s="20"/>
      <c r="V40" s="114">
        <f t="shared" si="8"/>
        <v>0</v>
      </c>
      <c r="W40" s="180"/>
      <c r="X40" s="114">
        <f t="shared" si="9"/>
        <v>0</v>
      </c>
      <c r="Y40" s="115"/>
      <c r="Z40" s="212"/>
    </row>
    <row r="41" spans="1:26" x14ac:dyDescent="0.25">
      <c r="A41" s="7"/>
      <c r="B41" s="291">
        <v>10</v>
      </c>
      <c r="C41" s="20"/>
      <c r="D41" s="528">
        <f t="shared" si="0"/>
        <v>0</v>
      </c>
      <c r="E41" s="544"/>
      <c r="F41" s="528">
        <f t="shared" si="1"/>
        <v>0</v>
      </c>
      <c r="G41" s="530"/>
      <c r="H41" s="606"/>
      <c r="J41" s="7"/>
      <c r="K41" s="291">
        <v>5</v>
      </c>
      <c r="L41" s="20">
        <v>10</v>
      </c>
      <c r="M41" s="100">
        <f t="shared" si="12"/>
        <v>50</v>
      </c>
      <c r="N41" s="421">
        <v>42300</v>
      </c>
      <c r="O41" s="100">
        <f t="shared" si="13"/>
        <v>50</v>
      </c>
      <c r="P41" s="111" t="s">
        <v>747</v>
      </c>
      <c r="Q41" s="605">
        <v>40</v>
      </c>
      <c r="S41" s="7"/>
      <c r="T41" s="291">
        <v>5</v>
      </c>
      <c r="U41" s="20"/>
      <c r="V41" s="114">
        <f t="shared" si="8"/>
        <v>0</v>
      </c>
      <c r="W41" s="180"/>
      <c r="X41" s="114">
        <f t="shared" si="9"/>
        <v>0</v>
      </c>
      <c r="Y41" s="115"/>
      <c r="Z41" s="212"/>
    </row>
    <row r="42" spans="1:26" x14ac:dyDescent="0.25">
      <c r="A42" s="7"/>
      <c r="B42" s="291">
        <v>10</v>
      </c>
      <c r="C42" s="20"/>
      <c r="D42" s="528">
        <f t="shared" si="0"/>
        <v>0</v>
      </c>
      <c r="E42" s="544"/>
      <c r="F42" s="528">
        <f t="shared" si="1"/>
        <v>0</v>
      </c>
      <c r="G42" s="530"/>
      <c r="H42" s="606"/>
      <c r="J42" s="7"/>
      <c r="K42" s="291">
        <v>5</v>
      </c>
      <c r="L42" s="20">
        <v>20</v>
      </c>
      <c r="M42" s="100">
        <f t="shared" si="12"/>
        <v>100</v>
      </c>
      <c r="N42" s="421">
        <v>42303</v>
      </c>
      <c r="O42" s="100">
        <f t="shared" si="13"/>
        <v>100</v>
      </c>
      <c r="P42" s="111" t="s">
        <v>764</v>
      </c>
      <c r="Q42" s="605">
        <v>40</v>
      </c>
      <c r="S42" s="7"/>
      <c r="T42" s="291">
        <v>5</v>
      </c>
      <c r="U42" s="20"/>
      <c r="V42" s="114">
        <f t="shared" si="8"/>
        <v>0</v>
      </c>
      <c r="W42" s="180"/>
      <c r="X42" s="114">
        <f t="shared" si="9"/>
        <v>0</v>
      </c>
      <c r="Y42" s="115"/>
      <c r="Z42" s="212"/>
    </row>
    <row r="43" spans="1:26" x14ac:dyDescent="0.25">
      <c r="A43" s="7"/>
      <c r="B43" s="291">
        <v>10</v>
      </c>
      <c r="C43" s="20"/>
      <c r="D43" s="528">
        <f t="shared" si="0"/>
        <v>0</v>
      </c>
      <c r="E43" s="544"/>
      <c r="F43" s="528">
        <f t="shared" si="1"/>
        <v>0</v>
      </c>
      <c r="G43" s="530"/>
      <c r="H43" s="606"/>
      <c r="J43" s="7"/>
      <c r="K43" s="291">
        <v>5</v>
      </c>
      <c r="L43" s="20"/>
      <c r="M43" s="100">
        <f t="shared" si="12"/>
        <v>0</v>
      </c>
      <c r="N43" s="421"/>
      <c r="O43" s="100">
        <f t="shared" si="13"/>
        <v>0</v>
      </c>
      <c r="P43" s="111"/>
      <c r="Q43" s="605"/>
      <c r="S43" s="7"/>
      <c r="T43" s="291">
        <v>5</v>
      </c>
      <c r="U43" s="20"/>
      <c r="V43" s="114">
        <f t="shared" si="8"/>
        <v>0</v>
      </c>
      <c r="W43" s="180"/>
      <c r="X43" s="114">
        <f t="shared" si="9"/>
        <v>0</v>
      </c>
      <c r="Y43" s="115"/>
      <c r="Z43" s="212"/>
    </row>
    <row r="44" spans="1:26" x14ac:dyDescent="0.25">
      <c r="A44" s="7"/>
      <c r="B44" s="291">
        <v>10</v>
      </c>
      <c r="C44" s="20"/>
      <c r="D44" s="528">
        <f t="shared" si="0"/>
        <v>0</v>
      </c>
      <c r="E44" s="544"/>
      <c r="F44" s="528">
        <f t="shared" si="1"/>
        <v>0</v>
      </c>
      <c r="G44" s="530"/>
      <c r="H44" s="606"/>
      <c r="J44" s="7"/>
      <c r="K44" s="291">
        <v>5</v>
      </c>
      <c r="L44" s="20"/>
      <c r="M44" s="100">
        <f t="shared" si="12"/>
        <v>0</v>
      </c>
      <c r="N44" s="421"/>
      <c r="O44" s="100">
        <f t="shared" si="13"/>
        <v>0</v>
      </c>
      <c r="P44" s="111"/>
      <c r="Q44" s="605"/>
      <c r="S44" s="7"/>
      <c r="T44" s="291">
        <v>5</v>
      </c>
      <c r="U44" s="20"/>
      <c r="V44" s="114">
        <f t="shared" si="8"/>
        <v>0</v>
      </c>
      <c r="W44" s="180"/>
      <c r="X44" s="114">
        <f t="shared" si="9"/>
        <v>0</v>
      </c>
      <c r="Y44" s="115"/>
      <c r="Z44" s="212"/>
    </row>
    <row r="45" spans="1:26" x14ac:dyDescent="0.25">
      <c r="A45" s="7"/>
      <c r="B45" s="291">
        <v>10</v>
      </c>
      <c r="C45" s="20"/>
      <c r="D45" s="528">
        <f t="shared" si="0"/>
        <v>0</v>
      </c>
      <c r="E45" s="544"/>
      <c r="F45" s="528">
        <f t="shared" si="1"/>
        <v>0</v>
      </c>
      <c r="G45" s="530"/>
      <c r="H45" s="606"/>
      <c r="J45" s="7"/>
      <c r="K45" s="291">
        <v>5</v>
      </c>
      <c r="L45" s="20"/>
      <c r="M45" s="100">
        <f t="shared" si="12"/>
        <v>0</v>
      </c>
      <c r="N45" s="421"/>
      <c r="O45" s="100">
        <f t="shared" si="13"/>
        <v>0</v>
      </c>
      <c r="P45" s="111"/>
      <c r="Q45" s="605"/>
      <c r="S45" s="7"/>
      <c r="T45" s="291">
        <v>5</v>
      </c>
      <c r="U45" s="20"/>
      <c r="V45" s="114">
        <f t="shared" si="8"/>
        <v>0</v>
      </c>
      <c r="W45" s="180"/>
      <c r="X45" s="114">
        <f t="shared" si="9"/>
        <v>0</v>
      </c>
      <c r="Y45" s="115"/>
      <c r="Z45" s="212"/>
    </row>
    <row r="46" spans="1:26" x14ac:dyDescent="0.25">
      <c r="A46" s="7"/>
      <c r="B46" s="291">
        <v>10</v>
      </c>
      <c r="C46" s="20"/>
      <c r="D46" s="528">
        <f t="shared" si="0"/>
        <v>0</v>
      </c>
      <c r="E46" s="544"/>
      <c r="F46" s="528">
        <f t="shared" si="1"/>
        <v>0</v>
      </c>
      <c r="G46" s="530"/>
      <c r="H46" s="606"/>
      <c r="J46" s="7"/>
      <c r="K46" s="291">
        <v>5</v>
      </c>
      <c r="L46" s="20"/>
      <c r="M46" s="100">
        <f t="shared" si="12"/>
        <v>0</v>
      </c>
      <c r="N46" s="421"/>
      <c r="O46" s="100">
        <f t="shared" si="13"/>
        <v>0</v>
      </c>
      <c r="P46" s="111"/>
      <c r="Q46" s="605"/>
      <c r="S46" s="7"/>
      <c r="T46" s="291">
        <v>5</v>
      </c>
      <c r="U46" s="20"/>
      <c r="V46" s="114">
        <f t="shared" si="8"/>
        <v>0</v>
      </c>
      <c r="W46" s="180"/>
      <c r="X46" s="114">
        <f t="shared" si="9"/>
        <v>0</v>
      </c>
      <c r="Y46" s="115"/>
      <c r="Z46" s="212"/>
    </row>
    <row r="47" spans="1:26" x14ac:dyDescent="0.25">
      <c r="A47" s="7"/>
      <c r="B47" s="291">
        <v>10</v>
      </c>
      <c r="C47" s="20"/>
      <c r="D47" s="528">
        <f t="shared" si="0"/>
        <v>0</v>
      </c>
      <c r="E47" s="544"/>
      <c r="F47" s="528">
        <f t="shared" si="1"/>
        <v>0</v>
      </c>
      <c r="G47" s="530"/>
      <c r="H47" s="606"/>
      <c r="J47" s="7"/>
      <c r="K47" s="291">
        <v>5</v>
      </c>
      <c r="L47" s="20"/>
      <c r="M47" s="100">
        <f t="shared" si="12"/>
        <v>0</v>
      </c>
      <c r="N47" s="421"/>
      <c r="O47" s="100">
        <f t="shared" si="13"/>
        <v>0</v>
      </c>
      <c r="P47" s="111"/>
      <c r="Q47" s="605"/>
      <c r="S47" s="7"/>
      <c r="T47" s="291">
        <v>5</v>
      </c>
      <c r="U47" s="20"/>
      <c r="V47" s="114">
        <f t="shared" si="8"/>
        <v>0</v>
      </c>
      <c r="W47" s="180"/>
      <c r="X47" s="114">
        <f t="shared" si="9"/>
        <v>0</v>
      </c>
      <c r="Y47" s="115"/>
      <c r="Z47" s="212"/>
    </row>
    <row r="48" spans="1:26" x14ac:dyDescent="0.25">
      <c r="A48" s="7"/>
      <c r="B48" s="291">
        <v>10</v>
      </c>
      <c r="C48" s="20"/>
      <c r="D48" s="528">
        <f t="shared" si="0"/>
        <v>0</v>
      </c>
      <c r="E48" s="544"/>
      <c r="F48" s="528">
        <f t="shared" si="1"/>
        <v>0</v>
      </c>
      <c r="G48" s="530"/>
      <c r="H48" s="606"/>
      <c r="J48" s="7"/>
      <c r="K48" s="291">
        <v>5</v>
      </c>
      <c r="L48" s="20">
        <v>5</v>
      </c>
      <c r="M48" s="100">
        <f t="shared" si="12"/>
        <v>25</v>
      </c>
      <c r="N48" s="421"/>
      <c r="O48" s="100">
        <f t="shared" si="13"/>
        <v>25</v>
      </c>
      <c r="P48" s="111"/>
      <c r="Q48" s="605"/>
      <c r="S48" s="7"/>
      <c r="T48" s="291">
        <v>5</v>
      </c>
      <c r="U48" s="20"/>
      <c r="V48" s="114">
        <f t="shared" si="8"/>
        <v>0</v>
      </c>
      <c r="W48" s="180"/>
      <c r="X48" s="114">
        <f t="shared" si="9"/>
        <v>0</v>
      </c>
      <c r="Y48" s="115"/>
      <c r="Z48" s="212"/>
    </row>
    <row r="49" spans="1:26" x14ac:dyDescent="0.25">
      <c r="A49" s="7"/>
      <c r="B49" s="291">
        <v>10</v>
      </c>
      <c r="C49" s="20"/>
      <c r="D49" s="528">
        <f t="shared" si="0"/>
        <v>0</v>
      </c>
      <c r="E49" s="544"/>
      <c r="F49" s="528">
        <f t="shared" si="1"/>
        <v>0</v>
      </c>
      <c r="G49" s="530"/>
      <c r="H49" s="606"/>
      <c r="J49" s="7"/>
      <c r="K49" s="291">
        <v>5</v>
      </c>
      <c r="L49" s="20"/>
      <c r="M49" s="100">
        <f t="shared" si="12"/>
        <v>0</v>
      </c>
      <c r="N49" s="421"/>
      <c r="O49" s="100">
        <f t="shared" si="13"/>
        <v>0</v>
      </c>
      <c r="P49" s="111"/>
      <c r="Q49" s="605"/>
      <c r="S49" s="7"/>
      <c r="T49" s="291">
        <v>5</v>
      </c>
      <c r="U49" s="20"/>
      <c r="V49" s="114">
        <f t="shared" si="8"/>
        <v>0</v>
      </c>
      <c r="W49" s="180"/>
      <c r="X49" s="114">
        <f t="shared" si="9"/>
        <v>0</v>
      </c>
      <c r="Y49" s="115"/>
      <c r="Z49" s="212"/>
    </row>
    <row r="50" spans="1:26" x14ac:dyDescent="0.25">
      <c r="A50" s="7"/>
      <c r="B50" s="291">
        <v>10</v>
      </c>
      <c r="C50" s="20"/>
      <c r="D50" s="528">
        <f t="shared" si="0"/>
        <v>0</v>
      </c>
      <c r="E50" s="544"/>
      <c r="F50" s="528">
        <f t="shared" si="1"/>
        <v>0</v>
      </c>
      <c r="G50" s="530"/>
      <c r="H50" s="606"/>
      <c r="J50" s="7"/>
      <c r="K50" s="291">
        <v>5</v>
      </c>
      <c r="L50" s="20"/>
      <c r="M50" s="100">
        <f t="shared" si="12"/>
        <v>0</v>
      </c>
      <c r="N50" s="421"/>
      <c r="O50" s="100">
        <f t="shared" si="13"/>
        <v>0</v>
      </c>
      <c r="P50" s="111"/>
      <c r="Q50" s="605"/>
      <c r="S50" s="7"/>
      <c r="T50" s="291">
        <v>5</v>
      </c>
      <c r="U50" s="20"/>
      <c r="V50" s="114">
        <f t="shared" si="8"/>
        <v>0</v>
      </c>
      <c r="W50" s="180"/>
      <c r="X50" s="114">
        <f t="shared" si="9"/>
        <v>0</v>
      </c>
      <c r="Y50" s="115"/>
      <c r="Z50" s="212"/>
    </row>
    <row r="51" spans="1:26" x14ac:dyDescent="0.25">
      <c r="A51" s="7"/>
      <c r="B51" s="291">
        <v>10</v>
      </c>
      <c r="C51" s="20"/>
      <c r="D51" s="528">
        <f t="shared" si="0"/>
        <v>0</v>
      </c>
      <c r="E51" s="544"/>
      <c r="F51" s="528">
        <f t="shared" si="1"/>
        <v>0</v>
      </c>
      <c r="G51" s="530"/>
      <c r="H51" s="606"/>
      <c r="J51" s="7"/>
      <c r="K51" s="291">
        <v>5</v>
      </c>
      <c r="L51" s="20"/>
      <c r="M51" s="100">
        <f t="shared" si="12"/>
        <v>0</v>
      </c>
      <c r="N51" s="421"/>
      <c r="O51" s="100">
        <f t="shared" si="13"/>
        <v>0</v>
      </c>
      <c r="P51" s="111"/>
      <c r="Q51" s="605"/>
      <c r="S51" s="7"/>
      <c r="T51" s="291">
        <v>5</v>
      </c>
      <c r="U51" s="20"/>
      <c r="V51" s="114">
        <f t="shared" si="8"/>
        <v>0</v>
      </c>
      <c r="W51" s="180"/>
      <c r="X51" s="114">
        <f t="shared" si="9"/>
        <v>0</v>
      </c>
      <c r="Y51" s="115"/>
      <c r="Z51" s="212"/>
    </row>
    <row r="52" spans="1:26" x14ac:dyDescent="0.25">
      <c r="A52" s="7"/>
      <c r="B52" s="291">
        <v>10</v>
      </c>
      <c r="C52" s="20"/>
      <c r="D52" s="528">
        <f t="shared" si="0"/>
        <v>0</v>
      </c>
      <c r="E52" s="544"/>
      <c r="F52" s="528">
        <f t="shared" si="1"/>
        <v>0</v>
      </c>
      <c r="G52" s="530"/>
      <c r="H52" s="606"/>
      <c r="J52" s="7"/>
      <c r="K52" s="291">
        <v>5</v>
      </c>
      <c r="L52" s="20"/>
      <c r="M52" s="100">
        <f t="shared" si="12"/>
        <v>0</v>
      </c>
      <c r="N52" s="421"/>
      <c r="O52" s="100">
        <f t="shared" si="13"/>
        <v>0</v>
      </c>
      <c r="P52" s="111"/>
      <c r="Q52" s="605"/>
      <c r="S52" s="7"/>
      <c r="T52" s="291">
        <v>5</v>
      </c>
      <c r="U52" s="20"/>
      <c r="V52" s="114">
        <f t="shared" si="8"/>
        <v>0</v>
      </c>
      <c r="W52" s="180"/>
      <c r="X52" s="114">
        <f t="shared" si="9"/>
        <v>0</v>
      </c>
      <c r="Y52" s="115"/>
      <c r="Z52" s="212"/>
    </row>
    <row r="53" spans="1:26" x14ac:dyDescent="0.25">
      <c r="A53" s="7"/>
      <c r="B53" s="291">
        <v>10</v>
      </c>
      <c r="C53" s="20"/>
      <c r="D53" s="528">
        <f t="shared" si="0"/>
        <v>0</v>
      </c>
      <c r="E53" s="544"/>
      <c r="F53" s="528">
        <f t="shared" si="1"/>
        <v>0</v>
      </c>
      <c r="G53" s="530"/>
      <c r="H53" s="606"/>
      <c r="J53" s="7"/>
      <c r="K53" s="291">
        <v>5</v>
      </c>
      <c r="L53" s="20"/>
      <c r="M53" s="100">
        <f t="shared" si="12"/>
        <v>0</v>
      </c>
      <c r="N53" s="421"/>
      <c r="O53" s="100">
        <f t="shared" si="13"/>
        <v>0</v>
      </c>
      <c r="P53" s="111"/>
      <c r="Q53" s="605"/>
      <c r="S53" s="7"/>
      <c r="T53" s="291">
        <v>5</v>
      </c>
      <c r="U53" s="20"/>
      <c r="V53" s="114">
        <f t="shared" si="8"/>
        <v>0</v>
      </c>
      <c r="W53" s="180"/>
      <c r="X53" s="114">
        <f t="shared" si="9"/>
        <v>0</v>
      </c>
      <c r="Y53" s="115"/>
      <c r="Z53" s="212"/>
    </row>
    <row r="54" spans="1:26" x14ac:dyDescent="0.25">
      <c r="A54" s="7"/>
      <c r="B54" s="291">
        <v>10</v>
      </c>
      <c r="C54" s="20"/>
      <c r="D54" s="528">
        <f t="shared" si="0"/>
        <v>0</v>
      </c>
      <c r="E54" s="544"/>
      <c r="F54" s="528">
        <f t="shared" si="1"/>
        <v>0</v>
      </c>
      <c r="G54" s="530"/>
      <c r="H54" s="606"/>
      <c r="J54" s="7"/>
      <c r="K54" s="291">
        <v>5</v>
      </c>
      <c r="L54" s="20"/>
      <c r="M54" s="100">
        <f t="shared" si="12"/>
        <v>0</v>
      </c>
      <c r="N54" s="421"/>
      <c r="O54" s="100">
        <f t="shared" si="13"/>
        <v>0</v>
      </c>
      <c r="P54" s="111"/>
      <c r="Q54" s="605"/>
      <c r="S54" s="7"/>
      <c r="T54" s="291">
        <v>5</v>
      </c>
      <c r="U54" s="20"/>
      <c r="V54" s="114">
        <f t="shared" si="8"/>
        <v>0</v>
      </c>
      <c r="W54" s="180"/>
      <c r="X54" s="114">
        <f t="shared" si="9"/>
        <v>0</v>
      </c>
      <c r="Y54" s="115"/>
      <c r="Z54" s="212"/>
    </row>
    <row r="55" spans="1:26" x14ac:dyDescent="0.25">
      <c r="A55" s="7"/>
      <c r="B55" s="291">
        <v>10</v>
      </c>
      <c r="C55" s="20"/>
      <c r="D55" s="528">
        <f t="shared" si="0"/>
        <v>0</v>
      </c>
      <c r="E55" s="544"/>
      <c r="F55" s="528">
        <f t="shared" si="1"/>
        <v>0</v>
      </c>
      <c r="G55" s="530"/>
      <c r="H55" s="606"/>
      <c r="J55" s="7"/>
      <c r="K55" s="291">
        <v>5</v>
      </c>
      <c r="L55" s="20"/>
      <c r="M55" s="100">
        <f t="shared" si="12"/>
        <v>0</v>
      </c>
      <c r="N55" s="421"/>
      <c r="O55" s="100">
        <f t="shared" si="13"/>
        <v>0</v>
      </c>
      <c r="P55" s="111"/>
      <c r="Q55" s="605"/>
      <c r="S55" s="7"/>
      <c r="T55" s="291">
        <v>5</v>
      </c>
      <c r="U55" s="20"/>
      <c r="V55" s="114">
        <f t="shared" si="8"/>
        <v>0</v>
      </c>
      <c r="W55" s="180"/>
      <c r="X55" s="114">
        <f t="shared" si="9"/>
        <v>0</v>
      </c>
      <c r="Y55" s="115"/>
      <c r="Z55" s="212"/>
    </row>
    <row r="56" spans="1:26" x14ac:dyDescent="0.25">
      <c r="A56" s="7"/>
      <c r="B56" s="291">
        <v>10</v>
      </c>
      <c r="C56" s="20"/>
      <c r="D56" s="528">
        <f t="shared" si="0"/>
        <v>0</v>
      </c>
      <c r="E56" s="544"/>
      <c r="F56" s="528">
        <f t="shared" si="1"/>
        <v>0</v>
      </c>
      <c r="G56" s="530"/>
      <c r="H56" s="606"/>
      <c r="J56" s="7"/>
      <c r="K56" s="291">
        <v>5</v>
      </c>
      <c r="L56" s="20"/>
      <c r="M56" s="100">
        <f t="shared" si="12"/>
        <v>0</v>
      </c>
      <c r="N56" s="421"/>
      <c r="O56" s="100">
        <f t="shared" si="13"/>
        <v>0</v>
      </c>
      <c r="P56" s="111"/>
      <c r="Q56" s="605"/>
      <c r="S56" s="7"/>
      <c r="T56" s="291">
        <v>5</v>
      </c>
      <c r="U56" s="20"/>
      <c r="V56" s="114">
        <f t="shared" si="8"/>
        <v>0</v>
      </c>
      <c r="W56" s="180"/>
      <c r="X56" s="114">
        <f t="shared" si="9"/>
        <v>0</v>
      </c>
      <c r="Y56" s="115"/>
      <c r="Z56" s="212"/>
    </row>
    <row r="57" spans="1:26" x14ac:dyDescent="0.25">
      <c r="A57" s="7"/>
      <c r="B57" s="291">
        <v>10</v>
      </c>
      <c r="C57" s="20"/>
      <c r="D57" s="528">
        <f t="shared" si="0"/>
        <v>0</v>
      </c>
      <c r="E57" s="544"/>
      <c r="F57" s="528">
        <f t="shared" si="1"/>
        <v>0</v>
      </c>
      <c r="G57" s="530"/>
      <c r="H57" s="606"/>
      <c r="J57" s="7"/>
      <c r="K57" s="291">
        <v>5</v>
      </c>
      <c r="L57" s="20"/>
      <c r="M57" s="100">
        <f t="shared" si="12"/>
        <v>0</v>
      </c>
      <c r="N57" s="421"/>
      <c r="O57" s="100">
        <f t="shared" si="13"/>
        <v>0</v>
      </c>
      <c r="P57" s="111"/>
      <c r="Q57" s="605"/>
      <c r="S57" s="7"/>
      <c r="T57" s="291">
        <v>5</v>
      </c>
      <c r="U57" s="20"/>
      <c r="V57" s="114">
        <f t="shared" si="8"/>
        <v>0</v>
      </c>
      <c r="W57" s="180"/>
      <c r="X57" s="114">
        <f t="shared" si="9"/>
        <v>0</v>
      </c>
      <c r="Y57" s="115"/>
      <c r="Z57" s="212"/>
    </row>
    <row r="58" spans="1:26" x14ac:dyDescent="0.25">
      <c r="A58" s="7"/>
      <c r="B58" s="291">
        <v>10</v>
      </c>
      <c r="C58" s="20"/>
      <c r="D58" s="528">
        <f t="shared" si="0"/>
        <v>0</v>
      </c>
      <c r="E58" s="544"/>
      <c r="F58" s="528">
        <f t="shared" si="1"/>
        <v>0</v>
      </c>
      <c r="G58" s="530"/>
      <c r="H58" s="606"/>
      <c r="J58" s="7"/>
      <c r="K58" s="291">
        <v>5</v>
      </c>
      <c r="L58" s="20"/>
      <c r="M58" s="100">
        <f t="shared" si="12"/>
        <v>0</v>
      </c>
      <c r="N58" s="421"/>
      <c r="O58" s="100">
        <f t="shared" si="13"/>
        <v>0</v>
      </c>
      <c r="P58" s="111"/>
      <c r="Q58" s="605"/>
      <c r="S58" s="7"/>
      <c r="T58" s="291">
        <v>5</v>
      </c>
      <c r="U58" s="20"/>
      <c r="V58" s="114">
        <f t="shared" si="8"/>
        <v>0</v>
      </c>
      <c r="W58" s="180"/>
      <c r="X58" s="114">
        <f t="shared" si="9"/>
        <v>0</v>
      </c>
      <c r="Y58" s="115"/>
      <c r="Z58" s="212"/>
    </row>
    <row r="59" spans="1:26" x14ac:dyDescent="0.25">
      <c r="A59" s="7"/>
      <c r="B59" s="291">
        <v>10</v>
      </c>
      <c r="C59" s="20"/>
      <c r="D59" s="528">
        <f t="shared" si="0"/>
        <v>0</v>
      </c>
      <c r="E59" s="544"/>
      <c r="F59" s="528">
        <f t="shared" si="1"/>
        <v>0</v>
      </c>
      <c r="G59" s="530"/>
      <c r="H59" s="606"/>
      <c r="J59" s="7"/>
      <c r="K59" s="291">
        <v>5</v>
      </c>
      <c r="L59" s="20"/>
      <c r="M59" s="100">
        <f t="shared" si="12"/>
        <v>0</v>
      </c>
      <c r="N59" s="421"/>
      <c r="O59" s="100">
        <f t="shared" si="13"/>
        <v>0</v>
      </c>
      <c r="P59" s="111"/>
      <c r="Q59" s="605"/>
      <c r="S59" s="7"/>
      <c r="T59" s="291">
        <v>5</v>
      </c>
      <c r="U59" s="20"/>
      <c r="V59" s="114">
        <f t="shared" si="8"/>
        <v>0</v>
      </c>
      <c r="W59" s="180"/>
      <c r="X59" s="114">
        <f t="shared" si="9"/>
        <v>0</v>
      </c>
      <c r="Y59" s="115"/>
      <c r="Z59" s="212"/>
    </row>
    <row r="60" spans="1:26" x14ac:dyDescent="0.25">
      <c r="A60" s="7"/>
      <c r="B60" s="291">
        <v>10</v>
      </c>
      <c r="C60" s="20"/>
      <c r="D60" s="528">
        <f t="shared" si="0"/>
        <v>0</v>
      </c>
      <c r="E60" s="544"/>
      <c r="F60" s="528">
        <f t="shared" si="1"/>
        <v>0</v>
      </c>
      <c r="G60" s="530"/>
      <c r="H60" s="606"/>
      <c r="J60" s="7"/>
      <c r="K60" s="291">
        <v>5</v>
      </c>
      <c r="L60" s="20"/>
      <c r="M60" s="100">
        <f t="shared" si="12"/>
        <v>0</v>
      </c>
      <c r="N60" s="421"/>
      <c r="O60" s="100">
        <f t="shared" si="13"/>
        <v>0</v>
      </c>
      <c r="P60" s="111"/>
      <c r="Q60" s="605"/>
      <c r="S60" s="7"/>
      <c r="T60" s="291">
        <v>5</v>
      </c>
      <c r="U60" s="20"/>
      <c r="V60" s="114">
        <f t="shared" si="8"/>
        <v>0</v>
      </c>
      <c r="W60" s="180"/>
      <c r="X60" s="114">
        <f t="shared" si="9"/>
        <v>0</v>
      </c>
      <c r="Y60" s="115"/>
      <c r="Z60" s="212"/>
    </row>
    <row r="61" spans="1:26" x14ac:dyDescent="0.25">
      <c r="A61" s="7"/>
      <c r="B61" s="291">
        <v>10</v>
      </c>
      <c r="C61" s="20"/>
      <c r="D61" s="528">
        <f t="shared" si="0"/>
        <v>0</v>
      </c>
      <c r="E61" s="544"/>
      <c r="F61" s="528">
        <f t="shared" si="1"/>
        <v>0</v>
      </c>
      <c r="G61" s="530"/>
      <c r="H61" s="606"/>
      <c r="J61" s="7"/>
      <c r="K61" s="291">
        <v>5</v>
      </c>
      <c r="L61" s="20"/>
      <c r="M61" s="100">
        <f t="shared" si="12"/>
        <v>0</v>
      </c>
      <c r="N61" s="421"/>
      <c r="O61" s="100">
        <f t="shared" si="13"/>
        <v>0</v>
      </c>
      <c r="P61" s="111"/>
      <c r="Q61" s="605"/>
      <c r="S61" s="7"/>
      <c r="T61" s="291">
        <v>5</v>
      </c>
      <c r="U61" s="20"/>
      <c r="V61" s="114">
        <f t="shared" si="8"/>
        <v>0</v>
      </c>
      <c r="W61" s="180"/>
      <c r="X61" s="114">
        <f t="shared" si="9"/>
        <v>0</v>
      </c>
      <c r="Y61" s="115"/>
      <c r="Z61" s="212"/>
    </row>
    <row r="62" spans="1:26" x14ac:dyDescent="0.25">
      <c r="A62" s="7"/>
      <c r="B62" s="291">
        <v>10</v>
      </c>
      <c r="C62" s="20"/>
      <c r="D62" s="528">
        <f t="shared" si="0"/>
        <v>0</v>
      </c>
      <c r="E62" s="544"/>
      <c r="F62" s="528">
        <f t="shared" si="1"/>
        <v>0</v>
      </c>
      <c r="G62" s="530"/>
      <c r="H62" s="606"/>
      <c r="J62" s="7"/>
      <c r="K62" s="291">
        <v>5</v>
      </c>
      <c r="L62" s="20"/>
      <c r="M62" s="100">
        <f t="shared" si="12"/>
        <v>0</v>
      </c>
      <c r="N62" s="421"/>
      <c r="O62" s="100">
        <f t="shared" si="13"/>
        <v>0</v>
      </c>
      <c r="P62" s="111"/>
      <c r="Q62" s="605"/>
      <c r="S62" s="7"/>
      <c r="T62" s="291">
        <v>5</v>
      </c>
      <c r="U62" s="20"/>
      <c r="V62" s="114">
        <f t="shared" si="8"/>
        <v>0</v>
      </c>
      <c r="W62" s="180"/>
      <c r="X62" s="114">
        <f t="shared" si="9"/>
        <v>0</v>
      </c>
      <c r="Y62" s="115"/>
      <c r="Z62" s="212"/>
    </row>
    <row r="63" spans="1:26" x14ac:dyDescent="0.25">
      <c r="A63" s="7"/>
      <c r="B63" s="291">
        <v>10</v>
      </c>
      <c r="C63" s="20"/>
      <c r="D63" s="528">
        <f t="shared" si="0"/>
        <v>0</v>
      </c>
      <c r="E63" s="607"/>
      <c r="F63" s="528">
        <f t="shared" si="1"/>
        <v>0</v>
      </c>
      <c r="G63" s="530"/>
      <c r="H63" s="606"/>
      <c r="J63" s="7"/>
      <c r="K63" s="291">
        <v>5</v>
      </c>
      <c r="L63" s="20"/>
      <c r="M63" s="100">
        <f t="shared" si="12"/>
        <v>0</v>
      </c>
      <c r="N63" s="699"/>
      <c r="O63" s="100">
        <f t="shared" si="13"/>
        <v>0</v>
      </c>
      <c r="P63" s="111"/>
      <c r="Q63" s="605"/>
      <c r="S63" s="7"/>
      <c r="T63" s="291">
        <v>5</v>
      </c>
      <c r="U63" s="20"/>
      <c r="V63" s="114">
        <f t="shared" si="8"/>
        <v>0</v>
      </c>
      <c r="W63" s="663"/>
      <c r="X63" s="114">
        <f t="shared" si="9"/>
        <v>0</v>
      </c>
      <c r="Y63" s="115"/>
      <c r="Z63" s="212"/>
    </row>
    <row r="64" spans="1:26" x14ac:dyDescent="0.25">
      <c r="A64" s="7"/>
      <c r="B64" s="291">
        <v>10</v>
      </c>
      <c r="C64" s="20"/>
      <c r="D64" s="528">
        <f t="shared" si="0"/>
        <v>0</v>
      </c>
      <c r="E64" s="607"/>
      <c r="F64" s="528">
        <f t="shared" si="1"/>
        <v>0</v>
      </c>
      <c r="G64" s="530"/>
      <c r="H64" s="230"/>
      <c r="J64" s="7"/>
      <c r="K64" s="291">
        <v>5</v>
      </c>
      <c r="L64" s="20"/>
      <c r="M64" s="100">
        <f t="shared" si="12"/>
        <v>0</v>
      </c>
      <c r="N64" s="699"/>
      <c r="O64" s="100">
        <f t="shared" si="13"/>
        <v>0</v>
      </c>
      <c r="P64" s="111"/>
      <c r="Q64" s="101"/>
      <c r="S64" s="7"/>
      <c r="T64" s="291">
        <v>5</v>
      </c>
      <c r="U64" s="20"/>
      <c r="V64" s="114">
        <f t="shared" si="8"/>
        <v>0</v>
      </c>
      <c r="W64" s="663"/>
      <c r="X64" s="114">
        <f t="shared" si="9"/>
        <v>0</v>
      </c>
      <c r="Y64" s="115"/>
      <c r="Z64" s="116"/>
    </row>
    <row r="65" spans="1:26" x14ac:dyDescent="0.25">
      <c r="A65" s="7"/>
      <c r="B65" s="291">
        <v>10</v>
      </c>
      <c r="C65" s="20"/>
      <c r="D65" s="528">
        <f t="shared" si="0"/>
        <v>0</v>
      </c>
      <c r="E65" s="607"/>
      <c r="F65" s="528">
        <f t="shared" si="1"/>
        <v>0</v>
      </c>
      <c r="G65" s="530"/>
      <c r="H65" s="230"/>
      <c r="J65" s="7"/>
      <c r="K65" s="291">
        <v>5</v>
      </c>
      <c r="L65" s="20"/>
      <c r="M65" s="100">
        <f t="shared" si="12"/>
        <v>0</v>
      </c>
      <c r="N65" s="699"/>
      <c r="O65" s="100">
        <f t="shared" si="13"/>
        <v>0</v>
      </c>
      <c r="P65" s="111"/>
      <c r="Q65" s="101"/>
      <c r="S65" s="7"/>
      <c r="T65" s="291">
        <v>5</v>
      </c>
      <c r="U65" s="20"/>
      <c r="V65" s="114">
        <f t="shared" si="8"/>
        <v>0</v>
      </c>
      <c r="W65" s="663"/>
      <c r="X65" s="114">
        <f t="shared" si="9"/>
        <v>0</v>
      </c>
      <c r="Y65" s="115"/>
      <c r="Z65" s="116"/>
    </row>
    <row r="66" spans="1:26" x14ac:dyDescent="0.25">
      <c r="A66" s="7"/>
      <c r="B66" s="291">
        <v>10</v>
      </c>
      <c r="C66" s="20"/>
      <c r="D66" s="528">
        <f t="shared" si="0"/>
        <v>0</v>
      </c>
      <c r="E66" s="607"/>
      <c r="F66" s="528">
        <f t="shared" si="1"/>
        <v>0</v>
      </c>
      <c r="G66" s="530"/>
      <c r="H66" s="230"/>
      <c r="J66" s="7"/>
      <c r="K66" s="291">
        <v>5</v>
      </c>
      <c r="L66" s="20"/>
      <c r="M66" s="100">
        <f t="shared" si="12"/>
        <v>0</v>
      </c>
      <c r="N66" s="699"/>
      <c r="O66" s="100">
        <f t="shared" si="13"/>
        <v>0</v>
      </c>
      <c r="P66" s="111"/>
      <c r="Q66" s="101"/>
      <c r="S66" s="7"/>
      <c r="T66" s="291">
        <v>5</v>
      </c>
      <c r="U66" s="20"/>
      <c r="V66" s="114">
        <f t="shared" si="8"/>
        <v>0</v>
      </c>
      <c r="W66" s="663"/>
      <c r="X66" s="114">
        <f t="shared" si="9"/>
        <v>0</v>
      </c>
      <c r="Y66" s="115"/>
      <c r="Z66" s="116"/>
    </row>
    <row r="67" spans="1:26" x14ac:dyDescent="0.25">
      <c r="A67" s="7"/>
      <c r="B67" s="291">
        <v>10</v>
      </c>
      <c r="C67" s="20"/>
      <c r="D67" s="528">
        <f t="shared" si="0"/>
        <v>0</v>
      </c>
      <c r="E67" s="607"/>
      <c r="F67" s="528">
        <f t="shared" si="1"/>
        <v>0</v>
      </c>
      <c r="G67" s="530"/>
      <c r="H67" s="230"/>
      <c r="J67" s="7"/>
      <c r="K67" s="291">
        <v>5</v>
      </c>
      <c r="L67" s="20"/>
      <c r="M67" s="100">
        <f t="shared" si="12"/>
        <v>0</v>
      </c>
      <c r="N67" s="699"/>
      <c r="O67" s="100">
        <f t="shared" si="13"/>
        <v>0</v>
      </c>
      <c r="P67" s="111"/>
      <c r="Q67" s="101"/>
      <c r="S67" s="7"/>
      <c r="T67" s="291">
        <v>5</v>
      </c>
      <c r="U67" s="20"/>
      <c r="V67" s="114">
        <f t="shared" si="8"/>
        <v>0</v>
      </c>
      <c r="W67" s="663"/>
      <c r="X67" s="114">
        <f t="shared" si="9"/>
        <v>0</v>
      </c>
      <c r="Y67" s="115"/>
      <c r="Z67" s="116"/>
    </row>
    <row r="68" spans="1:26" x14ac:dyDescent="0.25">
      <c r="A68" s="7"/>
      <c r="B68" s="291">
        <v>10</v>
      </c>
      <c r="C68" s="20"/>
      <c r="D68" s="528">
        <f t="shared" si="0"/>
        <v>0</v>
      </c>
      <c r="E68" s="607"/>
      <c r="F68" s="528">
        <f t="shared" si="1"/>
        <v>0</v>
      </c>
      <c r="G68" s="540"/>
      <c r="H68" s="541"/>
      <c r="J68" s="7"/>
      <c r="K68" s="291">
        <v>5</v>
      </c>
      <c r="L68" s="20"/>
      <c r="M68" s="100">
        <f t="shared" si="12"/>
        <v>0</v>
      </c>
      <c r="N68" s="699"/>
      <c r="O68" s="100">
        <f t="shared" si="13"/>
        <v>0</v>
      </c>
      <c r="P68" s="692"/>
      <c r="Q68" s="690"/>
      <c r="S68" s="7"/>
      <c r="T68" s="291">
        <v>5</v>
      </c>
      <c r="U68" s="20"/>
      <c r="V68" s="114">
        <f t="shared" si="8"/>
        <v>0</v>
      </c>
      <c r="W68" s="663"/>
      <c r="X68" s="114">
        <f t="shared" si="9"/>
        <v>0</v>
      </c>
      <c r="Y68" s="664"/>
      <c r="Z68" s="434"/>
    </row>
    <row r="69" spans="1:26" x14ac:dyDescent="0.25">
      <c r="B69" s="291">
        <v>10</v>
      </c>
      <c r="C69" s="20"/>
      <c r="D69" s="528">
        <f t="shared" si="0"/>
        <v>0</v>
      </c>
      <c r="E69" s="607"/>
      <c r="F69" s="528">
        <f t="shared" si="1"/>
        <v>0</v>
      </c>
      <c r="G69" s="540"/>
      <c r="H69" s="541"/>
      <c r="K69" s="291">
        <v>5</v>
      </c>
      <c r="L69" s="20"/>
      <c r="M69" s="100">
        <f t="shared" si="12"/>
        <v>0</v>
      </c>
      <c r="N69" s="699"/>
      <c r="O69" s="100">
        <f t="shared" si="13"/>
        <v>0</v>
      </c>
      <c r="P69" s="692"/>
      <c r="Q69" s="690"/>
      <c r="T69" s="291">
        <v>5</v>
      </c>
      <c r="U69" s="20"/>
      <c r="V69" s="114">
        <f t="shared" si="8"/>
        <v>0</v>
      </c>
      <c r="W69" s="663"/>
      <c r="X69" s="114">
        <f t="shared" si="9"/>
        <v>0</v>
      </c>
      <c r="Y69" s="664"/>
      <c r="Z69" s="434"/>
    </row>
    <row r="70" spans="1:26" ht="15.75" thickBot="1" x14ac:dyDescent="0.3">
      <c r="B70" s="291">
        <v>10</v>
      </c>
      <c r="C70" s="270"/>
      <c r="D70" s="231">
        <f t="shared" si="0"/>
        <v>0</v>
      </c>
      <c r="E70" s="608"/>
      <c r="F70" s="231">
        <f t="shared" si="1"/>
        <v>0</v>
      </c>
      <c r="G70" s="609"/>
      <c r="H70" s="610"/>
      <c r="K70" s="291">
        <v>5</v>
      </c>
      <c r="L70" s="270"/>
      <c r="M70" s="639">
        <f t="shared" si="12"/>
        <v>0</v>
      </c>
      <c r="N70" s="640"/>
      <c r="O70" s="639">
        <f t="shared" si="13"/>
        <v>0</v>
      </c>
      <c r="P70" s="641"/>
      <c r="Q70" s="642"/>
      <c r="T70" s="291">
        <v>5</v>
      </c>
      <c r="U70" s="270"/>
      <c r="V70" s="355">
        <f t="shared" si="8"/>
        <v>0</v>
      </c>
      <c r="W70" s="665"/>
      <c r="X70" s="355">
        <f t="shared" si="9"/>
        <v>0</v>
      </c>
      <c r="Y70" s="666"/>
      <c r="Z70" s="667"/>
    </row>
    <row r="71" spans="1:26" ht="15.75" thickTop="1" x14ac:dyDescent="0.25">
      <c r="C71" s="20">
        <f>SUM(C8:C70)</f>
        <v>305</v>
      </c>
      <c r="D71" s="8">
        <f>SUM(D8:D70)</f>
        <v>3050</v>
      </c>
      <c r="E71" s="40"/>
      <c r="F71" s="8">
        <f>SUM(F8:F70)</f>
        <v>3050</v>
      </c>
      <c r="G71" s="39"/>
      <c r="H71" s="211"/>
      <c r="L71" s="20">
        <f>SUM(L8:L70)</f>
        <v>1000</v>
      </c>
      <c r="M71" s="8">
        <f>SUM(M8:M70)</f>
        <v>5000</v>
      </c>
      <c r="N71" s="40"/>
      <c r="O71" s="8">
        <f>SUM(O8:O70)</f>
        <v>5000</v>
      </c>
      <c r="P71" s="39"/>
      <c r="Q71" s="211"/>
      <c r="U71" s="20">
        <f>SUM(U8:U70)</f>
        <v>90</v>
      </c>
      <c r="V71" s="8">
        <f>SUM(V8:V70)</f>
        <v>450</v>
      </c>
      <c r="W71" s="40"/>
      <c r="X71" s="8">
        <f>SUM(X8:X70)</f>
        <v>450</v>
      </c>
      <c r="Y71" s="39"/>
      <c r="Z71" s="211"/>
    </row>
    <row r="72" spans="1:26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  <c r="U72" s="20"/>
      <c r="V72" s="8"/>
      <c r="W72" s="40"/>
      <c r="X72" s="8"/>
      <c r="Y72" s="39"/>
      <c r="Z72" s="23"/>
    </row>
    <row r="73" spans="1:26" x14ac:dyDescent="0.25">
      <c r="C73" s="73" t="s">
        <v>4</v>
      </c>
      <c r="D73" s="55">
        <f>F4+F5-C71+F6</f>
        <v>-5</v>
      </c>
      <c r="E73" s="53"/>
      <c r="F73" s="8"/>
      <c r="G73" s="39"/>
      <c r="H73" s="23"/>
      <c r="L73" s="73" t="s">
        <v>4</v>
      </c>
      <c r="M73" s="55">
        <f>O4+O5-L71+O6</f>
        <v>0</v>
      </c>
      <c r="N73" s="53"/>
      <c r="O73" s="8"/>
      <c r="P73" s="39"/>
      <c r="Q73" s="23"/>
      <c r="U73" s="73" t="s">
        <v>4</v>
      </c>
      <c r="V73" s="55">
        <f>X4+X5-U71+X6</f>
        <v>915</v>
      </c>
      <c r="W73" s="53"/>
      <c r="X73" s="8"/>
      <c r="Y73" s="39"/>
      <c r="Z73" s="23"/>
    </row>
    <row r="74" spans="1:26" x14ac:dyDescent="0.25">
      <c r="C74" s="769" t="s">
        <v>19</v>
      </c>
      <c r="D74" s="770"/>
      <c r="E74" s="51">
        <f>E4+E5-F71+E6</f>
        <v>-50</v>
      </c>
      <c r="F74" s="8"/>
      <c r="G74" s="8"/>
      <c r="H74" s="23"/>
      <c r="L74" s="769" t="s">
        <v>19</v>
      </c>
      <c r="M74" s="770"/>
      <c r="N74" s="51">
        <f>N4+N5-O71+N6</f>
        <v>0</v>
      </c>
      <c r="O74" s="8"/>
      <c r="P74" s="8"/>
      <c r="Q74" s="23"/>
      <c r="U74" s="769" t="s">
        <v>19</v>
      </c>
      <c r="V74" s="770"/>
      <c r="W74" s="51">
        <f>W4+W5-X71+W6</f>
        <v>4575</v>
      </c>
      <c r="X74" s="8"/>
      <c r="Y74" s="8"/>
      <c r="Z74" s="23"/>
    </row>
    <row r="75" spans="1:26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  <c r="U75" s="60"/>
      <c r="V75" s="56"/>
      <c r="W75" s="54"/>
      <c r="X75" s="8"/>
      <c r="Y75" s="39"/>
      <c r="Z75" s="23"/>
    </row>
    <row r="76" spans="1:26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  <c r="U76" s="20"/>
      <c r="V76" s="8"/>
      <c r="W76" s="40"/>
      <c r="X76" s="8"/>
      <c r="Y76" s="39"/>
      <c r="Z76" s="23"/>
    </row>
  </sheetData>
  <mergeCells count="6">
    <mergeCell ref="A1:G1"/>
    <mergeCell ref="C74:D74"/>
    <mergeCell ref="J1:P1"/>
    <mergeCell ref="L74:M74"/>
    <mergeCell ref="S1:Y1"/>
    <mergeCell ref="U74:V74"/>
  </mergeCells>
  <pageMargins left="0.25" right="0.25" top="0.75" bottom="0.75" header="0.3" footer="0.3"/>
  <pageSetup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J1" workbookViewId="0">
      <selection activeCell="L16" sqref="L1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8" ht="40.5" x14ac:dyDescent="0.55000000000000004">
      <c r="A1" s="761" t="s">
        <v>345</v>
      </c>
      <c r="B1" s="761"/>
      <c r="C1" s="761"/>
      <c r="D1" s="761"/>
      <c r="E1" s="761"/>
      <c r="F1" s="761"/>
      <c r="G1" s="761"/>
      <c r="H1" s="14">
        <v>1</v>
      </c>
      <c r="J1" s="766" t="s">
        <v>338</v>
      </c>
      <c r="K1" s="766"/>
      <c r="L1" s="766"/>
      <c r="M1" s="766"/>
      <c r="N1" s="766"/>
      <c r="O1" s="766"/>
      <c r="P1" s="766"/>
      <c r="Q1" s="14">
        <f>H1+1</f>
        <v>2</v>
      </c>
    </row>
    <row r="2" spans="1:18" ht="15.75" thickBot="1" x14ac:dyDescent="0.3"/>
    <row r="3" spans="1:1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8" ht="15.75" thickTop="1" x14ac:dyDescent="0.25">
      <c r="B4" s="15"/>
      <c r="E4" s="6"/>
      <c r="F4" s="317"/>
      <c r="G4" s="652"/>
      <c r="H4" s="16"/>
      <c r="K4" s="623" t="s">
        <v>446</v>
      </c>
      <c r="N4" s="6"/>
      <c r="O4" s="317"/>
      <c r="P4" s="407"/>
      <c r="Q4" s="16"/>
    </row>
    <row r="5" spans="1:18" x14ac:dyDescent="0.25">
      <c r="A5" s="15" t="s">
        <v>99</v>
      </c>
      <c r="B5" s="124" t="s">
        <v>62</v>
      </c>
      <c r="C5" s="24">
        <v>138</v>
      </c>
      <c r="D5" s="400">
        <v>42240</v>
      </c>
      <c r="E5" s="319">
        <v>348.28</v>
      </c>
      <c r="F5" s="262">
        <v>30</v>
      </c>
      <c r="G5" s="581">
        <f>F33</f>
        <v>366.03000000000003</v>
      </c>
      <c r="H5" s="10">
        <f>E5-G5+E6+E4</f>
        <v>24.929999999999943</v>
      </c>
      <c r="J5" s="15" t="s">
        <v>83</v>
      </c>
      <c r="K5" s="623" t="s">
        <v>62</v>
      </c>
      <c r="L5" s="24">
        <v>107</v>
      </c>
      <c r="M5" s="400">
        <v>42282</v>
      </c>
      <c r="N5" s="319">
        <v>204.3</v>
      </c>
      <c r="O5" s="262">
        <v>15</v>
      </c>
      <c r="P5" s="204">
        <f>O33</f>
        <v>200.73999999999998</v>
      </c>
      <c r="Q5" s="10">
        <f>N5-P5+N6+N4</f>
        <v>3.5600000000000307</v>
      </c>
    </row>
    <row r="6" spans="1:18" ht="15.75" thickBot="1" x14ac:dyDescent="0.3">
      <c r="A6" s="16"/>
      <c r="B6" s="427" t="s">
        <v>210</v>
      </c>
      <c r="C6" s="16"/>
      <c r="D6" s="16"/>
      <c r="E6" s="16">
        <v>42.68</v>
      </c>
      <c r="F6" s="15">
        <v>3</v>
      </c>
      <c r="G6" s="16"/>
      <c r="J6" s="16"/>
      <c r="K6" s="124"/>
      <c r="L6" s="16"/>
      <c r="M6" s="16"/>
      <c r="N6" s="16"/>
      <c r="O6" s="15"/>
      <c r="P6" s="16"/>
    </row>
    <row r="7" spans="1:1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8" ht="15.75" thickTop="1" x14ac:dyDescent="0.25">
      <c r="A8" s="7"/>
      <c r="B8" s="2"/>
      <c r="C8" s="20">
        <v>1</v>
      </c>
      <c r="D8" s="637">
        <v>13.9</v>
      </c>
      <c r="E8" s="635">
        <v>42250</v>
      </c>
      <c r="F8" s="629">
        <f t="shared" ref="F8:F32" si="0">D8</f>
        <v>13.9</v>
      </c>
      <c r="G8" s="632" t="s">
        <v>368</v>
      </c>
      <c r="H8" s="261">
        <v>150</v>
      </c>
      <c r="J8" s="7"/>
      <c r="K8" s="2"/>
      <c r="L8" s="20">
        <v>2</v>
      </c>
      <c r="M8" s="420">
        <v>23.85</v>
      </c>
      <c r="N8" s="421">
        <v>42280</v>
      </c>
      <c r="O8" s="100">
        <f t="shared" ref="O8:O32" si="1">M8</f>
        <v>23.85</v>
      </c>
      <c r="P8" s="111" t="s">
        <v>638</v>
      </c>
      <c r="Q8" s="101">
        <v>150</v>
      </c>
      <c r="R8" s="435"/>
    </row>
    <row r="9" spans="1:18" x14ac:dyDescent="0.25">
      <c r="B9" s="2"/>
      <c r="C9" s="20">
        <v>2</v>
      </c>
      <c r="D9" s="637">
        <v>27.7</v>
      </c>
      <c r="E9" s="635">
        <v>42250</v>
      </c>
      <c r="F9" s="629">
        <f t="shared" si="0"/>
        <v>27.7</v>
      </c>
      <c r="G9" s="632" t="s">
        <v>369</v>
      </c>
      <c r="H9" s="261">
        <v>150</v>
      </c>
      <c r="K9" s="2"/>
      <c r="L9" s="20">
        <v>2</v>
      </c>
      <c r="M9" s="420">
        <v>27.2</v>
      </c>
      <c r="N9" s="421">
        <v>42286</v>
      </c>
      <c r="O9" s="100">
        <v>27.2</v>
      </c>
      <c r="P9" s="111" t="s">
        <v>665</v>
      </c>
      <c r="Q9" s="101">
        <v>140</v>
      </c>
      <c r="R9" s="435"/>
    </row>
    <row r="10" spans="1:18" x14ac:dyDescent="0.25">
      <c r="A10" s="92" t="s">
        <v>33</v>
      </c>
      <c r="B10" s="2"/>
      <c r="C10" s="20">
        <v>2</v>
      </c>
      <c r="D10" s="637">
        <v>21.95</v>
      </c>
      <c r="E10" s="635">
        <v>42252</v>
      </c>
      <c r="F10" s="629">
        <f t="shared" si="0"/>
        <v>21.95</v>
      </c>
      <c r="G10" s="632" t="s">
        <v>374</v>
      </c>
      <c r="H10" s="261">
        <v>150</v>
      </c>
      <c r="J10" s="92" t="s">
        <v>33</v>
      </c>
      <c r="K10" s="2"/>
      <c r="L10" s="20">
        <v>3</v>
      </c>
      <c r="M10" s="420">
        <v>40.83</v>
      </c>
      <c r="N10" s="421">
        <v>42289</v>
      </c>
      <c r="O10" s="100">
        <f t="shared" si="1"/>
        <v>40.83</v>
      </c>
      <c r="P10" s="111" t="s">
        <v>681</v>
      </c>
      <c r="Q10" s="101">
        <v>140</v>
      </c>
      <c r="R10" s="435"/>
    </row>
    <row r="11" spans="1:18" x14ac:dyDescent="0.25">
      <c r="A11" s="169"/>
      <c r="B11" s="2"/>
      <c r="C11" s="285">
        <v>10</v>
      </c>
      <c r="D11" s="637">
        <v>119.44</v>
      </c>
      <c r="E11" s="635">
        <v>42254</v>
      </c>
      <c r="F11" s="629">
        <f t="shared" si="0"/>
        <v>119.44</v>
      </c>
      <c r="G11" s="632" t="s">
        <v>376</v>
      </c>
      <c r="H11" s="261">
        <v>150</v>
      </c>
      <c r="J11" s="169"/>
      <c r="K11" s="2"/>
      <c r="L11" s="285">
        <v>1</v>
      </c>
      <c r="M11" s="420">
        <v>13.61</v>
      </c>
      <c r="N11" s="421">
        <v>42292</v>
      </c>
      <c r="O11" s="100">
        <f t="shared" si="1"/>
        <v>13.61</v>
      </c>
      <c r="P11" s="111" t="s">
        <v>699</v>
      </c>
      <c r="Q11" s="101">
        <v>140</v>
      </c>
      <c r="R11" s="435"/>
    </row>
    <row r="12" spans="1:18" x14ac:dyDescent="0.25">
      <c r="A12" s="16"/>
      <c r="B12" s="2"/>
      <c r="C12" s="20">
        <v>2</v>
      </c>
      <c r="D12" s="637">
        <v>22.4</v>
      </c>
      <c r="E12" s="635">
        <v>42254</v>
      </c>
      <c r="F12" s="629">
        <f t="shared" si="0"/>
        <v>22.4</v>
      </c>
      <c r="G12" s="632" t="s">
        <v>380</v>
      </c>
      <c r="H12" s="261">
        <v>150</v>
      </c>
      <c r="J12" s="16"/>
      <c r="K12" s="2"/>
      <c r="L12" s="20">
        <v>1</v>
      </c>
      <c r="M12" s="420">
        <v>13.61</v>
      </c>
      <c r="N12" s="421">
        <v>42297</v>
      </c>
      <c r="O12" s="100">
        <f t="shared" si="1"/>
        <v>13.61</v>
      </c>
      <c r="P12" s="111" t="s">
        <v>727</v>
      </c>
      <c r="Q12" s="101">
        <v>140</v>
      </c>
      <c r="R12" s="435"/>
    </row>
    <row r="13" spans="1:18" x14ac:dyDescent="0.25">
      <c r="A13" s="147" t="s">
        <v>34</v>
      </c>
      <c r="B13" s="2"/>
      <c r="C13" s="20">
        <v>2</v>
      </c>
      <c r="D13" s="637">
        <v>24.22</v>
      </c>
      <c r="E13" s="635">
        <v>42264</v>
      </c>
      <c r="F13" s="629">
        <f t="shared" si="0"/>
        <v>24.22</v>
      </c>
      <c r="G13" s="632" t="s">
        <v>403</v>
      </c>
      <c r="H13" s="261">
        <v>150</v>
      </c>
      <c r="J13" s="147" t="s">
        <v>34</v>
      </c>
      <c r="K13" s="2"/>
      <c r="L13" s="20">
        <v>2</v>
      </c>
      <c r="M13" s="420">
        <v>27.24</v>
      </c>
      <c r="N13" s="421">
        <v>42303</v>
      </c>
      <c r="O13" s="100">
        <f t="shared" si="1"/>
        <v>27.24</v>
      </c>
      <c r="P13" s="111" t="s">
        <v>764</v>
      </c>
      <c r="Q13" s="101">
        <v>145</v>
      </c>
      <c r="R13" s="435"/>
    </row>
    <row r="14" spans="1:18" x14ac:dyDescent="0.25">
      <c r="A14" s="59"/>
      <c r="B14" s="2"/>
      <c r="C14" s="20">
        <v>4</v>
      </c>
      <c r="D14" s="637">
        <v>47.13</v>
      </c>
      <c r="E14" s="635">
        <v>42272</v>
      </c>
      <c r="F14" s="629">
        <f t="shared" si="0"/>
        <v>47.13</v>
      </c>
      <c r="G14" s="632" t="s">
        <v>416</v>
      </c>
      <c r="H14" s="261">
        <v>150</v>
      </c>
      <c r="J14" s="59"/>
      <c r="K14" s="2"/>
      <c r="L14" s="20">
        <v>2</v>
      </c>
      <c r="M14" s="420">
        <v>27.2</v>
      </c>
      <c r="N14" s="421">
        <v>42306</v>
      </c>
      <c r="O14" s="100">
        <f t="shared" si="1"/>
        <v>27.2</v>
      </c>
      <c r="P14" s="111" t="s">
        <v>776</v>
      </c>
      <c r="Q14" s="101">
        <v>140</v>
      </c>
      <c r="R14" s="435"/>
    </row>
    <row r="15" spans="1:18" x14ac:dyDescent="0.25">
      <c r="A15" s="59"/>
      <c r="B15" s="2"/>
      <c r="C15" s="20">
        <v>8</v>
      </c>
      <c r="D15" s="637">
        <v>89.29</v>
      </c>
      <c r="E15" s="635">
        <v>42273</v>
      </c>
      <c r="F15" s="629">
        <f t="shared" si="0"/>
        <v>89.29</v>
      </c>
      <c r="G15" s="632" t="s">
        <v>417</v>
      </c>
      <c r="H15" s="261">
        <v>150</v>
      </c>
      <c r="J15" s="59"/>
      <c r="K15" s="2"/>
      <c r="L15" s="20">
        <v>2</v>
      </c>
      <c r="M15" s="420">
        <v>27.2</v>
      </c>
      <c r="N15" s="421">
        <v>42308</v>
      </c>
      <c r="O15" s="100">
        <v>27.2</v>
      </c>
      <c r="P15" s="111" t="s">
        <v>789</v>
      </c>
      <c r="Q15" s="101">
        <v>140</v>
      </c>
      <c r="R15" s="435"/>
    </row>
    <row r="16" spans="1:18" x14ac:dyDescent="0.25">
      <c r="A16" s="7"/>
      <c r="B16" s="2"/>
      <c r="C16" s="20"/>
      <c r="D16" s="637"/>
      <c r="E16" s="635"/>
      <c r="F16" s="629">
        <f t="shared" si="0"/>
        <v>0</v>
      </c>
      <c r="G16" s="632"/>
      <c r="H16" s="261"/>
      <c r="J16" s="7"/>
      <c r="K16" s="2"/>
      <c r="L16" s="20"/>
      <c r="M16" s="420"/>
      <c r="N16" s="421"/>
      <c r="O16" s="100">
        <f t="shared" si="1"/>
        <v>0</v>
      </c>
      <c r="P16" s="111"/>
      <c r="Q16" s="101"/>
      <c r="R16" s="435"/>
    </row>
    <row r="17" spans="1:18" x14ac:dyDescent="0.25">
      <c r="A17" s="7"/>
      <c r="B17" s="2"/>
      <c r="C17" s="20"/>
      <c r="D17" s="637"/>
      <c r="E17" s="635"/>
      <c r="F17" s="629">
        <f t="shared" si="0"/>
        <v>0</v>
      </c>
      <c r="G17" s="632"/>
      <c r="H17" s="261"/>
      <c r="J17" s="7"/>
      <c r="K17" s="2"/>
      <c r="L17" s="20"/>
      <c r="M17" s="420"/>
      <c r="N17" s="421"/>
      <c r="O17" s="100">
        <f t="shared" si="1"/>
        <v>0</v>
      </c>
      <c r="P17" s="111"/>
      <c r="Q17" s="101"/>
      <c r="R17" s="435"/>
    </row>
    <row r="18" spans="1:18" x14ac:dyDescent="0.25">
      <c r="A18" s="7"/>
      <c r="B18" s="2"/>
      <c r="C18" s="20"/>
      <c r="D18" s="637"/>
      <c r="E18" s="635"/>
      <c r="F18" s="629">
        <f t="shared" si="0"/>
        <v>0</v>
      </c>
      <c r="G18" s="632"/>
      <c r="H18" s="261"/>
      <c r="J18" s="7"/>
      <c r="K18" s="2"/>
      <c r="L18" s="20"/>
      <c r="M18" s="420"/>
      <c r="N18" s="421"/>
      <c r="O18" s="100">
        <f t="shared" si="1"/>
        <v>0</v>
      </c>
      <c r="P18" s="111"/>
      <c r="Q18" s="101"/>
      <c r="R18" s="435"/>
    </row>
    <row r="19" spans="1:18" x14ac:dyDescent="0.25">
      <c r="A19" s="7"/>
      <c r="B19" s="2"/>
      <c r="C19" s="20"/>
      <c r="D19" s="637"/>
      <c r="E19" s="635"/>
      <c r="F19" s="629">
        <f t="shared" si="0"/>
        <v>0</v>
      </c>
      <c r="G19" s="632"/>
      <c r="H19" s="261"/>
      <c r="J19" s="7"/>
      <c r="K19" s="2"/>
      <c r="L19" s="20"/>
      <c r="M19" s="420"/>
      <c r="N19" s="421"/>
      <c r="O19" s="100">
        <f t="shared" si="1"/>
        <v>0</v>
      </c>
      <c r="P19" s="111"/>
      <c r="Q19" s="101"/>
      <c r="R19" s="435"/>
    </row>
    <row r="20" spans="1:18" x14ac:dyDescent="0.25">
      <c r="A20" s="7"/>
      <c r="B20" s="2"/>
      <c r="C20" s="20"/>
      <c r="D20" s="637"/>
      <c r="E20" s="635"/>
      <c r="F20" s="629">
        <f t="shared" si="0"/>
        <v>0</v>
      </c>
      <c r="G20" s="632"/>
      <c r="H20" s="261"/>
      <c r="J20" s="7"/>
      <c r="K20" s="2"/>
      <c r="L20" s="20"/>
      <c r="M20" s="420"/>
      <c r="N20" s="421"/>
      <c r="O20" s="100">
        <f t="shared" si="1"/>
        <v>0</v>
      </c>
      <c r="P20" s="111"/>
      <c r="Q20" s="101"/>
      <c r="R20" s="435"/>
    </row>
    <row r="21" spans="1:18" x14ac:dyDescent="0.25">
      <c r="A21" s="7"/>
      <c r="B21" s="2"/>
      <c r="C21" s="20"/>
      <c r="D21" s="637"/>
      <c r="E21" s="635"/>
      <c r="F21" s="629">
        <f t="shared" si="0"/>
        <v>0</v>
      </c>
      <c r="G21" s="632"/>
      <c r="H21" s="261"/>
      <c r="J21" s="7"/>
      <c r="K21" s="2"/>
      <c r="L21" s="20"/>
      <c r="M21" s="420"/>
      <c r="N21" s="421"/>
      <c r="O21" s="100">
        <f t="shared" si="1"/>
        <v>0</v>
      </c>
      <c r="P21" s="111"/>
      <c r="Q21" s="101"/>
      <c r="R21" s="435"/>
    </row>
    <row r="22" spans="1:18" x14ac:dyDescent="0.25">
      <c r="A22" s="7"/>
      <c r="B22" s="2"/>
      <c r="C22" s="20"/>
      <c r="D22" s="637"/>
      <c r="E22" s="635"/>
      <c r="F22" s="629">
        <f t="shared" si="0"/>
        <v>0</v>
      </c>
      <c r="G22" s="632"/>
      <c r="H22" s="261"/>
      <c r="J22" s="7"/>
      <c r="K22" s="2"/>
      <c r="L22" s="20"/>
      <c r="M22" s="420"/>
      <c r="N22" s="421"/>
      <c r="O22" s="100">
        <f t="shared" si="1"/>
        <v>0</v>
      </c>
      <c r="P22" s="111"/>
      <c r="Q22" s="101"/>
      <c r="R22" s="435"/>
    </row>
    <row r="23" spans="1:18" x14ac:dyDescent="0.25">
      <c r="A23" s="7"/>
      <c r="B23" s="2"/>
      <c r="C23" s="20"/>
      <c r="D23" s="637"/>
      <c r="E23" s="635"/>
      <c r="F23" s="629">
        <f t="shared" si="0"/>
        <v>0</v>
      </c>
      <c r="G23" s="632"/>
      <c r="H23" s="261"/>
      <c r="J23" s="7"/>
      <c r="K23" s="2"/>
      <c r="L23" s="20"/>
      <c r="M23" s="420"/>
      <c r="N23" s="421"/>
      <c r="O23" s="100">
        <f t="shared" si="1"/>
        <v>0</v>
      </c>
      <c r="P23" s="111"/>
      <c r="Q23" s="101"/>
      <c r="R23" s="435"/>
    </row>
    <row r="24" spans="1:18" x14ac:dyDescent="0.25">
      <c r="A24" s="7"/>
      <c r="B24" s="2"/>
      <c r="C24" s="20"/>
      <c r="D24" s="629"/>
      <c r="E24" s="635"/>
      <c r="F24" s="629">
        <f t="shared" si="0"/>
        <v>0</v>
      </c>
      <c r="G24" s="632"/>
      <c r="H24" s="261"/>
      <c r="J24" s="7"/>
      <c r="K24" s="2"/>
      <c r="L24" s="20"/>
      <c r="M24" s="100"/>
      <c r="N24" s="421"/>
      <c r="O24" s="100">
        <f t="shared" si="1"/>
        <v>0</v>
      </c>
      <c r="P24" s="111"/>
      <c r="Q24" s="101"/>
      <c r="R24" s="435"/>
    </row>
    <row r="25" spans="1:18" x14ac:dyDescent="0.25">
      <c r="A25" s="7"/>
      <c r="B25" s="2"/>
      <c r="C25" s="20"/>
      <c r="D25" s="629"/>
      <c r="E25" s="635"/>
      <c r="F25" s="629">
        <f t="shared" si="0"/>
        <v>0</v>
      </c>
      <c r="G25" s="632"/>
      <c r="H25" s="261"/>
      <c r="J25" s="7"/>
      <c r="K25" s="2"/>
      <c r="L25" s="20"/>
      <c r="M25" s="100"/>
      <c r="N25" s="421"/>
      <c r="O25" s="100">
        <f t="shared" si="1"/>
        <v>0</v>
      </c>
      <c r="P25" s="111"/>
      <c r="Q25" s="101"/>
      <c r="R25" s="435"/>
    </row>
    <row r="26" spans="1:18" x14ac:dyDescent="0.25">
      <c r="A26" s="7"/>
      <c r="B26" s="2"/>
      <c r="C26" s="20"/>
      <c r="D26" s="629"/>
      <c r="E26" s="635"/>
      <c r="F26" s="629">
        <f t="shared" si="0"/>
        <v>0</v>
      </c>
      <c r="G26" s="632"/>
      <c r="H26" s="261"/>
      <c r="J26" s="7"/>
      <c r="K26" s="2"/>
      <c r="L26" s="20"/>
      <c r="M26" s="100"/>
      <c r="N26" s="421"/>
      <c r="O26" s="100">
        <f t="shared" si="1"/>
        <v>0</v>
      </c>
      <c r="P26" s="111"/>
      <c r="Q26" s="101"/>
      <c r="R26" s="435"/>
    </row>
    <row r="27" spans="1:18" x14ac:dyDescent="0.25">
      <c r="A27" s="7"/>
      <c r="B27" s="2"/>
      <c r="C27" s="20"/>
      <c r="D27" s="629"/>
      <c r="E27" s="635"/>
      <c r="F27" s="629">
        <f t="shared" si="0"/>
        <v>0</v>
      </c>
      <c r="G27" s="632"/>
      <c r="H27" s="261"/>
      <c r="J27" s="7"/>
      <c r="K27" s="2"/>
      <c r="L27" s="20"/>
      <c r="M27" s="100"/>
      <c r="N27" s="421"/>
      <c r="O27" s="100">
        <f t="shared" si="1"/>
        <v>0</v>
      </c>
      <c r="P27" s="111"/>
      <c r="Q27" s="101"/>
      <c r="R27" s="435"/>
    </row>
    <row r="28" spans="1:18" x14ac:dyDescent="0.25">
      <c r="A28" s="7"/>
      <c r="B28" s="2"/>
      <c r="C28" s="20"/>
      <c r="D28" s="629"/>
      <c r="E28" s="635"/>
      <c r="F28" s="629">
        <f t="shared" si="0"/>
        <v>0</v>
      </c>
      <c r="G28" s="632"/>
      <c r="H28" s="261"/>
      <c r="J28" s="7"/>
      <c r="K28" s="2"/>
      <c r="L28" s="20"/>
      <c r="M28" s="114"/>
      <c r="N28" s="180"/>
      <c r="O28" s="114">
        <f t="shared" si="1"/>
        <v>0</v>
      </c>
      <c r="P28" s="115"/>
      <c r="Q28" s="116"/>
      <c r="R28" s="435"/>
    </row>
    <row r="29" spans="1:18" x14ac:dyDescent="0.25">
      <c r="A29" s="7"/>
      <c r="B29" s="2"/>
      <c r="C29" s="20"/>
      <c r="D29" s="629"/>
      <c r="E29" s="635"/>
      <c r="F29" s="629">
        <f t="shared" si="0"/>
        <v>0</v>
      </c>
      <c r="G29" s="632"/>
      <c r="H29" s="261"/>
      <c r="J29" s="7"/>
      <c r="K29" s="2"/>
      <c r="L29" s="20"/>
      <c r="M29" s="114"/>
      <c r="N29" s="180"/>
      <c r="O29" s="114">
        <f t="shared" si="1"/>
        <v>0</v>
      </c>
      <c r="P29" s="115"/>
      <c r="Q29" s="116"/>
      <c r="R29" s="435"/>
    </row>
    <row r="30" spans="1:18" x14ac:dyDescent="0.25">
      <c r="A30" s="7"/>
      <c r="B30" s="2"/>
      <c r="C30" s="20"/>
      <c r="D30" s="629"/>
      <c r="E30" s="635"/>
      <c r="F30" s="629">
        <f t="shared" si="0"/>
        <v>0</v>
      </c>
      <c r="G30" s="632"/>
      <c r="H30" s="261"/>
      <c r="J30" s="7"/>
      <c r="K30" s="2"/>
      <c r="L30" s="20"/>
      <c r="M30" s="114"/>
      <c r="N30" s="180"/>
      <c r="O30" s="114">
        <f t="shared" si="1"/>
        <v>0</v>
      </c>
      <c r="P30" s="115"/>
      <c r="Q30" s="116"/>
      <c r="R30" s="435"/>
    </row>
    <row r="31" spans="1:18" x14ac:dyDescent="0.25">
      <c r="A31" s="7"/>
      <c r="B31" s="2"/>
      <c r="C31" s="20"/>
      <c r="D31" s="629"/>
      <c r="E31" s="635"/>
      <c r="F31" s="629">
        <f t="shared" si="0"/>
        <v>0</v>
      </c>
      <c r="G31" s="632"/>
      <c r="H31" s="261"/>
      <c r="J31" s="7"/>
      <c r="K31" s="2"/>
      <c r="L31" s="20"/>
      <c r="M31" s="114"/>
      <c r="N31" s="180"/>
      <c r="O31" s="114">
        <f t="shared" si="1"/>
        <v>0</v>
      </c>
      <c r="P31" s="115"/>
      <c r="Q31" s="116"/>
      <c r="R31" s="435"/>
    </row>
    <row r="32" spans="1:18" ht="15.75" thickBot="1" x14ac:dyDescent="0.3">
      <c r="A32" s="7"/>
      <c r="B32" s="4"/>
      <c r="C32" s="48"/>
      <c r="D32" s="639">
        <v>0</v>
      </c>
      <c r="E32" s="644"/>
      <c r="F32" s="639">
        <f t="shared" si="0"/>
        <v>0</v>
      </c>
      <c r="G32" s="633"/>
      <c r="H32" s="634"/>
      <c r="J32" s="7"/>
      <c r="K32" s="4"/>
      <c r="L32" s="48"/>
      <c r="M32" s="355">
        <v>0</v>
      </c>
      <c r="N32" s="507"/>
      <c r="O32" s="355">
        <f t="shared" si="1"/>
        <v>0</v>
      </c>
      <c r="P32" s="306"/>
      <c r="Q32" s="307"/>
      <c r="R32" s="435"/>
    </row>
    <row r="33" spans="1:17" ht="15.75" thickTop="1" x14ac:dyDescent="0.25">
      <c r="A33" s="7"/>
      <c r="B33" s="7"/>
      <c r="C33" s="20">
        <f>SUM(C8:C31)</f>
        <v>31</v>
      </c>
      <c r="D33" s="8">
        <f>SUM(D8:D32)</f>
        <v>366.03000000000003</v>
      </c>
      <c r="E33" s="40"/>
      <c r="F33" s="8">
        <f>SUM(F8:F32)</f>
        <v>366.03000000000003</v>
      </c>
      <c r="G33" s="39"/>
      <c r="H33" s="23"/>
      <c r="J33" s="7"/>
      <c r="K33" s="7"/>
      <c r="L33" s="20">
        <f>SUM(L8:L31)</f>
        <v>15</v>
      </c>
      <c r="M33" s="8">
        <f>SUM(M8:M32)</f>
        <v>200.73999999999998</v>
      </c>
      <c r="N33" s="40"/>
      <c r="O33" s="8">
        <f>SUM(O8:O32)</f>
        <v>200.73999999999998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-1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0</v>
      </c>
      <c r="N35" s="53"/>
      <c r="O35" s="8"/>
      <c r="P35" s="39"/>
      <c r="Q35" s="23"/>
    </row>
    <row r="36" spans="1:17" x14ac:dyDescent="0.25">
      <c r="A36" s="7"/>
      <c r="B36" s="7"/>
      <c r="C36" s="769" t="s">
        <v>19</v>
      </c>
      <c r="D36" s="770"/>
      <c r="E36" s="51">
        <f>E4+E5-F33</f>
        <v>-17.750000000000057</v>
      </c>
      <c r="F36" s="8"/>
      <c r="G36" s="39"/>
      <c r="H36" s="23"/>
      <c r="J36" s="7"/>
      <c r="K36" s="7"/>
      <c r="L36" s="769" t="s">
        <v>19</v>
      </c>
      <c r="M36" s="770"/>
      <c r="N36" s="51">
        <f>N4+N5-O33</f>
        <v>3.5600000000000307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4">
    <mergeCell ref="A1:G1"/>
    <mergeCell ref="C36:D36"/>
    <mergeCell ref="J1:P1"/>
    <mergeCell ref="L36:M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8"/>
  <sheetViews>
    <sheetView topLeftCell="A5" workbookViewId="0">
      <selection activeCell="C13" sqref="C1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61" t="s">
        <v>425</v>
      </c>
      <c r="B1" s="761"/>
      <c r="C1" s="761"/>
      <c r="D1" s="761"/>
      <c r="E1" s="761"/>
      <c r="F1" s="761"/>
      <c r="G1" s="761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9.5" thickTop="1" x14ac:dyDescent="0.3">
      <c r="B4" s="15"/>
      <c r="C4" s="585" t="s">
        <v>262</v>
      </c>
      <c r="E4" s="586">
        <v>136.04</v>
      </c>
      <c r="F4" s="317">
        <v>3</v>
      </c>
      <c r="G4" s="407"/>
      <c r="H4" s="16"/>
    </row>
    <row r="5" spans="1:8" x14ac:dyDescent="0.25">
      <c r="A5" s="15" t="s">
        <v>43</v>
      </c>
      <c r="B5" s="591" t="s">
        <v>264</v>
      </c>
      <c r="C5" s="24"/>
      <c r="D5" s="400">
        <v>42214</v>
      </c>
      <c r="E5" s="100">
        <v>840.78</v>
      </c>
      <c r="F5" s="262">
        <v>56</v>
      </c>
      <c r="G5" s="204">
        <f>F33</f>
        <v>180</v>
      </c>
      <c r="H5" s="10">
        <f>E5-G5+E6+E4</f>
        <v>886.9</v>
      </c>
    </row>
    <row r="6" spans="1:8" ht="15.75" thickBot="1" x14ac:dyDescent="0.3">
      <c r="A6" s="16"/>
      <c r="B6" s="591" t="s">
        <v>266</v>
      </c>
      <c r="C6" s="16"/>
      <c r="D6" s="16"/>
      <c r="E6" s="103">
        <v>90.08</v>
      </c>
      <c r="F6" s="124">
        <v>6</v>
      </c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420">
        <v>75</v>
      </c>
      <c r="E8" s="421">
        <v>42229</v>
      </c>
      <c r="F8" s="100">
        <f t="shared" ref="F8:F32" si="0">D8</f>
        <v>75</v>
      </c>
      <c r="G8" s="111" t="s">
        <v>301</v>
      </c>
      <c r="H8" s="101">
        <v>55</v>
      </c>
    </row>
    <row r="9" spans="1:8" x14ac:dyDescent="0.25">
      <c r="B9" s="2"/>
      <c r="C9" s="20">
        <v>2</v>
      </c>
      <c r="D9" s="420">
        <v>30</v>
      </c>
      <c r="E9" s="421">
        <v>42247</v>
      </c>
      <c r="F9" s="100">
        <f t="shared" si="0"/>
        <v>30</v>
      </c>
      <c r="G9" s="111" t="s">
        <v>337</v>
      </c>
      <c r="H9" s="101">
        <v>55</v>
      </c>
    </row>
    <row r="10" spans="1:8" x14ac:dyDescent="0.25">
      <c r="A10" s="92" t="s">
        <v>33</v>
      </c>
      <c r="B10" s="2"/>
      <c r="C10" s="20">
        <v>1</v>
      </c>
      <c r="D10" s="713">
        <v>15</v>
      </c>
      <c r="E10" s="556">
        <v>42282</v>
      </c>
      <c r="F10" s="550">
        <f t="shared" si="0"/>
        <v>15</v>
      </c>
      <c r="G10" s="552" t="s">
        <v>645</v>
      </c>
      <c r="H10" s="553">
        <v>54</v>
      </c>
    </row>
    <row r="11" spans="1:8" x14ac:dyDescent="0.25">
      <c r="A11" s="169"/>
      <c r="B11" s="2"/>
      <c r="C11" s="285">
        <v>2</v>
      </c>
      <c r="D11" s="713">
        <v>30</v>
      </c>
      <c r="E11" s="556">
        <v>42293</v>
      </c>
      <c r="F11" s="550">
        <f t="shared" si="0"/>
        <v>30</v>
      </c>
      <c r="G11" s="552" t="s">
        <v>707</v>
      </c>
      <c r="H11" s="553">
        <v>54</v>
      </c>
    </row>
    <row r="12" spans="1:8" x14ac:dyDescent="0.25">
      <c r="A12" s="16"/>
      <c r="B12" s="2"/>
      <c r="C12" s="20">
        <v>2</v>
      </c>
      <c r="D12" s="713">
        <v>30</v>
      </c>
      <c r="E12" s="556">
        <v>42299</v>
      </c>
      <c r="F12" s="550">
        <f t="shared" si="0"/>
        <v>30</v>
      </c>
      <c r="G12" s="552" t="s">
        <v>736</v>
      </c>
      <c r="H12" s="553">
        <v>54</v>
      </c>
    </row>
    <row r="13" spans="1:8" x14ac:dyDescent="0.25">
      <c r="A13" s="147" t="s">
        <v>34</v>
      </c>
      <c r="B13" s="2"/>
      <c r="C13" s="20"/>
      <c r="D13" s="713"/>
      <c r="E13" s="556"/>
      <c r="F13" s="550">
        <f t="shared" si="0"/>
        <v>0</v>
      </c>
      <c r="G13" s="552"/>
      <c r="H13" s="553"/>
    </row>
    <row r="14" spans="1:8" x14ac:dyDescent="0.25">
      <c r="A14" s="59"/>
      <c r="B14" s="2"/>
      <c r="C14" s="20"/>
      <c r="D14" s="713"/>
      <c r="E14" s="556"/>
      <c r="F14" s="550">
        <f t="shared" si="0"/>
        <v>0</v>
      </c>
      <c r="G14" s="552"/>
      <c r="H14" s="553"/>
    </row>
    <row r="15" spans="1:8" x14ac:dyDescent="0.25">
      <c r="A15" s="59"/>
      <c r="B15" s="2"/>
      <c r="C15" s="20"/>
      <c r="D15" s="713"/>
      <c r="E15" s="556"/>
      <c r="F15" s="550">
        <f t="shared" si="0"/>
        <v>0</v>
      </c>
      <c r="G15" s="552"/>
      <c r="H15" s="553"/>
    </row>
    <row r="16" spans="1:8" x14ac:dyDescent="0.25">
      <c r="A16" s="7"/>
      <c r="B16" s="2"/>
      <c r="C16" s="20"/>
      <c r="D16" s="713"/>
      <c r="E16" s="556"/>
      <c r="F16" s="550">
        <f t="shared" si="0"/>
        <v>0</v>
      </c>
      <c r="G16" s="552"/>
      <c r="H16" s="553"/>
    </row>
    <row r="17" spans="1:8" x14ac:dyDescent="0.25">
      <c r="A17" s="7"/>
      <c r="B17" s="2"/>
      <c r="C17" s="20"/>
      <c r="D17" s="713"/>
      <c r="E17" s="556"/>
      <c r="F17" s="550">
        <f t="shared" si="0"/>
        <v>0</v>
      </c>
      <c r="G17" s="552"/>
      <c r="H17" s="553"/>
    </row>
    <row r="18" spans="1:8" x14ac:dyDescent="0.25">
      <c r="A18" s="7"/>
      <c r="B18" s="2"/>
      <c r="C18" s="20"/>
      <c r="D18" s="713"/>
      <c r="E18" s="556"/>
      <c r="F18" s="550">
        <f t="shared" si="0"/>
        <v>0</v>
      </c>
      <c r="G18" s="552"/>
      <c r="H18" s="553"/>
    </row>
    <row r="19" spans="1:8" x14ac:dyDescent="0.25">
      <c r="A19" s="7"/>
      <c r="B19" s="2"/>
      <c r="C19" s="20"/>
      <c r="D19" s="713"/>
      <c r="E19" s="556"/>
      <c r="F19" s="550">
        <f t="shared" si="0"/>
        <v>0</v>
      </c>
      <c r="G19" s="552"/>
      <c r="H19" s="553"/>
    </row>
    <row r="20" spans="1:8" x14ac:dyDescent="0.25">
      <c r="A20" s="7"/>
      <c r="B20" s="2"/>
      <c r="C20" s="20"/>
      <c r="D20" s="713"/>
      <c r="E20" s="556"/>
      <c r="F20" s="550">
        <f t="shared" si="0"/>
        <v>0</v>
      </c>
      <c r="G20" s="552"/>
      <c r="H20" s="553"/>
    </row>
    <row r="21" spans="1:8" x14ac:dyDescent="0.25">
      <c r="A21" s="7"/>
      <c r="B21" s="2"/>
      <c r="C21" s="20"/>
      <c r="D21" s="713"/>
      <c r="E21" s="556"/>
      <c r="F21" s="550">
        <f t="shared" si="0"/>
        <v>0</v>
      </c>
      <c r="G21" s="552"/>
      <c r="H21" s="553"/>
    </row>
    <row r="22" spans="1:8" x14ac:dyDescent="0.25">
      <c r="A22" s="7"/>
      <c r="B22" s="2"/>
      <c r="C22" s="20"/>
      <c r="D22" s="713"/>
      <c r="E22" s="556"/>
      <c r="F22" s="550">
        <f t="shared" si="0"/>
        <v>0</v>
      </c>
      <c r="G22" s="552"/>
      <c r="H22" s="553"/>
    </row>
    <row r="23" spans="1:8" x14ac:dyDescent="0.25">
      <c r="A23" s="7"/>
      <c r="B23" s="2"/>
      <c r="C23" s="20"/>
      <c r="D23" s="713"/>
      <c r="E23" s="556"/>
      <c r="F23" s="550">
        <f t="shared" si="0"/>
        <v>0</v>
      </c>
      <c r="G23" s="552"/>
      <c r="H23" s="553"/>
    </row>
    <row r="24" spans="1:8" x14ac:dyDescent="0.25">
      <c r="A24" s="7"/>
      <c r="B24" s="2"/>
      <c r="C24" s="20"/>
      <c r="D24" s="550"/>
      <c r="E24" s="556"/>
      <c r="F24" s="550">
        <f t="shared" si="0"/>
        <v>0</v>
      </c>
      <c r="G24" s="552"/>
      <c r="H24" s="553"/>
    </row>
    <row r="25" spans="1:8" x14ac:dyDescent="0.25">
      <c r="A25" s="7"/>
      <c r="B25" s="2"/>
      <c r="C25" s="20"/>
      <c r="D25" s="550"/>
      <c r="E25" s="556"/>
      <c r="F25" s="550">
        <f t="shared" si="0"/>
        <v>0</v>
      </c>
      <c r="G25" s="552"/>
      <c r="H25" s="553"/>
    </row>
    <row r="26" spans="1:8" x14ac:dyDescent="0.25">
      <c r="A26" s="7"/>
      <c r="B26" s="2"/>
      <c r="C26" s="20"/>
      <c r="D26" s="550"/>
      <c r="E26" s="556"/>
      <c r="F26" s="550">
        <f t="shared" si="0"/>
        <v>0</v>
      </c>
      <c r="G26" s="552"/>
      <c r="H26" s="553"/>
    </row>
    <row r="27" spans="1:8" x14ac:dyDescent="0.25">
      <c r="A27" s="7"/>
      <c r="B27" s="2"/>
      <c r="C27" s="20"/>
      <c r="D27" s="550"/>
      <c r="E27" s="556"/>
      <c r="F27" s="550">
        <f t="shared" si="0"/>
        <v>0</v>
      </c>
      <c r="G27" s="552"/>
      <c r="H27" s="553"/>
    </row>
    <row r="28" spans="1:8" x14ac:dyDescent="0.25">
      <c r="A28" s="7"/>
      <c r="B28" s="2"/>
      <c r="C28" s="20"/>
      <c r="D28" s="550"/>
      <c r="E28" s="556"/>
      <c r="F28" s="550">
        <f t="shared" si="0"/>
        <v>0</v>
      </c>
      <c r="G28" s="552"/>
      <c r="H28" s="553"/>
    </row>
    <row r="29" spans="1:8" x14ac:dyDescent="0.25">
      <c r="A29" s="7"/>
      <c r="B29" s="2"/>
      <c r="C29" s="20"/>
      <c r="D29" s="114"/>
      <c r="E29" s="180"/>
      <c r="F29" s="114">
        <f t="shared" si="0"/>
        <v>0</v>
      </c>
      <c r="G29" s="115"/>
      <c r="H29" s="116"/>
    </row>
    <row r="30" spans="1:8" x14ac:dyDescent="0.25">
      <c r="A30" s="7"/>
      <c r="B30" s="2"/>
      <c r="C30" s="20"/>
      <c r="D30" s="114"/>
      <c r="E30" s="180"/>
      <c r="F30" s="114">
        <f t="shared" si="0"/>
        <v>0</v>
      </c>
      <c r="G30" s="115"/>
      <c r="H30" s="116"/>
    </row>
    <row r="31" spans="1:8" x14ac:dyDescent="0.25">
      <c r="A31" s="7"/>
      <c r="B31" s="2"/>
      <c r="C31" s="20"/>
      <c r="D31" s="114"/>
      <c r="E31" s="180"/>
      <c r="F31" s="114">
        <f t="shared" si="0"/>
        <v>0</v>
      </c>
      <c r="G31" s="115"/>
      <c r="H31" s="116"/>
    </row>
    <row r="32" spans="1:8" ht="15.75" thickBot="1" x14ac:dyDescent="0.3">
      <c r="A32" s="7"/>
      <c r="B32" s="4"/>
      <c r="C32" s="48"/>
      <c r="D32" s="355">
        <v>0</v>
      </c>
      <c r="E32" s="507"/>
      <c r="F32" s="355">
        <f t="shared" si="0"/>
        <v>0</v>
      </c>
      <c r="G32" s="306"/>
      <c r="H32" s="307"/>
    </row>
    <row r="33" spans="1:8" ht="15.75" thickTop="1" x14ac:dyDescent="0.25">
      <c r="A33" s="7"/>
      <c r="B33" s="7"/>
      <c r="C33" s="20">
        <f>SUM(C8:C31)</f>
        <v>12</v>
      </c>
      <c r="D33" s="8">
        <f>SUM(D8:D32)</f>
        <v>180</v>
      </c>
      <c r="E33" s="40"/>
      <c r="F33" s="8">
        <f>SUM(F8:F32)</f>
        <v>180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47</v>
      </c>
      <c r="E35" s="53"/>
      <c r="F35" s="8"/>
      <c r="G35" s="39"/>
      <c r="H35" s="23"/>
    </row>
    <row r="36" spans="1:8" x14ac:dyDescent="0.25">
      <c r="A36" s="7"/>
      <c r="B36" s="7"/>
      <c r="C36" s="769" t="s">
        <v>19</v>
      </c>
      <c r="D36" s="770"/>
      <c r="E36" s="51">
        <f>E4+E5-F33</f>
        <v>796.81999999999994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61" t="s">
        <v>431</v>
      </c>
      <c r="B1" s="761"/>
      <c r="C1" s="761"/>
      <c r="D1" s="761"/>
      <c r="E1" s="761"/>
      <c r="F1" s="761"/>
      <c r="G1" s="761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1" t="s">
        <v>60</v>
      </c>
      <c r="D4" s="131">
        <v>36.33</v>
      </c>
      <c r="E4" s="6">
        <v>-13.86</v>
      </c>
      <c r="F4" s="317"/>
      <c r="G4" s="407"/>
      <c r="H4" s="16"/>
    </row>
    <row r="5" spans="1:9" x14ac:dyDescent="0.25">
      <c r="A5" s="771" t="s">
        <v>58</v>
      </c>
      <c r="B5" s="124" t="s">
        <v>59</v>
      </c>
      <c r="C5" s="24" t="s">
        <v>61</v>
      </c>
      <c r="D5" s="400">
        <v>41975</v>
      </c>
      <c r="E5" s="319">
        <v>8935.02</v>
      </c>
      <c r="F5" s="262">
        <v>375</v>
      </c>
      <c r="G5" s="204">
        <f>F33</f>
        <v>8074.51</v>
      </c>
      <c r="H5" s="10">
        <f>E5-G5+E6+E4</f>
        <v>846.6500000000002</v>
      </c>
    </row>
    <row r="6" spans="1:9" ht="15.75" thickBot="1" x14ac:dyDescent="0.3">
      <c r="A6" s="771"/>
      <c r="B6" s="124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10</v>
      </c>
      <c r="D8" s="383">
        <v>234.35</v>
      </c>
      <c r="E8" s="389">
        <v>41981</v>
      </c>
      <c r="F8" s="386">
        <f t="shared" ref="F8:F31" si="0">D8</f>
        <v>234.35</v>
      </c>
      <c r="G8" s="384" t="s">
        <v>64</v>
      </c>
      <c r="H8" s="328">
        <v>46</v>
      </c>
      <c r="I8" s="408"/>
    </row>
    <row r="9" spans="1:9" x14ac:dyDescent="0.25">
      <c r="B9" s="2"/>
      <c r="C9" s="20">
        <v>10</v>
      </c>
      <c r="D9" s="383">
        <v>236.94</v>
      </c>
      <c r="E9" s="389">
        <v>41981</v>
      </c>
      <c r="F9" s="386">
        <f t="shared" si="0"/>
        <v>236.94</v>
      </c>
      <c r="G9" s="384" t="s">
        <v>65</v>
      </c>
      <c r="H9" s="328">
        <v>46</v>
      </c>
      <c r="I9" s="408"/>
    </row>
    <row r="10" spans="1:9" x14ac:dyDescent="0.25">
      <c r="A10" s="92" t="s">
        <v>33</v>
      </c>
      <c r="B10" s="2"/>
      <c r="C10" s="20"/>
      <c r="D10" s="383"/>
      <c r="E10" s="389"/>
      <c r="F10" s="386">
        <f t="shared" si="0"/>
        <v>0</v>
      </c>
      <c r="G10" s="384"/>
      <c r="H10" s="328"/>
      <c r="I10" s="408"/>
    </row>
    <row r="11" spans="1:9" x14ac:dyDescent="0.25">
      <c r="A11" s="169"/>
      <c r="B11" s="2"/>
      <c r="C11" s="285">
        <v>4</v>
      </c>
      <c r="D11" s="383">
        <v>95.27</v>
      </c>
      <c r="E11" s="389">
        <v>41982</v>
      </c>
      <c r="F11" s="386">
        <f t="shared" si="0"/>
        <v>95.27</v>
      </c>
      <c r="G11" s="384" t="s">
        <v>66</v>
      </c>
      <c r="H11" s="328">
        <v>46</v>
      </c>
      <c r="I11" s="408"/>
    </row>
    <row r="12" spans="1:9" x14ac:dyDescent="0.25">
      <c r="A12" s="16"/>
      <c r="B12" s="2"/>
      <c r="C12" s="20">
        <v>8</v>
      </c>
      <c r="D12" s="383">
        <v>192.04</v>
      </c>
      <c r="E12" s="389">
        <v>41989</v>
      </c>
      <c r="F12" s="386">
        <f t="shared" si="0"/>
        <v>192.04</v>
      </c>
      <c r="G12" s="384" t="s">
        <v>67</v>
      </c>
      <c r="H12" s="328">
        <v>46</v>
      </c>
    </row>
    <row r="13" spans="1:9" x14ac:dyDescent="0.25">
      <c r="A13" s="147" t="s">
        <v>34</v>
      </c>
      <c r="B13" s="2"/>
      <c r="C13" s="20">
        <v>2</v>
      </c>
      <c r="D13" s="383">
        <v>46.23</v>
      </c>
      <c r="E13" s="389">
        <v>41989</v>
      </c>
      <c r="F13" s="386">
        <f t="shared" si="0"/>
        <v>46.23</v>
      </c>
      <c r="G13" s="384" t="s">
        <v>68</v>
      </c>
      <c r="H13" s="328">
        <v>46</v>
      </c>
    </row>
    <row r="14" spans="1:9" x14ac:dyDescent="0.25">
      <c r="A14" s="59"/>
      <c r="B14" s="2"/>
      <c r="C14" s="20">
        <v>50</v>
      </c>
      <c r="D14" s="383">
        <v>1218.3</v>
      </c>
      <c r="E14" s="389">
        <v>41989</v>
      </c>
      <c r="F14" s="386">
        <f t="shared" si="0"/>
        <v>1218.3</v>
      </c>
      <c r="G14" s="384" t="s">
        <v>69</v>
      </c>
      <c r="H14" s="328">
        <v>37.5</v>
      </c>
    </row>
    <row r="15" spans="1:9" x14ac:dyDescent="0.25">
      <c r="A15" s="59"/>
      <c r="B15" s="2"/>
      <c r="C15" s="20">
        <v>20</v>
      </c>
      <c r="D15" s="383">
        <v>476.16</v>
      </c>
      <c r="E15" s="389">
        <v>41990</v>
      </c>
      <c r="F15" s="386">
        <f t="shared" si="0"/>
        <v>476.16</v>
      </c>
      <c r="G15" s="384" t="s">
        <v>70</v>
      </c>
      <c r="H15" s="328">
        <v>46</v>
      </c>
    </row>
    <row r="16" spans="1:9" x14ac:dyDescent="0.25">
      <c r="A16" s="7"/>
      <c r="B16" s="2"/>
      <c r="C16" s="20">
        <v>1</v>
      </c>
      <c r="D16" s="383">
        <v>23.84</v>
      </c>
      <c r="E16" s="389">
        <v>41991</v>
      </c>
      <c r="F16" s="386">
        <f t="shared" si="0"/>
        <v>23.84</v>
      </c>
      <c r="G16" s="384" t="s">
        <v>71</v>
      </c>
      <c r="H16" s="328">
        <v>46</v>
      </c>
    </row>
    <row r="17" spans="1:8" x14ac:dyDescent="0.25">
      <c r="A17" s="7"/>
      <c r="B17" s="2"/>
      <c r="C17" s="20">
        <v>40</v>
      </c>
      <c r="D17" s="383">
        <v>972.24</v>
      </c>
      <c r="E17" s="389">
        <v>41991</v>
      </c>
      <c r="F17" s="386">
        <f t="shared" si="0"/>
        <v>972.24</v>
      </c>
      <c r="G17" s="384" t="s">
        <v>72</v>
      </c>
      <c r="H17" s="328">
        <v>46</v>
      </c>
    </row>
    <row r="18" spans="1:8" x14ac:dyDescent="0.25">
      <c r="A18" s="7"/>
      <c r="B18" s="2"/>
      <c r="C18" s="20">
        <v>5</v>
      </c>
      <c r="D18" s="383">
        <v>116.81</v>
      </c>
      <c r="E18" s="389">
        <v>41992</v>
      </c>
      <c r="F18" s="386">
        <f t="shared" si="0"/>
        <v>116.81</v>
      </c>
      <c r="G18" s="384" t="s">
        <v>73</v>
      </c>
      <c r="H18" s="328">
        <v>46</v>
      </c>
    </row>
    <row r="19" spans="1:8" x14ac:dyDescent="0.25">
      <c r="A19" s="7"/>
      <c r="B19" s="2"/>
      <c r="C19" s="20">
        <v>40</v>
      </c>
      <c r="D19" s="383">
        <v>942.18</v>
      </c>
      <c r="E19" s="389">
        <v>41992</v>
      </c>
      <c r="F19" s="386">
        <f t="shared" si="0"/>
        <v>942.18</v>
      </c>
      <c r="G19" s="384" t="s">
        <v>74</v>
      </c>
      <c r="H19" s="328">
        <v>46</v>
      </c>
    </row>
    <row r="20" spans="1:8" x14ac:dyDescent="0.25">
      <c r="A20" s="7"/>
      <c r="B20" s="2"/>
      <c r="C20" s="20">
        <v>30</v>
      </c>
      <c r="D20" s="383">
        <v>701.35</v>
      </c>
      <c r="E20" s="389">
        <v>41993</v>
      </c>
      <c r="F20" s="386">
        <f t="shared" si="0"/>
        <v>701.35</v>
      </c>
      <c r="G20" s="384" t="s">
        <v>75</v>
      </c>
      <c r="H20" s="328">
        <v>37.5</v>
      </c>
    </row>
    <row r="21" spans="1:8" x14ac:dyDescent="0.25">
      <c r="A21" s="7"/>
      <c r="B21" s="2"/>
      <c r="C21" s="20">
        <v>35</v>
      </c>
      <c r="D21" s="383">
        <v>824.88</v>
      </c>
      <c r="E21" s="389">
        <v>41993</v>
      </c>
      <c r="F21" s="386">
        <f t="shared" si="0"/>
        <v>824.88</v>
      </c>
      <c r="G21" s="384" t="s">
        <v>77</v>
      </c>
      <c r="H21" s="328">
        <v>46</v>
      </c>
    </row>
    <row r="22" spans="1:8" x14ac:dyDescent="0.25">
      <c r="A22" s="7"/>
      <c r="B22" s="2"/>
      <c r="C22" s="20">
        <v>35</v>
      </c>
      <c r="D22" s="383">
        <v>819.72</v>
      </c>
      <c r="E22" s="389">
        <v>41994</v>
      </c>
      <c r="F22" s="386">
        <f t="shared" si="0"/>
        <v>819.72</v>
      </c>
      <c r="G22" s="384" t="s">
        <v>78</v>
      </c>
      <c r="H22" s="328">
        <v>37.5</v>
      </c>
    </row>
    <row r="23" spans="1:8" x14ac:dyDescent="0.25">
      <c r="A23" s="7"/>
      <c r="B23" s="2"/>
      <c r="C23" s="20">
        <v>20</v>
      </c>
      <c r="D23" s="383">
        <v>470.61</v>
      </c>
      <c r="E23" s="389">
        <v>41997</v>
      </c>
      <c r="F23" s="386">
        <f t="shared" si="0"/>
        <v>470.61</v>
      </c>
      <c r="G23" s="384" t="s">
        <v>76</v>
      </c>
      <c r="H23" s="328">
        <v>37.5</v>
      </c>
    </row>
    <row r="24" spans="1:8" x14ac:dyDescent="0.25">
      <c r="A24" s="7"/>
      <c r="B24" s="2"/>
      <c r="C24" s="20">
        <v>30</v>
      </c>
      <c r="D24" s="386">
        <v>703.59</v>
      </c>
      <c r="E24" s="389">
        <v>41997</v>
      </c>
      <c r="F24" s="386">
        <f t="shared" si="0"/>
        <v>703.59</v>
      </c>
      <c r="G24" s="384" t="s">
        <v>79</v>
      </c>
      <c r="H24" s="328">
        <v>37.5</v>
      </c>
    </row>
    <row r="25" spans="1:8" x14ac:dyDescent="0.25">
      <c r="A25" s="7"/>
      <c r="B25" s="2"/>
      <c r="C25" s="20"/>
      <c r="D25" s="528"/>
      <c r="E25" s="544"/>
      <c r="F25" s="528">
        <f t="shared" si="0"/>
        <v>0</v>
      </c>
      <c r="G25" s="530"/>
      <c r="H25" s="230"/>
    </row>
    <row r="26" spans="1:8" x14ac:dyDescent="0.25">
      <c r="A26" s="7"/>
      <c r="B26" s="2"/>
      <c r="C26" s="20"/>
      <c r="D26" s="528"/>
      <c r="E26" s="544"/>
      <c r="F26" s="528">
        <f t="shared" si="0"/>
        <v>0</v>
      </c>
      <c r="G26" s="530"/>
      <c r="H26" s="230"/>
    </row>
    <row r="27" spans="1:8" x14ac:dyDescent="0.25">
      <c r="A27" s="7"/>
      <c r="B27" s="2"/>
      <c r="C27" s="20"/>
      <c r="D27" s="528"/>
      <c r="E27" s="544"/>
      <c r="F27" s="528">
        <f t="shared" si="0"/>
        <v>0</v>
      </c>
      <c r="G27" s="530"/>
      <c r="H27" s="230"/>
    </row>
    <row r="28" spans="1:8" x14ac:dyDescent="0.25">
      <c r="A28" s="7"/>
      <c r="B28" s="2"/>
      <c r="C28" s="20"/>
      <c r="D28" s="528"/>
      <c r="E28" s="544"/>
      <c r="F28" s="528">
        <f t="shared" si="0"/>
        <v>0</v>
      </c>
      <c r="G28" s="530"/>
      <c r="H28" s="230"/>
    </row>
    <row r="29" spans="1:8" x14ac:dyDescent="0.25">
      <c r="A29" s="7"/>
      <c r="B29" s="2"/>
      <c r="C29" s="20"/>
      <c r="D29" s="528"/>
      <c r="E29" s="544"/>
      <c r="F29" s="528">
        <f t="shared" si="0"/>
        <v>0</v>
      </c>
      <c r="G29" s="530"/>
      <c r="H29" s="230"/>
    </row>
    <row r="30" spans="1:8" x14ac:dyDescent="0.25">
      <c r="A30" s="7"/>
      <c r="B30" s="2"/>
      <c r="C30" s="20"/>
      <c r="D30" s="528"/>
      <c r="E30" s="544"/>
      <c r="F30" s="528">
        <f t="shared" si="0"/>
        <v>0</v>
      </c>
      <c r="G30" s="530"/>
      <c r="H30" s="230"/>
    </row>
    <row r="31" spans="1:8" x14ac:dyDescent="0.25">
      <c r="A31" s="7"/>
      <c r="B31" s="2"/>
      <c r="C31" s="20"/>
      <c r="D31" s="528"/>
      <c r="E31" s="544"/>
      <c r="F31" s="528">
        <f t="shared" si="0"/>
        <v>0</v>
      </c>
      <c r="G31" s="530"/>
      <c r="H31" s="230"/>
    </row>
    <row r="32" spans="1:8" ht="15.75" thickBot="1" x14ac:dyDescent="0.3">
      <c r="A32" s="7"/>
      <c r="B32" s="4"/>
      <c r="C32" s="48"/>
      <c r="D32" s="388">
        <v>0</v>
      </c>
      <c r="E32" s="409"/>
      <c r="F32" s="388"/>
      <c r="G32" s="385"/>
      <c r="H32" s="410"/>
    </row>
    <row r="33" spans="1:8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</row>
    <row r="36" spans="1:8" x14ac:dyDescent="0.25">
      <c r="A36" s="7"/>
      <c r="B36" s="7"/>
      <c r="C36" s="769" t="s">
        <v>19</v>
      </c>
      <c r="D36" s="770"/>
      <c r="E36" s="51">
        <f>E4+E5-F33</f>
        <v>846.64999999999964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C36:D36"/>
    <mergeCell ref="A5:A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82"/>
  <sheetViews>
    <sheetView topLeftCell="A73" workbookViewId="0">
      <selection activeCell="D18" sqref="D1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56" t="s">
        <v>345</v>
      </c>
      <c r="B1" s="756"/>
      <c r="C1" s="756"/>
      <c r="D1" s="756"/>
      <c r="E1" s="756"/>
      <c r="F1" s="756"/>
      <c r="G1" s="756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48"/>
      <c r="B4" s="248"/>
      <c r="C4" s="205"/>
      <c r="D4" s="248"/>
      <c r="E4" s="248"/>
      <c r="F4" s="248"/>
      <c r="G4" s="371"/>
      <c r="H4" s="371"/>
    </row>
    <row r="5" spans="1:8" ht="15.75" x14ac:dyDescent="0.25">
      <c r="A5" s="16"/>
      <c r="B5" s="15" t="s">
        <v>4</v>
      </c>
      <c r="C5" s="402"/>
      <c r="D5" s="363">
        <v>42235</v>
      </c>
      <c r="E5" s="153">
        <v>3375.95</v>
      </c>
      <c r="F5" s="104">
        <v>168</v>
      </c>
      <c r="G5" s="651"/>
    </row>
    <row r="6" spans="1:8" x14ac:dyDescent="0.25">
      <c r="A6" s="16" t="s">
        <v>270</v>
      </c>
      <c r="B6" s="124" t="s">
        <v>85</v>
      </c>
      <c r="C6" s="337"/>
      <c r="D6" s="363">
        <v>42228</v>
      </c>
      <c r="E6" s="153">
        <v>5009.4399999999996</v>
      </c>
      <c r="F6" s="104">
        <v>238</v>
      </c>
      <c r="G6" s="649">
        <f>F77</f>
        <v>8657.69</v>
      </c>
      <c r="H6" s="10">
        <f>E6-G6+E7+E5</f>
        <v>-272.30000000000109</v>
      </c>
    </row>
    <row r="7" spans="1:8" ht="15.75" thickBot="1" x14ac:dyDescent="0.3">
      <c r="A7" s="16"/>
      <c r="B7" s="124" t="s">
        <v>271</v>
      </c>
      <c r="C7" s="337"/>
      <c r="D7" s="363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10</v>
      </c>
      <c r="D9" s="254">
        <v>204.79</v>
      </c>
      <c r="E9" s="257">
        <v>42224</v>
      </c>
      <c r="F9" s="254">
        <v>204.79</v>
      </c>
      <c r="G9" s="255" t="s">
        <v>304</v>
      </c>
      <c r="H9" s="256">
        <v>19.5</v>
      </c>
    </row>
    <row r="10" spans="1:8" x14ac:dyDescent="0.25">
      <c r="A10" s="286"/>
      <c r="B10" s="2"/>
      <c r="C10" s="20">
        <v>2</v>
      </c>
      <c r="D10" s="254">
        <v>47.62</v>
      </c>
      <c r="E10" s="257">
        <v>42235</v>
      </c>
      <c r="F10" s="254">
        <v>47.62</v>
      </c>
      <c r="G10" s="255" t="s">
        <v>311</v>
      </c>
      <c r="H10" s="256">
        <v>17</v>
      </c>
    </row>
    <row r="11" spans="1:8" x14ac:dyDescent="0.25">
      <c r="A11" s="287"/>
      <c r="B11" s="2"/>
      <c r="C11" s="20">
        <v>4</v>
      </c>
      <c r="D11" s="254">
        <v>92.48</v>
      </c>
      <c r="E11" s="257">
        <v>42237</v>
      </c>
      <c r="F11" s="254">
        <f t="shared" ref="F11:F74" si="0">D11</f>
        <v>92.48</v>
      </c>
      <c r="G11" s="255" t="s">
        <v>318</v>
      </c>
      <c r="H11" s="256">
        <v>17</v>
      </c>
    </row>
    <row r="12" spans="1:8" x14ac:dyDescent="0.25">
      <c r="A12" s="147" t="s">
        <v>34</v>
      </c>
      <c r="B12" s="2"/>
      <c r="C12" s="20">
        <v>10</v>
      </c>
      <c r="D12" s="254">
        <v>201.81</v>
      </c>
      <c r="E12" s="257">
        <v>42238</v>
      </c>
      <c r="F12" s="254">
        <f t="shared" si="0"/>
        <v>201.81</v>
      </c>
      <c r="G12" s="255" t="s">
        <v>320</v>
      </c>
      <c r="H12" s="256">
        <v>17</v>
      </c>
    </row>
    <row r="13" spans="1:8" x14ac:dyDescent="0.25">
      <c r="A13" s="288"/>
      <c r="B13" s="2"/>
      <c r="C13" s="20">
        <v>20</v>
      </c>
      <c r="D13" s="254">
        <v>406.29</v>
      </c>
      <c r="E13" s="257">
        <v>42238</v>
      </c>
      <c r="F13" s="254">
        <f t="shared" si="0"/>
        <v>406.29</v>
      </c>
      <c r="G13" s="255" t="s">
        <v>321</v>
      </c>
      <c r="H13" s="256">
        <v>17</v>
      </c>
    </row>
    <row r="14" spans="1:8" x14ac:dyDescent="0.25">
      <c r="A14" s="181"/>
      <c r="B14" s="2"/>
      <c r="C14" s="20">
        <v>10</v>
      </c>
      <c r="D14" s="254">
        <v>222.12</v>
      </c>
      <c r="E14" s="257">
        <v>42243</v>
      </c>
      <c r="F14" s="254">
        <f t="shared" si="0"/>
        <v>222.12</v>
      </c>
      <c r="G14" s="255" t="s">
        <v>328</v>
      </c>
      <c r="H14" s="256">
        <v>17</v>
      </c>
    </row>
    <row r="15" spans="1:8" x14ac:dyDescent="0.25">
      <c r="A15" s="59"/>
      <c r="B15" s="2"/>
      <c r="C15" s="20">
        <v>5</v>
      </c>
      <c r="D15" s="254">
        <v>116.36</v>
      </c>
      <c r="E15" s="257">
        <v>42245</v>
      </c>
      <c r="F15" s="254">
        <f t="shared" si="0"/>
        <v>116.36</v>
      </c>
      <c r="G15" s="255" t="s">
        <v>334</v>
      </c>
      <c r="H15" s="256">
        <v>17</v>
      </c>
    </row>
    <row r="16" spans="1:8" x14ac:dyDescent="0.25">
      <c r="B16" s="2"/>
      <c r="C16" s="20">
        <v>2</v>
      </c>
      <c r="D16" s="254">
        <v>43.72</v>
      </c>
      <c r="E16" s="257">
        <v>42247</v>
      </c>
      <c r="F16" s="254">
        <f t="shared" si="0"/>
        <v>43.72</v>
      </c>
      <c r="G16" s="255" t="s">
        <v>336</v>
      </c>
      <c r="H16" s="256">
        <v>17</v>
      </c>
    </row>
    <row r="17" spans="1:8" x14ac:dyDescent="0.25">
      <c r="A17" s="250"/>
      <c r="B17" s="7"/>
      <c r="C17" s="20">
        <v>237</v>
      </c>
      <c r="D17" s="629">
        <v>5007.75</v>
      </c>
      <c r="E17" s="643">
        <v>42250</v>
      </c>
      <c r="F17" s="629">
        <f t="shared" si="0"/>
        <v>5007.75</v>
      </c>
      <c r="G17" s="632" t="s">
        <v>371</v>
      </c>
      <c r="H17" s="261">
        <v>15.5</v>
      </c>
    </row>
    <row r="18" spans="1:8" x14ac:dyDescent="0.25">
      <c r="A18" s="250"/>
      <c r="B18" s="7"/>
      <c r="C18" s="20">
        <v>10</v>
      </c>
      <c r="D18" s="629">
        <v>209.44</v>
      </c>
      <c r="E18" s="643">
        <v>42251</v>
      </c>
      <c r="F18" s="629">
        <f t="shared" si="0"/>
        <v>209.44</v>
      </c>
      <c r="G18" s="632" t="s">
        <v>372</v>
      </c>
      <c r="H18" s="261">
        <v>17</v>
      </c>
    </row>
    <row r="19" spans="1:8" x14ac:dyDescent="0.25">
      <c r="A19" s="250"/>
      <c r="B19" s="7"/>
      <c r="C19" s="20">
        <v>50</v>
      </c>
      <c r="D19" s="629">
        <v>1041.23</v>
      </c>
      <c r="E19" s="643">
        <v>42261</v>
      </c>
      <c r="F19" s="629">
        <f t="shared" si="0"/>
        <v>1041.23</v>
      </c>
      <c r="G19" s="632" t="s">
        <v>401</v>
      </c>
      <c r="H19" s="261">
        <v>16</v>
      </c>
    </row>
    <row r="20" spans="1:8" x14ac:dyDescent="0.25">
      <c r="A20" s="250"/>
      <c r="B20" s="7"/>
      <c r="C20" s="20">
        <v>50</v>
      </c>
      <c r="D20" s="629">
        <v>1064.08</v>
      </c>
      <c r="E20" s="643">
        <v>42261</v>
      </c>
      <c r="F20" s="629">
        <f t="shared" si="0"/>
        <v>1064.08</v>
      </c>
      <c r="G20" s="632" t="s">
        <v>401</v>
      </c>
      <c r="H20" s="261">
        <v>16</v>
      </c>
    </row>
    <row r="21" spans="1:8" x14ac:dyDescent="0.25">
      <c r="A21" s="250"/>
      <c r="B21" s="7"/>
      <c r="C21" s="20"/>
      <c r="D21" s="629"/>
      <c r="E21" s="643"/>
      <c r="F21" s="629">
        <f t="shared" si="0"/>
        <v>0</v>
      </c>
      <c r="G21" s="632"/>
      <c r="H21" s="261"/>
    </row>
    <row r="22" spans="1:8" x14ac:dyDescent="0.25">
      <c r="A22" s="251"/>
      <c r="B22" s="7"/>
      <c r="C22" s="20"/>
      <c r="D22" s="629"/>
      <c r="E22" s="643"/>
      <c r="F22" s="629">
        <f t="shared" si="0"/>
        <v>0</v>
      </c>
      <c r="G22" s="632"/>
      <c r="H22" s="261"/>
    </row>
    <row r="23" spans="1:8" x14ac:dyDescent="0.25">
      <c r="A23" s="250"/>
      <c r="B23" s="7"/>
      <c r="C23" s="20"/>
      <c r="D23" s="629"/>
      <c r="E23" s="643"/>
      <c r="F23" s="629">
        <f t="shared" si="0"/>
        <v>0</v>
      </c>
      <c r="G23" s="632"/>
      <c r="H23" s="261"/>
    </row>
    <row r="24" spans="1:8" x14ac:dyDescent="0.25">
      <c r="A24" s="250"/>
      <c r="B24" s="7"/>
      <c r="C24" s="20"/>
      <c r="D24" s="629"/>
      <c r="E24" s="643"/>
      <c r="F24" s="629">
        <f t="shared" si="0"/>
        <v>0</v>
      </c>
      <c r="G24" s="632"/>
      <c r="H24" s="261"/>
    </row>
    <row r="25" spans="1:8" x14ac:dyDescent="0.25">
      <c r="A25" s="250"/>
      <c r="B25" s="7"/>
      <c r="C25" s="20"/>
      <c r="D25" s="629"/>
      <c r="E25" s="643"/>
      <c r="F25" s="629">
        <f t="shared" si="0"/>
        <v>0</v>
      </c>
      <c r="G25" s="632"/>
      <c r="H25" s="261"/>
    </row>
    <row r="26" spans="1:8" x14ac:dyDescent="0.25">
      <c r="A26" s="250"/>
      <c r="B26" s="7"/>
      <c r="C26" s="20"/>
      <c r="D26" s="629"/>
      <c r="E26" s="643"/>
      <c r="F26" s="629">
        <f t="shared" si="0"/>
        <v>0</v>
      </c>
      <c r="G26" s="632"/>
      <c r="H26" s="261"/>
    </row>
    <row r="27" spans="1:8" x14ac:dyDescent="0.25">
      <c r="A27" s="250"/>
      <c r="B27" s="7"/>
      <c r="C27" s="20"/>
      <c r="D27" s="629"/>
      <c r="E27" s="643"/>
      <c r="F27" s="629">
        <f t="shared" si="0"/>
        <v>0</v>
      </c>
      <c r="G27" s="632"/>
      <c r="H27" s="261"/>
    </row>
    <row r="28" spans="1:8" x14ac:dyDescent="0.25">
      <c r="A28" s="250"/>
      <c r="B28" s="7"/>
      <c r="C28" s="20"/>
      <c r="D28" s="629"/>
      <c r="E28" s="643"/>
      <c r="F28" s="629">
        <f t="shared" si="0"/>
        <v>0</v>
      </c>
      <c r="G28" s="632"/>
      <c r="H28" s="261"/>
    </row>
    <row r="29" spans="1:8" x14ac:dyDescent="0.25">
      <c r="A29" s="250"/>
      <c r="B29" s="7"/>
      <c r="C29" s="20"/>
      <c r="D29" s="629"/>
      <c r="E29" s="643"/>
      <c r="F29" s="629">
        <f t="shared" si="0"/>
        <v>0</v>
      </c>
      <c r="G29" s="632"/>
      <c r="H29" s="261"/>
    </row>
    <row r="30" spans="1:8" x14ac:dyDescent="0.25">
      <c r="A30" s="250"/>
      <c r="B30" s="7"/>
      <c r="C30" s="20"/>
      <c r="D30" s="629"/>
      <c r="E30" s="643"/>
      <c r="F30" s="629">
        <f t="shared" si="0"/>
        <v>0</v>
      </c>
      <c r="G30" s="632"/>
      <c r="H30" s="261"/>
    </row>
    <row r="31" spans="1:8" x14ac:dyDescent="0.25">
      <c r="A31" s="250"/>
      <c r="B31" s="7"/>
      <c r="C31" s="20"/>
      <c r="D31" s="629"/>
      <c r="E31" s="643"/>
      <c r="F31" s="629">
        <f t="shared" si="0"/>
        <v>0</v>
      </c>
      <c r="G31" s="632"/>
      <c r="H31" s="261"/>
    </row>
    <row r="32" spans="1:8" x14ac:dyDescent="0.25">
      <c r="A32" s="250"/>
      <c r="B32" s="7"/>
      <c r="C32" s="20"/>
      <c r="D32" s="629"/>
      <c r="E32" s="643"/>
      <c r="F32" s="629">
        <f t="shared" si="0"/>
        <v>0</v>
      </c>
      <c r="G32" s="632"/>
      <c r="H32" s="261"/>
    </row>
    <row r="33" spans="1:8" x14ac:dyDescent="0.25">
      <c r="A33" s="250"/>
      <c r="B33" s="7"/>
      <c r="C33" s="20"/>
      <c r="D33" s="629"/>
      <c r="E33" s="643"/>
      <c r="F33" s="629">
        <f t="shared" si="0"/>
        <v>0</v>
      </c>
      <c r="G33" s="632"/>
      <c r="H33" s="261"/>
    </row>
    <row r="34" spans="1:8" x14ac:dyDescent="0.25">
      <c r="A34" s="250"/>
      <c r="B34" s="7"/>
      <c r="C34" s="20"/>
      <c r="D34" s="629"/>
      <c r="E34" s="643"/>
      <c r="F34" s="629">
        <f t="shared" si="0"/>
        <v>0</v>
      </c>
      <c r="G34" s="632"/>
      <c r="H34" s="261"/>
    </row>
    <row r="35" spans="1:8" x14ac:dyDescent="0.25">
      <c r="A35" s="250" t="s">
        <v>22</v>
      </c>
      <c r="B35" s="7"/>
      <c r="C35" s="20"/>
      <c r="D35" s="629"/>
      <c r="E35" s="643"/>
      <c r="F35" s="629">
        <f t="shared" si="0"/>
        <v>0</v>
      </c>
      <c r="G35" s="632"/>
      <c r="H35" s="261"/>
    </row>
    <row r="36" spans="1:8" x14ac:dyDescent="0.25">
      <c r="A36" s="251"/>
      <c r="B36" s="7"/>
      <c r="C36" s="20"/>
      <c r="D36" s="629"/>
      <c r="E36" s="643"/>
      <c r="F36" s="629">
        <f t="shared" si="0"/>
        <v>0</v>
      </c>
      <c r="G36" s="632"/>
      <c r="H36" s="261"/>
    </row>
    <row r="37" spans="1:8" x14ac:dyDescent="0.25">
      <c r="A37" s="250"/>
      <c r="B37" s="7"/>
      <c r="C37" s="20"/>
      <c r="D37" s="629"/>
      <c r="E37" s="643"/>
      <c r="F37" s="629">
        <f t="shared" si="0"/>
        <v>0</v>
      </c>
      <c r="G37" s="632"/>
      <c r="H37" s="261"/>
    </row>
    <row r="38" spans="1:8" x14ac:dyDescent="0.25">
      <c r="A38" s="250"/>
      <c r="B38" s="7"/>
      <c r="C38" s="20"/>
      <c r="D38" s="629"/>
      <c r="E38" s="643"/>
      <c r="F38" s="629">
        <f t="shared" si="0"/>
        <v>0</v>
      </c>
      <c r="G38" s="632"/>
      <c r="H38" s="261"/>
    </row>
    <row r="39" spans="1:8" x14ac:dyDescent="0.25">
      <c r="A39" s="250"/>
      <c r="B39" s="7"/>
      <c r="C39" s="20"/>
      <c r="D39" s="629"/>
      <c r="E39" s="643"/>
      <c r="F39" s="629">
        <f t="shared" si="0"/>
        <v>0</v>
      </c>
      <c r="G39" s="632"/>
      <c r="H39" s="261"/>
    </row>
    <row r="40" spans="1:8" x14ac:dyDescent="0.25">
      <c r="A40" s="250"/>
      <c r="B40" s="7"/>
      <c r="C40" s="20"/>
      <c r="D40" s="629"/>
      <c r="E40" s="643"/>
      <c r="F40" s="629">
        <f t="shared" si="0"/>
        <v>0</v>
      </c>
      <c r="G40" s="632"/>
      <c r="H40" s="261"/>
    </row>
    <row r="41" spans="1:8" x14ac:dyDescent="0.25">
      <c r="A41" s="250"/>
      <c r="B41" s="7"/>
      <c r="C41" s="20"/>
      <c r="D41" s="629"/>
      <c r="E41" s="643"/>
      <c r="F41" s="629">
        <f t="shared" si="0"/>
        <v>0</v>
      </c>
      <c r="G41" s="632"/>
      <c r="H41" s="261"/>
    </row>
    <row r="42" spans="1:8" x14ac:dyDescent="0.25">
      <c r="A42" s="250"/>
      <c r="B42" s="7"/>
      <c r="C42" s="20"/>
      <c r="D42" s="629"/>
      <c r="E42" s="643"/>
      <c r="F42" s="629">
        <f t="shared" si="0"/>
        <v>0</v>
      </c>
      <c r="G42" s="632"/>
      <c r="H42" s="261"/>
    </row>
    <row r="43" spans="1:8" x14ac:dyDescent="0.25">
      <c r="A43" s="250"/>
      <c r="B43" s="7"/>
      <c r="C43" s="20"/>
      <c r="D43" s="629"/>
      <c r="E43" s="643"/>
      <c r="F43" s="629">
        <f t="shared" si="0"/>
        <v>0</v>
      </c>
      <c r="G43" s="632"/>
      <c r="H43" s="261"/>
    </row>
    <row r="44" spans="1:8" x14ac:dyDescent="0.25">
      <c r="A44" s="250"/>
      <c r="B44" s="7"/>
      <c r="C44" s="20"/>
      <c r="D44" s="629"/>
      <c r="E44" s="643"/>
      <c r="F44" s="629">
        <f t="shared" si="0"/>
        <v>0</v>
      </c>
      <c r="G44" s="632"/>
      <c r="H44" s="261"/>
    </row>
    <row r="45" spans="1:8" x14ac:dyDescent="0.25">
      <c r="A45" s="250"/>
      <c r="B45" s="7"/>
      <c r="C45" s="20"/>
      <c r="D45" s="629"/>
      <c r="E45" s="643"/>
      <c r="F45" s="629">
        <f t="shared" si="0"/>
        <v>0</v>
      </c>
      <c r="G45" s="632"/>
      <c r="H45" s="261"/>
    </row>
    <row r="46" spans="1:8" x14ac:dyDescent="0.25">
      <c r="A46" s="250"/>
      <c r="B46" s="7"/>
      <c r="C46" s="20"/>
      <c r="D46" s="629"/>
      <c r="E46" s="643"/>
      <c r="F46" s="629">
        <f t="shared" si="0"/>
        <v>0</v>
      </c>
      <c r="G46" s="632"/>
      <c r="H46" s="261"/>
    </row>
    <row r="47" spans="1:8" x14ac:dyDescent="0.25">
      <c r="A47" s="250"/>
      <c r="B47" s="7"/>
      <c r="C47" s="20"/>
      <c r="D47" s="629"/>
      <c r="E47" s="643"/>
      <c r="F47" s="629">
        <f t="shared" si="0"/>
        <v>0</v>
      </c>
      <c r="G47" s="632"/>
      <c r="H47" s="261"/>
    </row>
    <row r="48" spans="1:8" x14ac:dyDescent="0.25">
      <c r="A48" s="250"/>
      <c r="B48" s="7"/>
      <c r="C48" s="20"/>
      <c r="D48" s="629"/>
      <c r="E48" s="643"/>
      <c r="F48" s="629">
        <f t="shared" si="0"/>
        <v>0</v>
      </c>
      <c r="G48" s="632"/>
      <c r="H48" s="261"/>
    </row>
    <row r="49" spans="1:8" x14ac:dyDescent="0.25">
      <c r="A49" s="250"/>
      <c r="B49" s="7"/>
      <c r="C49" s="20"/>
      <c r="D49" s="629"/>
      <c r="E49" s="643"/>
      <c r="F49" s="629">
        <f t="shared" si="0"/>
        <v>0</v>
      </c>
      <c r="G49" s="632"/>
      <c r="H49" s="261"/>
    </row>
    <row r="50" spans="1:8" x14ac:dyDescent="0.25">
      <c r="A50" s="250"/>
      <c r="B50" s="7"/>
      <c r="C50" s="20"/>
      <c r="D50" s="629"/>
      <c r="E50" s="643"/>
      <c r="F50" s="629">
        <f t="shared" si="0"/>
        <v>0</v>
      </c>
      <c r="G50" s="632"/>
      <c r="H50" s="261"/>
    </row>
    <row r="51" spans="1:8" x14ac:dyDescent="0.25">
      <c r="A51" s="250"/>
      <c r="B51" s="7"/>
      <c r="C51" s="20"/>
      <c r="D51" s="629"/>
      <c r="E51" s="643"/>
      <c r="F51" s="629">
        <f t="shared" si="0"/>
        <v>0</v>
      </c>
      <c r="G51" s="632"/>
      <c r="H51" s="261"/>
    </row>
    <row r="52" spans="1:8" x14ac:dyDescent="0.25">
      <c r="A52" s="250"/>
      <c r="B52" s="7"/>
      <c r="C52" s="20"/>
      <c r="D52" s="629"/>
      <c r="E52" s="643"/>
      <c r="F52" s="629">
        <f t="shared" si="0"/>
        <v>0</v>
      </c>
      <c r="G52" s="632"/>
      <c r="H52" s="261"/>
    </row>
    <row r="53" spans="1:8" x14ac:dyDescent="0.25">
      <c r="A53" s="250"/>
      <c r="B53" s="7"/>
      <c r="C53" s="20"/>
      <c r="D53" s="629"/>
      <c r="E53" s="643"/>
      <c r="F53" s="629">
        <f t="shared" si="0"/>
        <v>0</v>
      </c>
      <c r="G53" s="632"/>
      <c r="H53" s="261"/>
    </row>
    <row r="54" spans="1:8" x14ac:dyDescent="0.25">
      <c r="A54" s="250"/>
      <c r="B54" s="7"/>
      <c r="C54" s="20"/>
      <c r="D54" s="629"/>
      <c r="E54" s="643"/>
      <c r="F54" s="629">
        <f t="shared" si="0"/>
        <v>0</v>
      </c>
      <c r="G54" s="632"/>
      <c r="H54" s="261"/>
    </row>
    <row r="55" spans="1:8" x14ac:dyDescent="0.25">
      <c r="A55" s="250"/>
      <c r="B55" s="7"/>
      <c r="C55" s="20"/>
      <c r="D55" s="629"/>
      <c r="E55" s="643"/>
      <c r="F55" s="629">
        <f t="shared" si="0"/>
        <v>0</v>
      </c>
      <c r="G55" s="632"/>
      <c r="H55" s="261"/>
    </row>
    <row r="56" spans="1:8" x14ac:dyDescent="0.25">
      <c r="A56" s="250"/>
      <c r="B56" s="7"/>
      <c r="C56" s="20"/>
      <c r="D56" s="629"/>
      <c r="E56" s="643"/>
      <c r="F56" s="629">
        <f t="shared" si="0"/>
        <v>0</v>
      </c>
      <c r="G56" s="632"/>
      <c r="H56" s="261"/>
    </row>
    <row r="57" spans="1:8" x14ac:dyDescent="0.25">
      <c r="A57" s="250"/>
      <c r="B57" s="7"/>
      <c r="C57" s="20"/>
      <c r="D57" s="629"/>
      <c r="E57" s="643"/>
      <c r="F57" s="629">
        <f t="shared" si="0"/>
        <v>0</v>
      </c>
      <c r="G57" s="632"/>
      <c r="H57" s="261"/>
    </row>
    <row r="58" spans="1:8" x14ac:dyDescent="0.25">
      <c r="A58" s="250"/>
      <c r="B58" s="7"/>
      <c r="C58" s="20"/>
      <c r="D58" s="629"/>
      <c r="E58" s="643"/>
      <c r="F58" s="629">
        <f t="shared" si="0"/>
        <v>0</v>
      </c>
      <c r="G58" s="632"/>
      <c r="H58" s="261"/>
    </row>
    <row r="59" spans="1:8" x14ac:dyDescent="0.25">
      <c r="A59" s="250"/>
      <c r="B59" s="7"/>
      <c r="C59" s="20"/>
      <c r="D59" s="629"/>
      <c r="E59" s="643"/>
      <c r="F59" s="629">
        <f t="shared" si="0"/>
        <v>0</v>
      </c>
      <c r="G59" s="632"/>
      <c r="H59" s="261"/>
    </row>
    <row r="60" spans="1:8" x14ac:dyDescent="0.25">
      <c r="A60" s="250"/>
      <c r="B60" s="7"/>
      <c r="C60" s="20"/>
      <c r="D60" s="629"/>
      <c r="E60" s="643"/>
      <c r="F60" s="629">
        <f t="shared" si="0"/>
        <v>0</v>
      </c>
      <c r="G60" s="632"/>
      <c r="H60" s="261"/>
    </row>
    <row r="61" spans="1:8" x14ac:dyDescent="0.25">
      <c r="A61" s="250"/>
      <c r="B61" s="7"/>
      <c r="C61" s="20"/>
      <c r="D61" s="629"/>
      <c r="E61" s="643"/>
      <c r="F61" s="629">
        <f t="shared" si="0"/>
        <v>0</v>
      </c>
      <c r="G61" s="632"/>
      <c r="H61" s="261"/>
    </row>
    <row r="62" spans="1:8" x14ac:dyDescent="0.25">
      <c r="A62" s="250"/>
      <c r="B62" s="7"/>
      <c r="C62" s="20"/>
      <c r="D62" s="629"/>
      <c r="E62" s="643"/>
      <c r="F62" s="629">
        <f t="shared" si="0"/>
        <v>0</v>
      </c>
      <c r="G62" s="632"/>
      <c r="H62" s="261"/>
    </row>
    <row r="63" spans="1:8" x14ac:dyDescent="0.25">
      <c r="A63" s="250"/>
      <c r="B63" s="7"/>
      <c r="C63" s="20"/>
      <c r="D63" s="629"/>
      <c r="E63" s="643"/>
      <c r="F63" s="629">
        <f t="shared" si="0"/>
        <v>0</v>
      </c>
      <c r="G63" s="632"/>
      <c r="H63" s="261"/>
    </row>
    <row r="64" spans="1:8" x14ac:dyDescent="0.25">
      <c r="A64" s="250"/>
      <c r="B64" s="7"/>
      <c r="C64" s="20"/>
      <c r="D64" s="629"/>
      <c r="E64" s="643"/>
      <c r="F64" s="629">
        <f t="shared" si="0"/>
        <v>0</v>
      </c>
      <c r="G64" s="632"/>
      <c r="H64" s="261"/>
    </row>
    <row r="65" spans="1:8" x14ac:dyDescent="0.25">
      <c r="A65" s="250"/>
      <c r="B65" s="7"/>
      <c r="C65" s="20"/>
      <c r="D65" s="629"/>
      <c r="E65" s="643"/>
      <c r="F65" s="629">
        <f t="shared" si="0"/>
        <v>0</v>
      </c>
      <c r="G65" s="632"/>
      <c r="H65" s="261"/>
    </row>
    <row r="66" spans="1:8" x14ac:dyDescent="0.25">
      <c r="A66" s="250"/>
      <c r="B66" s="7"/>
      <c r="C66" s="20"/>
      <c r="D66" s="629"/>
      <c r="E66" s="643"/>
      <c r="F66" s="629">
        <f t="shared" si="0"/>
        <v>0</v>
      </c>
      <c r="G66" s="632"/>
      <c r="H66" s="261"/>
    </row>
    <row r="67" spans="1:8" x14ac:dyDescent="0.25">
      <c r="A67" s="250"/>
      <c r="B67" s="7"/>
      <c r="C67" s="20"/>
      <c r="D67" s="629"/>
      <c r="E67" s="643"/>
      <c r="F67" s="629">
        <f t="shared" si="0"/>
        <v>0</v>
      </c>
      <c r="G67" s="632"/>
      <c r="H67" s="261"/>
    </row>
    <row r="68" spans="1:8" x14ac:dyDescent="0.25">
      <c r="A68" s="250"/>
      <c r="B68" s="7"/>
      <c r="C68" s="20"/>
      <c r="D68" s="629"/>
      <c r="E68" s="643"/>
      <c r="F68" s="629">
        <f t="shared" si="0"/>
        <v>0</v>
      </c>
      <c r="G68" s="632"/>
      <c r="H68" s="261"/>
    </row>
    <row r="69" spans="1:8" x14ac:dyDescent="0.25">
      <c r="A69" s="250"/>
      <c r="B69" s="7"/>
      <c r="C69" s="20"/>
      <c r="D69" s="629"/>
      <c r="E69" s="643"/>
      <c r="F69" s="629">
        <f t="shared" si="0"/>
        <v>0</v>
      </c>
      <c r="G69" s="632"/>
      <c r="H69" s="261"/>
    </row>
    <row r="70" spans="1:8" x14ac:dyDescent="0.25">
      <c r="A70" s="250"/>
      <c r="B70" s="7"/>
      <c r="C70" s="20"/>
      <c r="D70" s="629"/>
      <c r="E70" s="643"/>
      <c r="F70" s="629">
        <f t="shared" si="0"/>
        <v>0</v>
      </c>
      <c r="G70" s="632"/>
      <c r="H70" s="261"/>
    </row>
    <row r="71" spans="1:8" x14ac:dyDescent="0.25">
      <c r="A71" s="250"/>
      <c r="B71" s="7"/>
      <c r="C71" s="20"/>
      <c r="D71" s="629"/>
      <c r="E71" s="643"/>
      <c r="F71" s="629">
        <f t="shared" si="0"/>
        <v>0</v>
      </c>
      <c r="G71" s="632"/>
      <c r="H71" s="261"/>
    </row>
    <row r="72" spans="1:8" x14ac:dyDescent="0.25">
      <c r="A72" s="250"/>
      <c r="B72" s="7"/>
      <c r="C72" s="20"/>
      <c r="D72" s="629"/>
      <c r="E72" s="643"/>
      <c r="F72" s="629">
        <f t="shared" si="0"/>
        <v>0</v>
      </c>
      <c r="G72" s="632"/>
      <c r="H72" s="261"/>
    </row>
    <row r="73" spans="1:8" x14ac:dyDescent="0.25">
      <c r="A73" s="250"/>
      <c r="B73" s="7"/>
      <c r="C73" s="20"/>
      <c r="D73" s="629"/>
      <c r="E73" s="643"/>
      <c r="F73" s="629">
        <f t="shared" si="0"/>
        <v>0</v>
      </c>
      <c r="G73" s="632"/>
      <c r="H73" s="261"/>
    </row>
    <row r="74" spans="1:8" x14ac:dyDescent="0.25">
      <c r="A74" s="250"/>
      <c r="B74" s="7"/>
      <c r="C74" s="20"/>
      <c r="D74" s="629"/>
      <c r="E74" s="643"/>
      <c r="F74" s="629">
        <f t="shared" si="0"/>
        <v>0</v>
      </c>
      <c r="G74" s="632"/>
      <c r="H74" s="261"/>
    </row>
    <row r="75" spans="1:8" x14ac:dyDescent="0.25">
      <c r="A75" s="250"/>
      <c r="B75" s="7"/>
      <c r="C75" s="20"/>
      <c r="D75" s="100"/>
      <c r="E75" s="185"/>
      <c r="F75" s="100">
        <f t="shared" ref="F75" si="1">D75</f>
        <v>0</v>
      </c>
      <c r="G75" s="111"/>
      <c r="H75" s="101"/>
    </row>
    <row r="76" spans="1:8" ht="15.75" thickBot="1" x14ac:dyDescent="0.3">
      <c r="A76" s="250"/>
      <c r="B76" s="21"/>
      <c r="C76" s="80"/>
      <c r="D76" s="208"/>
      <c r="E76" s="209"/>
      <c r="F76" s="199"/>
      <c r="G76" s="200"/>
      <c r="H76" s="101"/>
    </row>
    <row r="77" spans="1:8" x14ac:dyDescent="0.25">
      <c r="C77" s="82">
        <f>SUM(C9:C76)</f>
        <v>410</v>
      </c>
      <c r="D77" s="9">
        <f>SUM(D9:D76)</f>
        <v>8657.69</v>
      </c>
      <c r="F77" s="9">
        <f>SUM(F9:F76)</f>
        <v>8657.69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-4</v>
      </c>
    </row>
    <row r="81" spans="3:7" ht="15.75" thickBot="1" x14ac:dyDescent="0.3"/>
    <row r="82" spans="3:7" ht="15.75" thickBot="1" x14ac:dyDescent="0.3">
      <c r="C82" s="757" t="s">
        <v>11</v>
      </c>
      <c r="D82" s="758"/>
      <c r="E82" s="95">
        <f>E5+E6-F77+E7</f>
        <v>-272.30000000000109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TK69"/>
  <sheetViews>
    <sheetView topLeftCell="HZ1" workbookViewId="0">
      <pane xSplit="1" topLeftCell="IB1" activePane="topRight" state="frozen"/>
      <selection activeCell="HZ1" sqref="HZ1"/>
      <selection pane="topRight" activeCell="PF5" sqref="PF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44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1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46" max="346" width="13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41"/>
      <c r="F1" s="85"/>
      <c r="G1" s="84"/>
      <c r="H1" s="84"/>
      <c r="I1" s="84"/>
      <c r="K1" s="751" t="s">
        <v>423</v>
      </c>
      <c r="L1" s="751"/>
      <c r="M1" s="751"/>
      <c r="N1" s="751"/>
      <c r="O1" s="751"/>
      <c r="P1" s="751"/>
      <c r="Q1" s="751"/>
      <c r="R1" s="14">
        <f>I1+1</f>
        <v>1</v>
      </c>
      <c r="T1" s="751" t="str">
        <f>K1</f>
        <v>ENTRADA DEL MES DE OCTUBRE 2015</v>
      </c>
      <c r="U1" s="751"/>
      <c r="V1" s="751"/>
      <c r="W1" s="751"/>
      <c r="X1" s="751"/>
      <c r="Y1" s="751"/>
      <c r="Z1" s="751"/>
      <c r="AA1" s="14">
        <f>R1+1</f>
        <v>2</v>
      </c>
      <c r="AC1" s="751" t="str">
        <f>T1</f>
        <v>ENTRADA DEL MES DE OCTUBRE 2015</v>
      </c>
      <c r="AD1" s="751"/>
      <c r="AE1" s="751"/>
      <c r="AF1" s="751"/>
      <c r="AG1" s="751"/>
      <c r="AH1" s="751"/>
      <c r="AI1" s="751"/>
      <c r="AJ1" s="14">
        <f>AA1+1</f>
        <v>3</v>
      </c>
      <c r="AL1" s="751" t="str">
        <f>AC1</f>
        <v>ENTRADA DEL MES DE OCTUBRE 2015</v>
      </c>
      <c r="AM1" s="751"/>
      <c r="AN1" s="751"/>
      <c r="AO1" s="751"/>
      <c r="AP1" s="751"/>
      <c r="AQ1" s="751"/>
      <c r="AR1" s="751"/>
      <c r="AS1" s="14">
        <f>AJ1+1</f>
        <v>4</v>
      </c>
      <c r="AU1" s="751" t="str">
        <f>AL1</f>
        <v>ENTRADA DEL MES DE OCTUBRE 2015</v>
      </c>
      <c r="AV1" s="751"/>
      <c r="AW1" s="751"/>
      <c r="AX1" s="751"/>
      <c r="AY1" s="751"/>
      <c r="AZ1" s="751"/>
      <c r="BA1" s="751"/>
      <c r="BB1" s="14">
        <f>AS1+1</f>
        <v>5</v>
      </c>
      <c r="BD1" s="751" t="str">
        <f>AU1</f>
        <v>ENTRADA DEL MES DE OCTUBRE 2015</v>
      </c>
      <c r="BE1" s="751"/>
      <c r="BF1" s="751"/>
      <c r="BG1" s="751"/>
      <c r="BH1" s="751"/>
      <c r="BI1" s="751"/>
      <c r="BJ1" s="751"/>
      <c r="BK1" s="14">
        <f>BB1+1</f>
        <v>6</v>
      </c>
      <c r="BM1" s="751" t="str">
        <f>BD1</f>
        <v>ENTRADA DEL MES DE OCTUBRE 2015</v>
      </c>
      <c r="BN1" s="751"/>
      <c r="BO1" s="751"/>
      <c r="BP1" s="751"/>
      <c r="BQ1" s="751"/>
      <c r="BR1" s="751"/>
      <c r="BS1" s="751"/>
      <c r="BT1" s="14">
        <f>BK1+1</f>
        <v>7</v>
      </c>
      <c r="BV1" s="751" t="str">
        <f>BM1</f>
        <v>ENTRADA DEL MES DE OCTUBRE 2015</v>
      </c>
      <c r="BW1" s="751"/>
      <c r="BX1" s="751"/>
      <c r="BY1" s="751"/>
      <c r="BZ1" s="751"/>
      <c r="CA1" s="751"/>
      <c r="CB1" s="751"/>
      <c r="CC1" s="14">
        <f>BT1+1</f>
        <v>8</v>
      </c>
      <c r="CE1" s="751" t="str">
        <f>BV1</f>
        <v>ENTRADA DEL MES DE OCTUBRE 2015</v>
      </c>
      <c r="CF1" s="751"/>
      <c r="CG1" s="751"/>
      <c r="CH1" s="751"/>
      <c r="CI1" s="751"/>
      <c r="CJ1" s="751"/>
      <c r="CK1" s="751"/>
      <c r="CL1" s="14">
        <f>CC1+1</f>
        <v>9</v>
      </c>
      <c r="CN1" s="751" t="str">
        <f>CE1</f>
        <v>ENTRADA DEL MES DE OCTUBRE 2015</v>
      </c>
      <c r="CO1" s="751"/>
      <c r="CP1" s="751"/>
      <c r="CQ1" s="751"/>
      <c r="CR1" s="751"/>
      <c r="CS1" s="751"/>
      <c r="CT1" s="751"/>
      <c r="CU1" s="14">
        <f>CL1+1</f>
        <v>10</v>
      </c>
      <c r="CW1" s="751" t="str">
        <f>CN1</f>
        <v>ENTRADA DEL MES DE OCTUBRE 2015</v>
      </c>
      <c r="CX1" s="751"/>
      <c r="CY1" s="751"/>
      <c r="CZ1" s="751"/>
      <c r="DA1" s="751"/>
      <c r="DB1" s="751"/>
      <c r="DC1" s="751"/>
      <c r="DD1" s="14">
        <f>CU1+1</f>
        <v>11</v>
      </c>
      <c r="DF1" s="751" t="str">
        <f>CW1</f>
        <v>ENTRADA DEL MES DE OCTUBRE 2015</v>
      </c>
      <c r="DG1" s="751"/>
      <c r="DH1" s="751"/>
      <c r="DI1" s="751"/>
      <c r="DJ1" s="751"/>
      <c r="DK1" s="751"/>
      <c r="DL1" s="751"/>
      <c r="DM1" s="14">
        <f>DD1+1</f>
        <v>12</v>
      </c>
      <c r="DO1" s="751" t="str">
        <f>DF1</f>
        <v>ENTRADA DEL MES DE OCTUBRE 2015</v>
      </c>
      <c r="DP1" s="751"/>
      <c r="DQ1" s="751"/>
      <c r="DR1" s="751"/>
      <c r="DS1" s="751"/>
      <c r="DT1" s="751"/>
      <c r="DU1" s="751"/>
      <c r="DV1" s="14">
        <f>DM1+1</f>
        <v>13</v>
      </c>
      <c r="DX1" s="751" t="str">
        <f>DO1</f>
        <v>ENTRADA DEL MES DE OCTUBRE 2015</v>
      </c>
      <c r="DY1" s="751"/>
      <c r="DZ1" s="751"/>
      <c r="EA1" s="751"/>
      <c r="EB1" s="751"/>
      <c r="EC1" s="751"/>
      <c r="ED1" s="751"/>
      <c r="EE1" s="14">
        <f>DV1+1</f>
        <v>14</v>
      </c>
      <c r="EG1" s="751" t="str">
        <f>DX1</f>
        <v>ENTRADA DEL MES DE OCTUBRE 2015</v>
      </c>
      <c r="EH1" s="751"/>
      <c r="EI1" s="751"/>
      <c r="EJ1" s="751"/>
      <c r="EK1" s="751"/>
      <c r="EL1" s="751"/>
      <c r="EM1" s="751"/>
      <c r="EN1" s="14">
        <f>EE1+1</f>
        <v>15</v>
      </c>
      <c r="EP1" s="751" t="str">
        <f>EG1</f>
        <v>ENTRADA DEL MES DE OCTUBRE 2015</v>
      </c>
      <c r="EQ1" s="751"/>
      <c r="ER1" s="751"/>
      <c r="ES1" s="751"/>
      <c r="ET1" s="751"/>
      <c r="EU1" s="751"/>
      <c r="EV1" s="751"/>
      <c r="EW1" s="14">
        <f>EN1+1</f>
        <v>16</v>
      </c>
      <c r="EY1" s="751" t="str">
        <f>EP1</f>
        <v>ENTRADA DEL MES DE OCTUBRE 2015</v>
      </c>
      <c r="EZ1" s="751"/>
      <c r="FA1" s="751"/>
      <c r="FB1" s="751"/>
      <c r="FC1" s="751"/>
      <c r="FD1" s="751"/>
      <c r="FE1" s="751"/>
      <c r="FF1" s="14">
        <f>EW1+1</f>
        <v>17</v>
      </c>
      <c r="FH1" s="751" t="str">
        <f>EY1</f>
        <v>ENTRADA DEL MES DE OCTUBRE 2015</v>
      </c>
      <c r="FI1" s="751"/>
      <c r="FJ1" s="751"/>
      <c r="FK1" s="751"/>
      <c r="FL1" s="751"/>
      <c r="FM1" s="751"/>
      <c r="FN1" s="751"/>
      <c r="FO1" s="14">
        <f>FF1+1</f>
        <v>18</v>
      </c>
      <c r="FP1" t="s">
        <v>38</v>
      </c>
      <c r="FQ1" s="751" t="str">
        <f>FH1</f>
        <v>ENTRADA DEL MES DE OCTUBRE 2015</v>
      </c>
      <c r="FR1" s="751"/>
      <c r="FS1" s="751"/>
      <c r="FT1" s="751"/>
      <c r="FU1" s="751"/>
      <c r="FV1" s="751"/>
      <c r="FW1" s="751"/>
      <c r="FX1" s="14">
        <f>FO1+1</f>
        <v>19</v>
      </c>
      <c r="FZ1" s="751" t="str">
        <f>FQ1</f>
        <v>ENTRADA DEL MES DE OCTUBRE 2015</v>
      </c>
      <c r="GA1" s="751"/>
      <c r="GB1" s="751"/>
      <c r="GC1" s="751"/>
      <c r="GD1" s="751"/>
      <c r="GE1" s="751"/>
      <c r="GF1" s="751"/>
      <c r="GG1" s="14">
        <f>FX1+1</f>
        <v>20</v>
      </c>
      <c r="GI1" s="751" t="str">
        <f>FZ1</f>
        <v>ENTRADA DEL MES DE OCTUBRE 2015</v>
      </c>
      <c r="GJ1" s="751"/>
      <c r="GK1" s="751"/>
      <c r="GL1" s="751"/>
      <c r="GM1" s="751"/>
      <c r="GN1" s="751"/>
      <c r="GO1" s="751"/>
      <c r="GP1" s="14">
        <f>GG1+1</f>
        <v>21</v>
      </c>
      <c r="GR1" s="751" t="str">
        <f>GI1</f>
        <v>ENTRADA DEL MES DE OCTUBRE 2015</v>
      </c>
      <c r="GS1" s="751"/>
      <c r="GT1" s="751"/>
      <c r="GU1" s="751"/>
      <c r="GV1" s="751"/>
      <c r="GW1" s="751"/>
      <c r="GX1" s="751"/>
      <c r="GY1" s="14">
        <f>GP1+1</f>
        <v>22</v>
      </c>
      <c r="HA1" s="751" t="str">
        <f>GR1</f>
        <v>ENTRADA DEL MES DE OCTUBRE 2015</v>
      </c>
      <c r="HB1" s="751"/>
      <c r="HC1" s="751"/>
      <c r="HD1" s="751"/>
      <c r="HE1" s="751"/>
      <c r="HF1" s="751"/>
      <c r="HG1" s="751"/>
      <c r="HH1" s="14">
        <f>GY1+1</f>
        <v>23</v>
      </c>
      <c r="HJ1" s="751" t="str">
        <f>HA1</f>
        <v>ENTRADA DEL MES DE OCTUBRE 2015</v>
      </c>
      <c r="HK1" s="751"/>
      <c r="HL1" s="751"/>
      <c r="HM1" s="751"/>
      <c r="HN1" s="751"/>
      <c r="HO1" s="751"/>
      <c r="HP1" s="751"/>
      <c r="HQ1" s="14">
        <f>HH1+1</f>
        <v>24</v>
      </c>
      <c r="HS1" s="751" t="str">
        <f>HJ1</f>
        <v>ENTRADA DEL MES DE OCTUBRE 2015</v>
      </c>
      <c r="HT1" s="751"/>
      <c r="HU1" s="751"/>
      <c r="HV1" s="751"/>
      <c r="HW1" s="751"/>
      <c r="HX1" s="751"/>
      <c r="HY1" s="751"/>
      <c r="HZ1" s="14">
        <f>HQ1+1</f>
        <v>25</v>
      </c>
      <c r="IB1" s="751" t="str">
        <f>HS1</f>
        <v>ENTRADA DEL MES DE OCTUBRE 2015</v>
      </c>
      <c r="IC1" s="751"/>
      <c r="ID1" s="751"/>
      <c r="IE1" s="751"/>
      <c r="IF1" s="751"/>
      <c r="IG1" s="751"/>
      <c r="IH1" s="751"/>
      <c r="II1" s="14">
        <f>HZ1+1</f>
        <v>26</v>
      </c>
      <c r="IK1" s="751" t="str">
        <f>IB1</f>
        <v>ENTRADA DEL MES DE OCTUBRE 2015</v>
      </c>
      <c r="IL1" s="751"/>
      <c r="IM1" s="751"/>
      <c r="IN1" s="751"/>
      <c r="IO1" s="751"/>
      <c r="IP1" s="751"/>
      <c r="IQ1" s="751"/>
      <c r="IR1" s="14">
        <f>II1+1</f>
        <v>27</v>
      </c>
      <c r="IT1" s="751" t="str">
        <f>IK1</f>
        <v>ENTRADA DEL MES DE OCTUBRE 2015</v>
      </c>
      <c r="IU1" s="751"/>
      <c r="IV1" s="751"/>
      <c r="IW1" s="751"/>
      <c r="IX1" s="751"/>
      <c r="IY1" s="751"/>
      <c r="IZ1" s="751"/>
      <c r="JA1" s="14">
        <f>IR1+1</f>
        <v>28</v>
      </c>
      <c r="JC1" s="751" t="str">
        <f>IT1</f>
        <v>ENTRADA DEL MES DE OCTUBRE 2015</v>
      </c>
      <c r="JD1" s="751"/>
      <c r="JE1" s="751"/>
      <c r="JF1" s="751"/>
      <c r="JG1" s="751"/>
      <c r="JH1" s="751"/>
      <c r="JI1" s="751"/>
      <c r="JJ1" s="14">
        <f>JA1+1</f>
        <v>29</v>
      </c>
      <c r="JL1" s="751" t="str">
        <f>JC1</f>
        <v>ENTRADA DEL MES DE OCTUBRE 2015</v>
      </c>
      <c r="JM1" s="751"/>
      <c r="JN1" s="751"/>
      <c r="JO1" s="751"/>
      <c r="JP1" s="751"/>
      <c r="JQ1" s="751"/>
      <c r="JR1" s="751"/>
      <c r="JS1" s="14">
        <f>JJ1+1</f>
        <v>30</v>
      </c>
      <c r="JU1" s="751" t="str">
        <f>JL1</f>
        <v>ENTRADA DEL MES DE OCTUBRE 2015</v>
      </c>
      <c r="JV1" s="751"/>
      <c r="JW1" s="751"/>
      <c r="JX1" s="751"/>
      <c r="JY1" s="751"/>
      <c r="JZ1" s="751"/>
      <c r="KA1" s="751"/>
      <c r="KB1" s="14">
        <f>JS1+1</f>
        <v>31</v>
      </c>
      <c r="KD1" s="751" t="str">
        <f>JU1</f>
        <v>ENTRADA DEL MES DE OCTUBRE 2015</v>
      </c>
      <c r="KE1" s="751"/>
      <c r="KF1" s="751"/>
      <c r="KG1" s="751"/>
      <c r="KH1" s="751"/>
      <c r="KI1" s="751"/>
      <c r="KJ1" s="751"/>
      <c r="KK1" s="14">
        <f>KB1+1</f>
        <v>32</v>
      </c>
      <c r="KM1" s="751" t="str">
        <f>KD1</f>
        <v>ENTRADA DEL MES DE OCTUBRE 2015</v>
      </c>
      <c r="KN1" s="751"/>
      <c r="KO1" s="751"/>
      <c r="KP1" s="751"/>
      <c r="KQ1" s="751"/>
      <c r="KR1" s="751"/>
      <c r="KS1" s="751"/>
      <c r="KT1" s="14">
        <f>KK1+1</f>
        <v>33</v>
      </c>
      <c r="KV1" s="751" t="str">
        <f>KM1</f>
        <v>ENTRADA DEL MES DE OCTUBRE 2015</v>
      </c>
      <c r="KW1" s="751"/>
      <c r="KX1" s="751"/>
      <c r="KY1" s="751"/>
      <c r="KZ1" s="751"/>
      <c r="LA1" s="751"/>
      <c r="LB1" s="751"/>
      <c r="LC1" s="14">
        <f>KT1+1</f>
        <v>34</v>
      </c>
      <c r="LE1" s="751" t="str">
        <f>KV1</f>
        <v>ENTRADA DEL MES DE OCTUBRE 2015</v>
      </c>
      <c r="LF1" s="751"/>
      <c r="LG1" s="751"/>
      <c r="LH1" s="751"/>
      <c r="LI1" s="751"/>
      <c r="LJ1" s="751"/>
      <c r="LK1" s="751"/>
      <c r="LL1" s="14">
        <f>LC1+1</f>
        <v>35</v>
      </c>
      <c r="LN1" s="751" t="str">
        <f>LE1</f>
        <v>ENTRADA DEL MES DE OCTUBRE 2015</v>
      </c>
      <c r="LO1" s="751"/>
      <c r="LP1" s="751"/>
      <c r="LQ1" s="751"/>
      <c r="LR1" s="751"/>
      <c r="LS1" s="751"/>
      <c r="LT1" s="751"/>
      <c r="LU1" s="14">
        <f>LL1+1</f>
        <v>36</v>
      </c>
      <c r="LW1" s="751" t="str">
        <f>LN1</f>
        <v>ENTRADA DEL MES DE OCTUBRE 2015</v>
      </c>
      <c r="LX1" s="751"/>
      <c r="LY1" s="751"/>
      <c r="LZ1" s="751"/>
      <c r="MA1" s="751"/>
      <c r="MB1" s="751"/>
      <c r="MC1" s="751"/>
      <c r="MD1" s="14">
        <f>LU1+1</f>
        <v>37</v>
      </c>
      <c r="MF1" s="751" t="str">
        <f>LW1</f>
        <v>ENTRADA DEL MES DE OCTUBRE 2015</v>
      </c>
      <c r="MG1" s="751"/>
      <c r="MH1" s="751"/>
      <c r="MI1" s="751"/>
      <c r="MJ1" s="751"/>
      <c r="MK1" s="751"/>
      <c r="ML1" s="751"/>
      <c r="MM1" s="14">
        <f>MD1+1</f>
        <v>38</v>
      </c>
      <c r="MO1" s="751" t="str">
        <f>MF1</f>
        <v>ENTRADA DEL MES DE OCTUBRE 2015</v>
      </c>
      <c r="MP1" s="751"/>
      <c r="MQ1" s="751"/>
      <c r="MR1" s="751"/>
      <c r="MS1" s="751"/>
      <c r="MT1" s="751"/>
      <c r="MU1" s="751"/>
      <c r="MV1" s="14">
        <f>MM1+1</f>
        <v>39</v>
      </c>
      <c r="MW1" s="16"/>
      <c r="MX1" s="751" t="str">
        <f>MO1</f>
        <v>ENTRADA DEL MES DE OCTUBRE 2015</v>
      </c>
      <c r="MY1" s="751"/>
      <c r="MZ1" s="751"/>
      <c r="NA1" s="751"/>
      <c r="NB1" s="751"/>
      <c r="NC1" s="751"/>
      <c r="ND1" s="751"/>
      <c r="NE1" s="14">
        <f>MV1+1</f>
        <v>40</v>
      </c>
      <c r="NG1" s="751" t="str">
        <f>MX1</f>
        <v>ENTRADA DEL MES DE OCTUBRE 2015</v>
      </c>
      <c r="NH1" s="751"/>
      <c r="NI1" s="751"/>
      <c r="NJ1" s="751"/>
      <c r="NK1" s="751"/>
      <c r="NL1" s="751"/>
      <c r="NM1" s="751"/>
      <c r="NN1" s="14">
        <f>NE1+1</f>
        <v>41</v>
      </c>
      <c r="NP1" s="751" t="str">
        <f>NG1</f>
        <v>ENTRADA DEL MES DE OCTUBRE 2015</v>
      </c>
      <c r="NQ1" s="751"/>
      <c r="NR1" s="751"/>
      <c r="NS1" s="751"/>
      <c r="NT1" s="751"/>
      <c r="NU1" s="751"/>
      <c r="NV1" s="751"/>
      <c r="NW1" s="14">
        <f>NN1+1</f>
        <v>42</v>
      </c>
      <c r="NY1" s="751" t="str">
        <f>NP1</f>
        <v>ENTRADA DEL MES DE OCTUBRE 2015</v>
      </c>
      <c r="NZ1" s="751"/>
      <c r="OA1" s="751"/>
      <c r="OB1" s="751"/>
      <c r="OC1" s="751"/>
      <c r="OD1" s="751"/>
      <c r="OE1" s="751"/>
      <c r="OF1" s="14">
        <f>NW1+1</f>
        <v>43</v>
      </c>
      <c r="OH1" s="751" t="str">
        <f>NY1</f>
        <v>ENTRADA DEL MES DE OCTUBRE 2015</v>
      </c>
      <c r="OI1" s="751"/>
      <c r="OJ1" s="751"/>
      <c r="OK1" s="751"/>
      <c r="OL1" s="751"/>
      <c r="OM1" s="751"/>
      <c r="ON1" s="751"/>
      <c r="OO1" s="14">
        <f>OF1+1</f>
        <v>44</v>
      </c>
      <c r="OQ1" s="751" t="str">
        <f>OH1</f>
        <v>ENTRADA DEL MES DE OCTUBRE 2015</v>
      </c>
      <c r="OR1" s="751"/>
      <c r="OS1" s="751"/>
      <c r="OT1" s="751"/>
      <c r="OU1" s="751"/>
      <c r="OV1" s="751"/>
      <c r="OW1" s="751"/>
      <c r="OX1" s="14">
        <f>OO1+1</f>
        <v>45</v>
      </c>
      <c r="OZ1" s="751" t="str">
        <f>OQ1</f>
        <v>ENTRADA DEL MES DE OCTUBRE 2015</v>
      </c>
      <c r="PA1" s="751"/>
      <c r="PB1" s="751"/>
      <c r="PC1" s="751"/>
      <c r="PD1" s="751"/>
      <c r="PE1" s="751"/>
      <c r="PF1" s="751"/>
      <c r="PG1" s="14">
        <f>OX1+1</f>
        <v>46</v>
      </c>
      <c r="PI1" s="751" t="str">
        <f>OZ1</f>
        <v>ENTRADA DEL MES DE OCTUBRE 2015</v>
      </c>
      <c r="PJ1" s="751"/>
      <c r="PK1" s="751"/>
      <c r="PL1" s="751"/>
      <c r="PM1" s="751"/>
      <c r="PN1" s="751"/>
      <c r="PO1" s="751"/>
      <c r="PP1" s="14">
        <f>PG1+1</f>
        <v>47</v>
      </c>
      <c r="PR1" s="751" t="str">
        <f>PI1</f>
        <v>ENTRADA DEL MES DE OCTUBRE 2015</v>
      </c>
      <c r="PS1" s="751"/>
      <c r="PT1" s="751"/>
      <c r="PU1" s="751"/>
      <c r="PV1" s="751"/>
      <c r="PW1" s="751"/>
      <c r="PX1" s="751"/>
      <c r="PY1" s="14">
        <f>PP1+1</f>
        <v>48</v>
      </c>
      <c r="QA1" s="751" t="str">
        <f>PR1</f>
        <v>ENTRADA DEL MES DE OCTUBRE 2015</v>
      </c>
      <c r="QB1" s="751"/>
      <c r="QC1" s="751"/>
      <c r="QD1" s="751"/>
      <c r="QE1" s="751"/>
      <c r="QF1" s="751"/>
      <c r="QG1" s="751"/>
      <c r="QH1" s="14">
        <f>PY1+1</f>
        <v>49</v>
      </c>
      <c r="QJ1" s="751" t="str">
        <f>QA1</f>
        <v>ENTRADA DEL MES DE OCTUBRE 2015</v>
      </c>
      <c r="QK1" s="751"/>
      <c r="QL1" s="751"/>
      <c r="QM1" s="751"/>
      <c r="QN1" s="751"/>
      <c r="QO1" s="751"/>
      <c r="QP1" s="751"/>
      <c r="QQ1" s="14">
        <f>QH1+1</f>
        <v>50</v>
      </c>
      <c r="QS1" s="751" t="str">
        <f>QJ1</f>
        <v>ENTRADA DEL MES DE OCTUBRE 2015</v>
      </c>
      <c r="QT1" s="751"/>
      <c r="QU1" s="751"/>
      <c r="QV1" s="751"/>
      <c r="QW1" s="751"/>
      <c r="QX1" s="751"/>
      <c r="QY1" s="751"/>
      <c r="QZ1" s="14">
        <f>QQ1+1</f>
        <v>51</v>
      </c>
      <c r="RB1" s="751" t="str">
        <f>QS1</f>
        <v>ENTRADA DEL MES DE OCTUBRE 2015</v>
      </c>
      <c r="RC1" s="751"/>
      <c r="RD1" s="751"/>
      <c r="RE1" s="751"/>
      <c r="RF1" s="751"/>
      <c r="RG1" s="751"/>
      <c r="RH1" s="751"/>
      <c r="RI1" s="14">
        <f>QZ1+1</f>
        <v>52</v>
      </c>
      <c r="RK1" s="751" t="str">
        <f>RB1</f>
        <v>ENTRADA DEL MES DE OCTUBRE 2015</v>
      </c>
      <c r="RL1" s="751"/>
      <c r="RM1" s="751"/>
      <c r="RN1" s="751"/>
      <c r="RO1" s="751"/>
      <c r="RP1" s="751"/>
      <c r="RQ1" s="751"/>
      <c r="RR1" s="14">
        <f>RI1+1</f>
        <v>53</v>
      </c>
      <c r="RT1" s="751" t="str">
        <f>RK1</f>
        <v>ENTRADA DEL MES DE OCTUBRE 2015</v>
      </c>
      <c r="RU1" s="751"/>
      <c r="RV1" s="751"/>
      <c r="RW1" s="751"/>
      <c r="RX1" s="751"/>
      <c r="RY1" s="751"/>
      <c r="RZ1" s="751"/>
      <c r="SA1" s="14">
        <f>RR1+1</f>
        <v>54</v>
      </c>
      <c r="SC1" s="751" t="str">
        <f>RT1</f>
        <v>ENTRADA DEL MES DE OCTUBRE 2015</v>
      </c>
      <c r="SD1" s="751"/>
      <c r="SE1" s="751"/>
      <c r="SF1" s="751"/>
      <c r="SG1" s="751"/>
      <c r="SH1" s="751"/>
      <c r="SI1" s="751"/>
      <c r="SJ1" s="14">
        <f>SA1+1</f>
        <v>55</v>
      </c>
      <c r="SL1" s="751" t="str">
        <f>SC1</f>
        <v>ENTRADA DEL MES DE OCTUBRE 2015</v>
      </c>
      <c r="SM1" s="751"/>
      <c r="SN1" s="751"/>
      <c r="SO1" s="751"/>
      <c r="SP1" s="751"/>
      <c r="SQ1" s="751"/>
      <c r="SR1" s="751"/>
      <c r="SS1" s="14">
        <f>SJ1+1</f>
        <v>56</v>
      </c>
      <c r="SU1" s="751" t="str">
        <f>SL1</f>
        <v>ENTRADA DEL MES DE OCTUBRE 2015</v>
      </c>
      <c r="SV1" s="751"/>
      <c r="SW1" s="751"/>
      <c r="SX1" s="751"/>
      <c r="SY1" s="751"/>
      <c r="SZ1" s="751"/>
      <c r="TA1" s="751"/>
      <c r="TB1" s="14">
        <f>SS1+1</f>
        <v>57</v>
      </c>
      <c r="TD1" s="751" t="str">
        <f>SU1</f>
        <v>ENTRADA DEL MES DE OCTUBRE 2015</v>
      </c>
      <c r="TE1" s="751"/>
      <c r="TF1" s="751"/>
      <c r="TG1" s="751"/>
      <c r="TH1" s="751"/>
      <c r="TI1" s="751"/>
      <c r="TJ1" s="751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2" t="s">
        <v>25</v>
      </c>
      <c r="F2" s="87" t="s">
        <v>3</v>
      </c>
      <c r="G2" s="86" t="s">
        <v>8</v>
      </c>
      <c r="H2" s="88" t="s">
        <v>5</v>
      </c>
      <c r="I2" s="89" t="s">
        <v>6</v>
      </c>
      <c r="BV2" t="s">
        <v>137</v>
      </c>
      <c r="MW2" s="16"/>
    </row>
    <row r="3" spans="1:531" ht="17.25" thickTop="1" thickBot="1" x14ac:dyDescent="0.3">
      <c r="A3" s="284"/>
      <c r="B3" s="16"/>
      <c r="C3" s="16"/>
      <c r="D3" s="74"/>
      <c r="E3" s="162"/>
      <c r="F3" s="77"/>
      <c r="G3" s="15"/>
      <c r="H3" s="65"/>
      <c r="I3" s="18">
        <f>R5</f>
        <v>-62.180000000000291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2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2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 xml:space="preserve">SEABOARD FOODS </v>
      </c>
      <c r="C4" s="16" t="str">
        <f t="shared" si="0"/>
        <v>Seaboard</v>
      </c>
      <c r="D4" s="74" t="str">
        <f t="shared" si="0"/>
        <v>PED. 5003978</v>
      </c>
      <c r="E4" s="162">
        <f t="shared" si="0"/>
        <v>42278</v>
      </c>
      <c r="F4" s="77">
        <f t="shared" si="0"/>
        <v>19095.62</v>
      </c>
      <c r="G4" s="15">
        <f t="shared" si="0"/>
        <v>21</v>
      </c>
      <c r="H4" s="65">
        <f t="shared" si="0"/>
        <v>19157.8</v>
      </c>
      <c r="I4" s="18">
        <f t="shared" si="0"/>
        <v>-62.180000000000291</v>
      </c>
      <c r="K4" s="16"/>
      <c r="L4" s="16" t="s">
        <v>23</v>
      </c>
      <c r="M4" s="16"/>
      <c r="N4" s="16"/>
      <c r="O4" s="16"/>
      <c r="P4" s="16"/>
      <c r="Q4" s="685" t="s">
        <v>283</v>
      </c>
      <c r="T4" s="16"/>
      <c r="U4" s="16" t="s">
        <v>23</v>
      </c>
      <c r="V4" s="16"/>
      <c r="W4" s="16"/>
      <c r="X4" s="16"/>
      <c r="Y4" s="16"/>
      <c r="Z4" s="685" t="s">
        <v>283</v>
      </c>
      <c r="AC4" s="16"/>
      <c r="AD4" s="16" t="s">
        <v>23</v>
      </c>
      <c r="AE4" s="16"/>
      <c r="AF4" s="216"/>
      <c r="AG4" s="16"/>
      <c r="AH4" s="16"/>
      <c r="AI4" s="685" t="s">
        <v>283</v>
      </c>
      <c r="AJ4" s="16"/>
      <c r="AL4" s="16"/>
      <c r="AM4" s="16" t="s">
        <v>23</v>
      </c>
      <c r="AN4" s="16"/>
      <c r="AO4" s="16"/>
      <c r="AP4" s="16"/>
      <c r="AQ4" s="16"/>
      <c r="AR4" s="650" t="s">
        <v>283</v>
      </c>
      <c r="AS4" s="16"/>
      <c r="AU4" s="16"/>
      <c r="AV4" s="15" t="s">
        <v>23</v>
      </c>
      <c r="AW4" s="16"/>
      <c r="AX4" s="16"/>
      <c r="AY4" s="16"/>
      <c r="AZ4" s="16"/>
      <c r="BA4" s="685" t="s">
        <v>283</v>
      </c>
      <c r="BB4" s="16"/>
      <c r="BD4" s="16"/>
      <c r="BE4" s="16" t="s">
        <v>23</v>
      </c>
      <c r="BF4" s="16"/>
      <c r="BG4" s="16"/>
      <c r="BH4" s="16"/>
      <c r="BI4" s="16"/>
      <c r="BJ4" s="650" t="s">
        <v>283</v>
      </c>
      <c r="BK4" s="16"/>
      <c r="BM4" s="16"/>
      <c r="BN4" s="16" t="s">
        <v>23</v>
      </c>
      <c r="BO4" s="16"/>
      <c r="BP4" s="16"/>
      <c r="BQ4" s="16"/>
      <c r="BR4" s="16"/>
      <c r="BS4" s="685" t="s">
        <v>283</v>
      </c>
      <c r="BV4" s="16"/>
      <c r="BW4" s="16" t="s">
        <v>23</v>
      </c>
      <c r="BX4" s="16"/>
      <c r="BY4" s="16"/>
      <c r="BZ4" s="16"/>
      <c r="CA4" s="16"/>
      <c r="CB4" s="685" t="s">
        <v>283</v>
      </c>
      <c r="CC4" s="16"/>
      <c r="CE4" s="16"/>
      <c r="CF4" s="16" t="s">
        <v>23</v>
      </c>
      <c r="CG4" s="16"/>
      <c r="CH4" s="16"/>
      <c r="CI4" s="16"/>
      <c r="CJ4" s="16"/>
      <c r="CK4" s="650" t="s">
        <v>283</v>
      </c>
      <c r="CL4" s="16"/>
      <c r="CN4" s="16"/>
      <c r="CO4" s="16" t="s">
        <v>23</v>
      </c>
      <c r="CP4" s="16"/>
      <c r="CQ4" s="16"/>
      <c r="CR4" s="16"/>
      <c r="CS4" s="16"/>
      <c r="CT4" s="685" t="s">
        <v>283</v>
      </c>
      <c r="CU4" s="16"/>
      <c r="CW4" s="16"/>
      <c r="CX4" s="16" t="s">
        <v>23</v>
      </c>
      <c r="CY4" s="16"/>
      <c r="CZ4" s="16"/>
      <c r="DA4" s="16"/>
      <c r="DB4" s="16"/>
      <c r="DC4" s="685" t="s">
        <v>283</v>
      </c>
      <c r="DD4" s="16"/>
      <c r="DF4" s="16"/>
      <c r="DG4" s="16" t="s">
        <v>23</v>
      </c>
      <c r="DH4" s="16"/>
      <c r="DI4" s="16"/>
      <c r="DJ4" s="16"/>
      <c r="DK4" s="16"/>
      <c r="DL4" s="685" t="s">
        <v>283</v>
      </c>
      <c r="DM4" s="16"/>
      <c r="DO4" s="16"/>
      <c r="DP4" s="16" t="s">
        <v>23</v>
      </c>
      <c r="DQ4" s="16"/>
      <c r="DR4" s="16"/>
      <c r="DS4" s="16"/>
      <c r="DT4" s="16"/>
      <c r="DU4" s="724" t="s">
        <v>283</v>
      </c>
      <c r="DV4" s="16"/>
      <c r="DX4" s="16"/>
      <c r="DY4" s="16" t="s">
        <v>23</v>
      </c>
      <c r="DZ4" s="16"/>
      <c r="EA4" s="16"/>
      <c r="EB4" s="16"/>
      <c r="EC4" s="16"/>
      <c r="ED4" s="724" t="s">
        <v>283</v>
      </c>
      <c r="EE4" s="16"/>
      <c r="EG4" s="16"/>
      <c r="EH4" s="16" t="s">
        <v>23</v>
      </c>
      <c r="EI4" s="16"/>
      <c r="EJ4" s="16"/>
      <c r="EK4" s="16"/>
      <c r="EL4" s="16"/>
      <c r="EM4" s="650" t="s">
        <v>283</v>
      </c>
      <c r="EN4" s="16"/>
      <c r="EP4" s="16"/>
      <c r="EQ4" s="124" t="s">
        <v>23</v>
      </c>
      <c r="ER4" s="16"/>
      <c r="ES4" s="16"/>
      <c r="ET4" s="16"/>
      <c r="EU4" s="16"/>
      <c r="EV4" s="685" t="s">
        <v>283</v>
      </c>
      <c r="EW4" s="16"/>
      <c r="EY4" s="16"/>
      <c r="EZ4" s="16" t="s">
        <v>23</v>
      </c>
      <c r="FA4" s="16"/>
      <c r="FB4" s="16"/>
      <c r="FC4" s="16"/>
      <c r="FD4" s="16"/>
      <c r="FE4" s="650" t="s">
        <v>283</v>
      </c>
      <c r="FF4" s="16"/>
      <c r="FH4" s="16"/>
      <c r="FI4" s="16" t="s">
        <v>23</v>
      </c>
      <c r="FJ4" s="16"/>
      <c r="FK4" s="16"/>
      <c r="FL4" s="16"/>
      <c r="FM4" s="16"/>
      <c r="FN4" s="650" t="s">
        <v>283</v>
      </c>
      <c r="FO4" s="26"/>
      <c r="FQ4" s="16"/>
      <c r="FR4" s="16" t="s">
        <v>23</v>
      </c>
      <c r="FS4" s="16"/>
      <c r="FT4" s="16"/>
      <c r="FU4" s="16"/>
      <c r="FV4" s="16"/>
      <c r="FW4" s="685" t="s">
        <v>283</v>
      </c>
      <c r="FX4" s="16"/>
      <c r="FZ4" s="16"/>
      <c r="GA4" s="16" t="s">
        <v>23</v>
      </c>
      <c r="GB4" s="16"/>
      <c r="GC4" s="16"/>
      <c r="GD4" s="16"/>
      <c r="GE4" s="16"/>
      <c r="GF4" s="685" t="s">
        <v>283</v>
      </c>
      <c r="GG4" s="16"/>
      <c r="GI4" s="133"/>
      <c r="GJ4" s="16" t="s">
        <v>23</v>
      </c>
      <c r="GK4" s="16"/>
      <c r="GL4" s="16"/>
      <c r="GM4" s="16"/>
      <c r="GN4" s="16"/>
      <c r="GO4" s="685" t="s">
        <v>283</v>
      </c>
      <c r="GP4" s="15"/>
      <c r="GR4" s="16"/>
      <c r="GS4" s="16" t="s">
        <v>23</v>
      </c>
      <c r="GT4" s="16"/>
      <c r="GU4" s="16"/>
      <c r="GV4" s="16"/>
      <c r="GW4" s="16"/>
      <c r="GX4" s="685" t="s">
        <v>283</v>
      </c>
      <c r="GY4" s="16"/>
      <c r="HA4" s="16"/>
      <c r="HB4" s="16" t="s">
        <v>23</v>
      </c>
      <c r="HC4" s="16"/>
      <c r="HD4" s="16"/>
      <c r="HE4" s="16"/>
      <c r="HF4" s="16"/>
      <c r="HG4" s="685" t="s">
        <v>283</v>
      </c>
      <c r="HJ4" s="16"/>
      <c r="HK4" s="16" t="s">
        <v>23</v>
      </c>
      <c r="HL4" s="16"/>
      <c r="HM4" s="16"/>
      <c r="HN4" s="16"/>
      <c r="HO4" s="16"/>
      <c r="HP4" s="685" t="s">
        <v>283</v>
      </c>
      <c r="HS4" s="16"/>
      <c r="HT4" s="16" t="s">
        <v>23</v>
      </c>
      <c r="HU4" s="16"/>
      <c r="HV4" s="16"/>
      <c r="HW4" s="16"/>
      <c r="HX4" s="16"/>
      <c r="HY4" s="685" t="s">
        <v>283</v>
      </c>
      <c r="IB4" s="16"/>
      <c r="IC4" s="16" t="s">
        <v>23</v>
      </c>
      <c r="ID4" s="16"/>
      <c r="IE4" s="16"/>
      <c r="IF4" s="16"/>
      <c r="IG4" s="16"/>
      <c r="IH4" s="259"/>
      <c r="II4" s="204"/>
      <c r="IJ4" s="16"/>
      <c r="IK4" s="16"/>
      <c r="IL4" s="16" t="s">
        <v>23</v>
      </c>
      <c r="IM4" s="16"/>
      <c r="IN4" s="16"/>
      <c r="IO4" s="16"/>
      <c r="IP4" s="16"/>
      <c r="IQ4" s="685" t="s">
        <v>283</v>
      </c>
      <c r="IR4" s="16"/>
      <c r="IT4" s="16"/>
      <c r="IU4" s="16" t="s">
        <v>23</v>
      </c>
      <c r="IV4" s="16"/>
      <c r="IW4" s="16"/>
      <c r="IX4" s="16"/>
      <c r="IY4" s="16"/>
      <c r="IZ4" s="685" t="s">
        <v>283</v>
      </c>
      <c r="JA4" s="26"/>
      <c r="JC4" s="16"/>
      <c r="JD4" s="16" t="s">
        <v>23</v>
      </c>
      <c r="JE4" s="16"/>
      <c r="JF4" s="16"/>
      <c r="JG4" s="16"/>
      <c r="JH4" s="16"/>
      <c r="JI4" s="685" t="s">
        <v>283</v>
      </c>
      <c r="JJ4" s="16"/>
      <c r="JL4" s="16"/>
      <c r="JM4" s="16" t="s">
        <v>23</v>
      </c>
      <c r="JN4" s="16"/>
      <c r="JO4" s="16"/>
      <c r="JP4" s="16"/>
      <c r="JQ4" s="133"/>
      <c r="JR4" s="650" t="s">
        <v>283</v>
      </c>
      <c r="JS4" s="272"/>
      <c r="JU4" s="16"/>
      <c r="JV4" s="16" t="s">
        <v>23</v>
      </c>
      <c r="JW4" s="16"/>
      <c r="JX4" s="16"/>
      <c r="JY4" s="16"/>
      <c r="JZ4" s="16"/>
      <c r="KA4" s="685" t="s">
        <v>283</v>
      </c>
      <c r="KB4" s="133"/>
      <c r="KD4" s="16"/>
      <c r="KE4" s="16" t="s">
        <v>23</v>
      </c>
      <c r="KF4" s="16"/>
      <c r="KG4" s="16"/>
      <c r="KH4" s="16"/>
      <c r="KI4" s="133"/>
      <c r="KJ4" s="685" t="s">
        <v>283</v>
      </c>
      <c r="KK4" s="204"/>
      <c r="KM4" s="16"/>
      <c r="KN4" s="16" t="s">
        <v>23</v>
      </c>
      <c r="KO4" s="16"/>
      <c r="KP4" s="16"/>
      <c r="KQ4" s="16"/>
      <c r="KR4" s="16"/>
      <c r="KS4" s="685" t="s">
        <v>283</v>
      </c>
      <c r="KT4" s="133"/>
      <c r="KV4" s="16"/>
      <c r="KW4" s="16" t="s">
        <v>23</v>
      </c>
      <c r="KX4" s="16"/>
      <c r="KY4" s="16"/>
      <c r="KZ4" s="16"/>
      <c r="LA4" s="16"/>
      <c r="LB4" s="685" t="s">
        <v>283</v>
      </c>
      <c r="LC4" s="133"/>
      <c r="LE4" s="16"/>
      <c r="LF4" s="16" t="s">
        <v>23</v>
      </c>
      <c r="LG4" s="16"/>
      <c r="LH4" s="16"/>
      <c r="LI4" s="16"/>
      <c r="LJ4" s="16"/>
      <c r="LK4" s="685" t="s">
        <v>283</v>
      </c>
      <c r="LL4" s="133"/>
      <c r="LN4" s="16"/>
      <c r="LO4" s="16" t="s">
        <v>23</v>
      </c>
      <c r="LP4" s="16"/>
      <c r="LQ4" s="16"/>
      <c r="LR4" s="16"/>
      <c r="LS4" s="16"/>
      <c r="LT4" s="259"/>
      <c r="LW4" s="16"/>
      <c r="LX4" s="16" t="s">
        <v>23</v>
      </c>
      <c r="LY4" s="16"/>
      <c r="LZ4" s="16"/>
      <c r="MA4" s="16"/>
      <c r="MB4" s="16"/>
      <c r="MC4" s="685" t="s">
        <v>283</v>
      </c>
      <c r="MF4" s="16"/>
      <c r="MG4" s="16" t="s">
        <v>23</v>
      </c>
      <c r="MH4" s="16"/>
      <c r="MI4" s="16"/>
      <c r="MJ4" s="16"/>
      <c r="MK4" s="16"/>
      <c r="ML4" s="685" t="s">
        <v>283</v>
      </c>
      <c r="MO4" s="16"/>
      <c r="MP4" s="16" t="s">
        <v>23</v>
      </c>
      <c r="MQ4" s="16"/>
      <c r="MR4" s="16"/>
      <c r="MS4" s="16"/>
      <c r="MT4" s="16"/>
      <c r="MU4" s="685" t="s">
        <v>283</v>
      </c>
      <c r="MW4" s="16"/>
      <c r="MX4" s="16"/>
      <c r="MY4" s="16" t="s">
        <v>23</v>
      </c>
      <c r="MZ4" s="16"/>
      <c r="NA4" s="16"/>
      <c r="NB4" s="16"/>
      <c r="NC4" s="16"/>
      <c r="ND4" s="685" t="s">
        <v>283</v>
      </c>
      <c r="NG4" s="16"/>
      <c r="NH4" s="16" t="s">
        <v>23</v>
      </c>
      <c r="NI4" s="16"/>
      <c r="NJ4" s="16"/>
      <c r="NK4" s="16"/>
      <c r="NL4" s="16"/>
      <c r="NM4" s="685" t="s">
        <v>283</v>
      </c>
      <c r="NP4" s="16"/>
      <c r="NQ4" s="16" t="s">
        <v>23</v>
      </c>
      <c r="NR4" s="16"/>
      <c r="NS4" s="16"/>
      <c r="NT4" s="16"/>
      <c r="NU4" s="16"/>
      <c r="NV4" s="685" t="s">
        <v>283</v>
      </c>
      <c r="NY4" s="16"/>
      <c r="NZ4" s="16" t="s">
        <v>23</v>
      </c>
      <c r="OA4" s="16"/>
      <c r="OB4" s="16"/>
      <c r="OC4" s="16"/>
      <c r="OD4" s="16"/>
      <c r="OE4" s="685" t="s">
        <v>283</v>
      </c>
      <c r="OH4" s="16"/>
      <c r="OI4" s="16" t="s">
        <v>23</v>
      </c>
      <c r="OJ4" s="16"/>
      <c r="OK4" s="16"/>
      <c r="OL4" s="16"/>
      <c r="OM4" s="16"/>
      <c r="ON4" s="259"/>
      <c r="OQ4" s="16"/>
      <c r="OR4" s="16" t="s">
        <v>23</v>
      </c>
      <c r="OS4" s="16"/>
      <c r="OT4" s="16"/>
      <c r="OU4" s="16"/>
      <c r="OV4" s="16"/>
      <c r="OW4" s="259"/>
      <c r="OZ4" s="16"/>
      <c r="PA4" s="16" t="s">
        <v>23</v>
      </c>
      <c r="PB4" s="16"/>
      <c r="PC4" s="16"/>
      <c r="PD4" s="16"/>
      <c r="PE4" s="16"/>
      <c r="PF4" s="685" t="s">
        <v>283</v>
      </c>
      <c r="PI4" s="16"/>
      <c r="PJ4" s="16" t="s">
        <v>23</v>
      </c>
      <c r="PK4" s="16"/>
      <c r="PL4" s="16"/>
      <c r="PM4" s="16"/>
      <c r="PN4" s="16"/>
      <c r="PO4" s="259"/>
      <c r="PR4" s="16"/>
      <c r="PS4" s="16" t="s">
        <v>23</v>
      </c>
      <c r="PT4" s="16"/>
      <c r="PU4" s="16"/>
      <c r="PV4" s="16"/>
      <c r="PW4" s="16"/>
      <c r="PX4" s="259"/>
      <c r="QA4" s="16"/>
      <c r="QB4" s="16" t="s">
        <v>23</v>
      </c>
      <c r="QC4" s="16"/>
      <c r="QD4" s="16"/>
      <c r="QE4" s="16"/>
      <c r="QF4" s="16"/>
      <c r="QG4" s="259"/>
      <c r="QJ4" s="16"/>
      <c r="QK4" s="16" t="s">
        <v>23</v>
      </c>
      <c r="QL4" s="16"/>
      <c r="QM4" s="16"/>
      <c r="QN4" s="16"/>
      <c r="QO4" s="16"/>
      <c r="QP4" s="259"/>
      <c r="QS4" s="16"/>
      <c r="QT4" s="16" t="s">
        <v>23</v>
      </c>
      <c r="QU4" s="16"/>
      <c r="QV4" s="16"/>
      <c r="QW4" s="16"/>
      <c r="QX4" s="16"/>
      <c r="QY4" s="259"/>
      <c r="RB4" s="16"/>
      <c r="RC4" s="16" t="s">
        <v>23</v>
      </c>
      <c r="RD4" s="16"/>
      <c r="RE4" s="16"/>
      <c r="RF4" s="16"/>
      <c r="RG4" s="16"/>
      <c r="RH4" s="259"/>
      <c r="RK4" s="16"/>
      <c r="RL4" s="16" t="s">
        <v>23</v>
      </c>
      <c r="RM4" s="16"/>
      <c r="RN4" s="16"/>
      <c r="RO4" s="16"/>
      <c r="RP4" s="16"/>
      <c r="RQ4" s="259"/>
      <c r="RT4" s="16"/>
      <c r="RU4" s="16" t="s">
        <v>23</v>
      </c>
      <c r="RV4" s="16"/>
      <c r="RW4" s="16"/>
      <c r="RX4" s="16"/>
      <c r="RY4" s="16"/>
      <c r="RZ4" s="259"/>
      <c r="SC4" s="16"/>
      <c r="SD4" s="16" t="s">
        <v>23</v>
      </c>
      <c r="SE4" s="16"/>
      <c r="SF4" s="16"/>
      <c r="SG4" s="16"/>
      <c r="SH4" s="16"/>
      <c r="SI4" s="259"/>
      <c r="SL4" s="16"/>
      <c r="SM4" s="16" t="s">
        <v>23</v>
      </c>
      <c r="SN4" s="16"/>
      <c r="SO4" s="16"/>
      <c r="SP4" s="16"/>
      <c r="SQ4" s="16"/>
      <c r="SR4" s="259"/>
      <c r="SU4" s="16"/>
      <c r="SV4" s="16" t="s">
        <v>23</v>
      </c>
      <c r="SW4" s="16"/>
      <c r="SX4" s="16"/>
      <c r="SY4" s="16"/>
      <c r="SZ4" s="16"/>
      <c r="TA4" s="259"/>
      <c r="TD4" s="16"/>
      <c r="TE4" s="16" t="s">
        <v>23</v>
      </c>
      <c r="TF4" s="16"/>
      <c r="TG4" s="16"/>
      <c r="TH4" s="16"/>
      <c r="TI4" s="16"/>
      <c r="TJ4" s="259"/>
    </row>
    <row r="5" spans="1:531" s="131" customFormat="1" x14ac:dyDescent="0.25">
      <c r="A5" s="303">
        <v>2</v>
      </c>
      <c r="B5" s="133" t="str">
        <f t="shared" ref="B5:I5" si="1">T5</f>
        <v>SEABAORD FOODS</v>
      </c>
      <c r="C5" s="133" t="str">
        <f t="shared" si="1"/>
        <v>Seaboard</v>
      </c>
      <c r="D5" s="196" t="str">
        <f t="shared" si="1"/>
        <v>PED. 5003984</v>
      </c>
      <c r="E5" s="293">
        <f t="shared" si="1"/>
        <v>42279</v>
      </c>
      <c r="F5" s="171">
        <f t="shared" si="1"/>
        <v>19152.57</v>
      </c>
      <c r="G5" s="124">
        <f t="shared" si="1"/>
        <v>21</v>
      </c>
      <c r="H5" s="65">
        <f t="shared" si="1"/>
        <v>19292.900000000001</v>
      </c>
      <c r="I5" s="204">
        <f t="shared" si="1"/>
        <v>-140.33000000000175</v>
      </c>
      <c r="K5" s="133" t="s">
        <v>433</v>
      </c>
      <c r="L5" s="594" t="s">
        <v>209</v>
      </c>
      <c r="M5" s="196" t="s">
        <v>434</v>
      </c>
      <c r="N5" s="293">
        <v>42278</v>
      </c>
      <c r="O5" s="171">
        <v>19095.62</v>
      </c>
      <c r="P5" s="124">
        <v>21</v>
      </c>
      <c r="Q5" s="686">
        <v>19157.8</v>
      </c>
      <c r="R5" s="304">
        <f>O5-Q5</f>
        <v>-62.180000000000291</v>
      </c>
      <c r="T5" s="133" t="s">
        <v>435</v>
      </c>
      <c r="U5" s="411" t="s">
        <v>209</v>
      </c>
      <c r="V5" s="266" t="s">
        <v>436</v>
      </c>
      <c r="W5" s="293">
        <v>42279</v>
      </c>
      <c r="X5" s="171">
        <v>19152.57</v>
      </c>
      <c r="Y5" s="124">
        <v>21</v>
      </c>
      <c r="Z5" s="686">
        <v>19292.900000000001</v>
      </c>
      <c r="AA5" s="304">
        <f>X5-Z5</f>
        <v>-140.33000000000175</v>
      </c>
      <c r="AC5" s="133" t="s">
        <v>437</v>
      </c>
      <c r="AD5" s="595" t="s">
        <v>268</v>
      </c>
      <c r="AE5" s="227" t="s">
        <v>438</v>
      </c>
      <c r="AF5" s="293">
        <v>42280</v>
      </c>
      <c r="AG5" s="171">
        <v>18740.13</v>
      </c>
      <c r="AH5" s="124">
        <v>19</v>
      </c>
      <c r="AI5" s="686">
        <v>18825</v>
      </c>
      <c r="AJ5" s="304">
        <f>AG5-AI5</f>
        <v>-84.869999999998981</v>
      </c>
      <c r="AL5" s="133" t="s">
        <v>44</v>
      </c>
      <c r="AM5" s="373" t="s">
        <v>267</v>
      </c>
      <c r="AN5" s="266" t="s">
        <v>439</v>
      </c>
      <c r="AO5" s="293">
        <v>42280</v>
      </c>
      <c r="AP5" s="171">
        <v>18536.96</v>
      </c>
      <c r="AQ5" s="124">
        <v>20</v>
      </c>
      <c r="AR5" s="712">
        <v>18445.37</v>
      </c>
      <c r="AS5" s="304">
        <f>AP5-AR5</f>
        <v>91.590000000000146</v>
      </c>
      <c r="AU5" s="133" t="s">
        <v>440</v>
      </c>
      <c r="AV5" s="595" t="s">
        <v>441</v>
      </c>
      <c r="AW5" s="266" t="s">
        <v>442</v>
      </c>
      <c r="AX5" s="293">
        <v>42281</v>
      </c>
      <c r="AY5" s="171">
        <v>18980.13</v>
      </c>
      <c r="AZ5" s="124">
        <v>19</v>
      </c>
      <c r="BA5" s="686">
        <v>19046.21</v>
      </c>
      <c r="BB5" s="304">
        <f>AY5-BA5</f>
        <v>-66.079999999998108</v>
      </c>
      <c r="BD5" s="133" t="s">
        <v>43</v>
      </c>
      <c r="BE5" s="411" t="s">
        <v>209</v>
      </c>
      <c r="BF5" s="227" t="s">
        <v>445</v>
      </c>
      <c r="BG5" s="292">
        <v>42281</v>
      </c>
      <c r="BH5" s="171">
        <v>19115.25</v>
      </c>
      <c r="BI5" s="124">
        <v>21</v>
      </c>
      <c r="BJ5" s="686">
        <v>19286.7</v>
      </c>
      <c r="BK5" s="304">
        <f>BH5-BJ5</f>
        <v>-171.45000000000073</v>
      </c>
      <c r="BM5" s="133" t="s">
        <v>44</v>
      </c>
      <c r="BN5" s="373" t="s">
        <v>267</v>
      </c>
      <c r="BO5" s="196" t="s">
        <v>447</v>
      </c>
      <c r="BP5" s="292">
        <v>42283</v>
      </c>
      <c r="BQ5" s="171">
        <v>18610.61</v>
      </c>
      <c r="BR5" s="124">
        <v>20</v>
      </c>
      <c r="BS5" s="686">
        <v>18621.759999999998</v>
      </c>
      <c r="BT5" s="304">
        <f>BQ5-BS5</f>
        <v>-11.149999999997817</v>
      </c>
      <c r="BV5" s="133" t="s">
        <v>44</v>
      </c>
      <c r="BW5" s="373" t="s">
        <v>267</v>
      </c>
      <c r="BX5" s="196" t="s">
        <v>449</v>
      </c>
      <c r="BY5" s="293">
        <v>42283</v>
      </c>
      <c r="BZ5" s="171">
        <v>18431.509999999998</v>
      </c>
      <c r="CA5" s="124">
        <v>20</v>
      </c>
      <c r="CB5" s="686">
        <v>18463.939999999999</v>
      </c>
      <c r="CC5" s="304">
        <f>BZ5-CB5</f>
        <v>-32.430000000000291</v>
      </c>
      <c r="CE5" s="133" t="s">
        <v>44</v>
      </c>
      <c r="CF5" s="373" t="s">
        <v>267</v>
      </c>
      <c r="CG5" s="196" t="s">
        <v>450</v>
      </c>
      <c r="CH5" s="293">
        <v>42284</v>
      </c>
      <c r="CI5" s="171">
        <v>18301.060000000001</v>
      </c>
      <c r="CJ5" s="124">
        <v>20</v>
      </c>
      <c r="CK5" s="686">
        <v>18480.27</v>
      </c>
      <c r="CL5" s="304">
        <f>CI5-CK5</f>
        <v>-179.20999999999913</v>
      </c>
      <c r="CN5" s="133" t="s">
        <v>43</v>
      </c>
      <c r="CO5" s="411" t="s">
        <v>209</v>
      </c>
      <c r="CP5" s="196" t="s">
        <v>451</v>
      </c>
      <c r="CQ5" s="293">
        <v>42285</v>
      </c>
      <c r="CR5" s="171">
        <v>19290.2</v>
      </c>
      <c r="CS5" s="124">
        <v>21</v>
      </c>
      <c r="CT5" s="686">
        <v>19349.3</v>
      </c>
      <c r="CU5" s="304">
        <f>CR5-CT5</f>
        <v>-59.099999999998545</v>
      </c>
      <c r="CW5" s="133" t="s">
        <v>452</v>
      </c>
      <c r="CX5" s="595" t="s">
        <v>268</v>
      </c>
      <c r="CY5" s="266" t="s">
        <v>453</v>
      </c>
      <c r="CZ5" s="293">
        <v>42287</v>
      </c>
      <c r="DA5" s="171">
        <v>18980.13</v>
      </c>
      <c r="DB5" s="124">
        <v>19</v>
      </c>
      <c r="DC5" s="686">
        <v>19031</v>
      </c>
      <c r="DD5" s="304">
        <f>DA5-DC5</f>
        <v>-50.869999999998981</v>
      </c>
      <c r="DF5" s="133" t="s">
        <v>43</v>
      </c>
      <c r="DG5" s="411" t="s">
        <v>209</v>
      </c>
      <c r="DH5" s="227" t="s">
        <v>454</v>
      </c>
      <c r="DI5" s="292">
        <v>42286</v>
      </c>
      <c r="DJ5" s="171">
        <v>18429.23</v>
      </c>
      <c r="DK5" s="124">
        <v>20</v>
      </c>
      <c r="DL5" s="686">
        <v>18383.099999999999</v>
      </c>
      <c r="DM5" s="304">
        <f>DJ5-DL5</f>
        <v>46.130000000001019</v>
      </c>
      <c r="DO5" s="133" t="s">
        <v>43</v>
      </c>
      <c r="DP5" s="411" t="s">
        <v>209</v>
      </c>
      <c r="DQ5" s="196" t="s">
        <v>455</v>
      </c>
      <c r="DR5" s="292">
        <v>42287</v>
      </c>
      <c r="DS5" s="171">
        <v>19185.830000000002</v>
      </c>
      <c r="DT5" s="124">
        <v>21</v>
      </c>
      <c r="DU5" s="686">
        <v>19305</v>
      </c>
      <c r="DV5" s="304">
        <f>DS5-DU5</f>
        <v>-119.16999999999825</v>
      </c>
      <c r="DX5" s="133" t="s">
        <v>456</v>
      </c>
      <c r="DY5" s="124" t="s">
        <v>57</v>
      </c>
      <c r="DZ5" s="196" t="s">
        <v>457</v>
      </c>
      <c r="EA5" s="292">
        <v>42287</v>
      </c>
      <c r="EB5" s="171">
        <v>18920.61</v>
      </c>
      <c r="EC5" s="124">
        <v>20</v>
      </c>
      <c r="ED5" s="686">
        <v>18999.55</v>
      </c>
      <c r="EE5" s="304">
        <f>EB5-ED5</f>
        <v>-78.93999999999869</v>
      </c>
      <c r="EG5" s="133" t="s">
        <v>458</v>
      </c>
      <c r="EH5" s="595" t="s">
        <v>268</v>
      </c>
      <c r="EI5" s="227" t="s">
        <v>459</v>
      </c>
      <c r="EJ5" s="292">
        <v>42288</v>
      </c>
      <c r="EK5" s="171">
        <v>18668.669999999998</v>
      </c>
      <c r="EL5" s="124">
        <v>19</v>
      </c>
      <c r="EM5" s="725">
        <v>18771</v>
      </c>
      <c r="EN5" s="304">
        <f>EK5-EM5</f>
        <v>-102.33000000000175</v>
      </c>
      <c r="EP5" s="133" t="s">
        <v>357</v>
      </c>
      <c r="EQ5" s="659" t="s">
        <v>461</v>
      </c>
      <c r="ER5" s="227" t="s">
        <v>460</v>
      </c>
      <c r="ES5" s="292">
        <v>42289</v>
      </c>
      <c r="ET5" s="171">
        <v>18848.34</v>
      </c>
      <c r="EU5" s="124">
        <v>21</v>
      </c>
      <c r="EV5" s="725">
        <v>18819.400000000001</v>
      </c>
      <c r="EW5" s="304">
        <f>ET5-EV5</f>
        <v>28.93999999999869</v>
      </c>
      <c r="EY5" s="133" t="s">
        <v>44</v>
      </c>
      <c r="EZ5" s="622" t="s">
        <v>57</v>
      </c>
      <c r="FA5" s="227" t="s">
        <v>466</v>
      </c>
      <c r="FB5" s="292">
        <v>42290</v>
      </c>
      <c r="FC5" s="171">
        <v>18368.28</v>
      </c>
      <c r="FD5" s="124">
        <v>20</v>
      </c>
      <c r="FE5" s="686">
        <v>18323.8</v>
      </c>
      <c r="FF5" s="304">
        <f>FC5-FE5</f>
        <v>44.479999999999563</v>
      </c>
      <c r="FH5" s="133" t="s">
        <v>44</v>
      </c>
      <c r="FI5" s="622" t="s">
        <v>57</v>
      </c>
      <c r="FJ5" s="196" t="s">
        <v>467</v>
      </c>
      <c r="FK5" s="292">
        <v>42290</v>
      </c>
      <c r="FL5" s="171">
        <v>19252.41</v>
      </c>
      <c r="FM5" s="124">
        <v>21</v>
      </c>
      <c r="FN5" s="686">
        <v>19165.89</v>
      </c>
      <c r="FO5" s="304">
        <f>FL5-FN5</f>
        <v>86.520000000000437</v>
      </c>
      <c r="FQ5" s="133" t="s">
        <v>44</v>
      </c>
      <c r="FR5" s="622" t="s">
        <v>57</v>
      </c>
      <c r="FS5" s="266" t="s">
        <v>468</v>
      </c>
      <c r="FT5" s="292">
        <v>42291</v>
      </c>
      <c r="FU5" s="171">
        <v>18452.419999999998</v>
      </c>
      <c r="FV5" s="124">
        <v>20</v>
      </c>
      <c r="FW5" s="686">
        <v>18479.37</v>
      </c>
      <c r="FX5" s="304">
        <f>FU5-FW5</f>
        <v>-26.950000000000728</v>
      </c>
      <c r="FZ5" s="133" t="s">
        <v>357</v>
      </c>
      <c r="GA5" s="650" t="s">
        <v>469</v>
      </c>
      <c r="GB5" s="227" t="s">
        <v>470</v>
      </c>
      <c r="GC5" s="292">
        <v>42291</v>
      </c>
      <c r="GD5" s="171">
        <v>18754.669999999998</v>
      </c>
      <c r="GE5" s="124">
        <v>21</v>
      </c>
      <c r="GF5" s="725">
        <v>18813.2</v>
      </c>
      <c r="GG5" s="304">
        <f>GD5-GF5</f>
        <v>-58.530000000002474</v>
      </c>
      <c r="GI5" s="133" t="s">
        <v>43</v>
      </c>
      <c r="GJ5" s="411" t="s">
        <v>209</v>
      </c>
      <c r="GK5" s="227" t="s">
        <v>471</v>
      </c>
      <c r="GL5" s="293">
        <v>42292</v>
      </c>
      <c r="GM5" s="171">
        <v>19335.14</v>
      </c>
      <c r="GN5" s="124">
        <v>21</v>
      </c>
      <c r="GO5" s="686">
        <v>19420.8</v>
      </c>
      <c r="GP5" s="304">
        <f>GM5-GO5</f>
        <v>-85.659999999999854</v>
      </c>
      <c r="GR5" s="133" t="s">
        <v>350</v>
      </c>
      <c r="GS5" s="595" t="s">
        <v>268</v>
      </c>
      <c r="GT5" s="196" t="s">
        <v>472</v>
      </c>
      <c r="GU5" s="293">
        <v>42293</v>
      </c>
      <c r="GV5" s="171">
        <v>18389.2</v>
      </c>
      <c r="GW5" s="124">
        <v>20</v>
      </c>
      <c r="GX5" s="686">
        <v>18464.5</v>
      </c>
      <c r="GY5" s="304">
        <f>GV5-GX5</f>
        <v>-75.299999999999272</v>
      </c>
      <c r="HA5" s="133" t="s">
        <v>43</v>
      </c>
      <c r="HB5" s="411" t="s">
        <v>209</v>
      </c>
      <c r="HC5" s="227" t="s">
        <v>475</v>
      </c>
      <c r="HD5" s="293">
        <v>42293</v>
      </c>
      <c r="HE5" s="171">
        <v>19316.63</v>
      </c>
      <c r="HF5" s="124">
        <v>21</v>
      </c>
      <c r="HG5" s="686">
        <v>19428.2</v>
      </c>
      <c r="HH5" s="304">
        <f>HE5-HG5</f>
        <v>-111.56999999999971</v>
      </c>
      <c r="HJ5" s="133" t="s">
        <v>357</v>
      </c>
      <c r="HK5" s="411" t="s">
        <v>209</v>
      </c>
      <c r="HL5" s="227" t="s">
        <v>476</v>
      </c>
      <c r="HM5" s="293">
        <v>42293</v>
      </c>
      <c r="HN5" s="171">
        <v>19400.61</v>
      </c>
      <c r="HO5" s="124">
        <v>21</v>
      </c>
      <c r="HP5" s="686">
        <v>19471.7</v>
      </c>
      <c r="HQ5" s="304">
        <f>HN5-HP5</f>
        <v>-71.090000000000146</v>
      </c>
      <c r="HS5" s="133" t="s">
        <v>437</v>
      </c>
      <c r="HT5" s="660" t="s">
        <v>268</v>
      </c>
      <c r="HU5" s="227" t="s">
        <v>477</v>
      </c>
      <c r="HV5" s="293">
        <v>42294</v>
      </c>
      <c r="HW5" s="171">
        <v>17895.990000000002</v>
      </c>
      <c r="HX5" s="124">
        <v>19</v>
      </c>
      <c r="HY5" s="686">
        <v>17974</v>
      </c>
      <c r="HZ5" s="304">
        <f>HW5-HY5</f>
        <v>-78.009999999998399</v>
      </c>
      <c r="IB5" s="133" t="s">
        <v>43</v>
      </c>
      <c r="IC5" s="411" t="s">
        <v>209</v>
      </c>
      <c r="ID5" s="227" t="s">
        <v>478</v>
      </c>
      <c r="IE5" s="293">
        <v>42294</v>
      </c>
      <c r="IF5" s="171">
        <v>19242.919999999998</v>
      </c>
      <c r="IG5" s="124">
        <v>21</v>
      </c>
      <c r="IH5" s="65">
        <v>19322.400000000001</v>
      </c>
      <c r="II5" s="304">
        <f>IF5-IH5</f>
        <v>-79.480000000003201</v>
      </c>
      <c r="IK5" s="273" t="s">
        <v>44</v>
      </c>
      <c r="IL5" s="622" t="s">
        <v>57</v>
      </c>
      <c r="IM5" s="196" t="s">
        <v>479</v>
      </c>
      <c r="IN5" s="293">
        <v>42294</v>
      </c>
      <c r="IO5" s="171">
        <v>18371.97</v>
      </c>
      <c r="IP5" s="124">
        <v>20</v>
      </c>
      <c r="IQ5" s="686">
        <v>18476.48</v>
      </c>
      <c r="IR5" s="304">
        <f>IO5-IQ5</f>
        <v>-104.5099999999984</v>
      </c>
      <c r="IT5" s="133" t="s">
        <v>357</v>
      </c>
      <c r="IU5" s="650" t="s">
        <v>461</v>
      </c>
      <c r="IV5" s="196" t="s">
        <v>480</v>
      </c>
      <c r="IW5" s="293">
        <v>42296</v>
      </c>
      <c r="IX5" s="171">
        <v>19314.73</v>
      </c>
      <c r="IY5" s="124">
        <v>22</v>
      </c>
      <c r="IZ5" s="686">
        <v>19180.2</v>
      </c>
      <c r="JA5" s="304">
        <f>IX5-IZ5</f>
        <v>134.52999999999884</v>
      </c>
      <c r="JC5" s="133" t="s">
        <v>458</v>
      </c>
      <c r="JD5" s="595" t="s">
        <v>268</v>
      </c>
      <c r="JE5" s="266" t="s">
        <v>483</v>
      </c>
      <c r="JF5" s="293">
        <v>42297</v>
      </c>
      <c r="JG5" s="171">
        <v>19090.13</v>
      </c>
      <c r="JH5" s="124">
        <v>19</v>
      </c>
      <c r="JI5" s="686">
        <v>19090</v>
      </c>
      <c r="JJ5" s="304">
        <f>JG5-JI5</f>
        <v>0.13000000000101863</v>
      </c>
      <c r="JL5" s="133" t="s">
        <v>484</v>
      </c>
      <c r="JM5" s="595" t="s">
        <v>441</v>
      </c>
      <c r="JN5" s="227" t="s">
        <v>485</v>
      </c>
      <c r="JO5" s="292">
        <v>42297</v>
      </c>
      <c r="JP5" s="171">
        <v>18860.13</v>
      </c>
      <c r="JQ5" s="124">
        <v>19</v>
      </c>
      <c r="JR5" s="686">
        <v>18878</v>
      </c>
      <c r="JS5" s="304">
        <f>JP5-JR5</f>
        <v>-17.869999999998981</v>
      </c>
      <c r="JU5" s="133" t="s">
        <v>44</v>
      </c>
      <c r="JV5" s="622" t="s">
        <v>57</v>
      </c>
      <c r="JW5" s="196" t="s">
        <v>486</v>
      </c>
      <c r="JX5" s="292">
        <v>42297</v>
      </c>
      <c r="JY5" s="171">
        <v>17981.060000000001</v>
      </c>
      <c r="JZ5" s="124">
        <v>20</v>
      </c>
      <c r="KA5" s="686">
        <v>18024.47</v>
      </c>
      <c r="KB5" s="304">
        <f>JY5-KA5</f>
        <v>-43.409999999999854</v>
      </c>
      <c r="KD5" s="273" t="s">
        <v>44</v>
      </c>
      <c r="KE5" s="622" t="s">
        <v>57</v>
      </c>
      <c r="KF5" s="196" t="s">
        <v>487</v>
      </c>
      <c r="KG5" s="293">
        <v>42298</v>
      </c>
      <c r="KH5" s="171">
        <v>18173.330000000002</v>
      </c>
      <c r="KI5" s="124">
        <v>20</v>
      </c>
      <c r="KJ5" s="686">
        <v>18062.12</v>
      </c>
      <c r="KK5" s="304">
        <f>KH5-KJ5</f>
        <v>111.21000000000276</v>
      </c>
      <c r="KM5" s="273" t="s">
        <v>44</v>
      </c>
      <c r="KN5" s="622" t="s">
        <v>57</v>
      </c>
      <c r="KO5" s="196" t="s">
        <v>488</v>
      </c>
      <c r="KP5" s="293">
        <v>42298</v>
      </c>
      <c r="KQ5" s="171">
        <v>18177.86</v>
      </c>
      <c r="KR5" s="124">
        <v>20</v>
      </c>
      <c r="KS5" s="686">
        <v>18201.849999999999</v>
      </c>
      <c r="KT5" s="304">
        <f>KQ5-KS5</f>
        <v>-23.989999999997963</v>
      </c>
      <c r="KV5" s="133" t="s">
        <v>433</v>
      </c>
      <c r="KW5" s="411" t="s">
        <v>209</v>
      </c>
      <c r="KX5" s="227" t="s">
        <v>492</v>
      </c>
      <c r="KY5" s="293">
        <v>42299</v>
      </c>
      <c r="KZ5" s="171">
        <v>19386.05</v>
      </c>
      <c r="LA5" s="124">
        <v>21</v>
      </c>
      <c r="LB5" s="686">
        <v>19447.7</v>
      </c>
      <c r="LC5" s="304">
        <f>KZ5-LB5</f>
        <v>-61.650000000001455</v>
      </c>
      <c r="LE5" s="273" t="s">
        <v>43</v>
      </c>
      <c r="LF5" s="411" t="s">
        <v>209</v>
      </c>
      <c r="LG5" s="196" t="s">
        <v>493</v>
      </c>
      <c r="LH5" s="293">
        <v>42300</v>
      </c>
      <c r="LI5" s="171">
        <v>19269.27</v>
      </c>
      <c r="LJ5" s="124">
        <v>21</v>
      </c>
      <c r="LK5" s="686">
        <v>19372.3</v>
      </c>
      <c r="LL5" s="304">
        <f>LI5-LK5</f>
        <v>-103.02999999999884</v>
      </c>
      <c r="LN5" s="133" t="s">
        <v>44</v>
      </c>
      <c r="LO5" s="373" t="s">
        <v>267</v>
      </c>
      <c r="LP5" s="196" t="s">
        <v>495</v>
      </c>
      <c r="LQ5" s="293">
        <v>42301</v>
      </c>
      <c r="LR5" s="171">
        <v>18635.14</v>
      </c>
      <c r="LS5" s="124">
        <v>20</v>
      </c>
      <c r="LT5" s="65">
        <v>18617.32</v>
      </c>
      <c r="LU5" s="304">
        <f>LR5-LT5</f>
        <v>17.819999999999709</v>
      </c>
      <c r="LW5" s="133" t="s">
        <v>43</v>
      </c>
      <c r="LX5" s="514" t="s">
        <v>209</v>
      </c>
      <c r="LY5" s="196" t="s">
        <v>496</v>
      </c>
      <c r="LZ5" s="293">
        <v>42301</v>
      </c>
      <c r="MA5" s="171">
        <v>19238.919999999998</v>
      </c>
      <c r="MB5" s="124">
        <v>21</v>
      </c>
      <c r="MC5" s="686">
        <v>19296.900000000001</v>
      </c>
      <c r="MD5" s="304">
        <f>MA5-MC5</f>
        <v>-57.980000000003201</v>
      </c>
      <c r="MF5" s="133" t="s">
        <v>44</v>
      </c>
      <c r="MG5" s="622" t="s">
        <v>57</v>
      </c>
      <c r="MH5" s="227" t="s">
        <v>498</v>
      </c>
      <c r="MI5" s="293">
        <v>42304</v>
      </c>
      <c r="MJ5" s="171">
        <v>18331.97</v>
      </c>
      <c r="MK5" s="124">
        <v>20</v>
      </c>
      <c r="ML5" s="686">
        <v>18339.66</v>
      </c>
      <c r="MM5" s="304">
        <f>MJ5-ML5</f>
        <v>-7.6899999999986903</v>
      </c>
      <c r="MO5" s="133" t="s">
        <v>359</v>
      </c>
      <c r="MP5" s="622" t="s">
        <v>57</v>
      </c>
      <c r="MQ5" s="196" t="s">
        <v>499</v>
      </c>
      <c r="MR5" s="293">
        <v>42304</v>
      </c>
      <c r="MS5" s="171">
        <v>18501.97</v>
      </c>
      <c r="MT5" s="124">
        <v>20</v>
      </c>
      <c r="MU5" s="686">
        <v>18518.349999999999</v>
      </c>
      <c r="MV5" s="304">
        <f>MS5-MU5</f>
        <v>-16.379999999997381</v>
      </c>
      <c r="MW5" s="133"/>
      <c r="MX5" s="133" t="s">
        <v>44</v>
      </c>
      <c r="MY5" s="622" t="s">
        <v>508</v>
      </c>
      <c r="MZ5" s="196" t="s">
        <v>509</v>
      </c>
      <c r="NA5" s="292">
        <v>42305</v>
      </c>
      <c r="NB5" s="171">
        <v>18197.41</v>
      </c>
      <c r="NC5" s="124">
        <v>20</v>
      </c>
      <c r="ND5" s="686">
        <v>18216.78</v>
      </c>
      <c r="NE5" s="304">
        <f>NB5-ND5</f>
        <v>-19.369999999998981</v>
      </c>
      <c r="NG5" s="133" t="s">
        <v>43</v>
      </c>
      <c r="NH5" s="411" t="s">
        <v>209</v>
      </c>
      <c r="NI5" s="196" t="s">
        <v>510</v>
      </c>
      <c r="NJ5" s="293">
        <v>42306</v>
      </c>
      <c r="NK5" s="171">
        <v>19259.310000000001</v>
      </c>
      <c r="NL5" s="124">
        <v>21</v>
      </c>
      <c r="NM5" s="686">
        <v>19349.5</v>
      </c>
      <c r="NN5" s="304">
        <f>NK5-NM5</f>
        <v>-90.18999999999869</v>
      </c>
      <c r="NP5" s="133" t="s">
        <v>43</v>
      </c>
      <c r="NQ5" s="411" t="s">
        <v>511</v>
      </c>
      <c r="NR5" s="196" t="s">
        <v>512</v>
      </c>
      <c r="NS5" s="292">
        <v>42307</v>
      </c>
      <c r="NT5" s="171">
        <v>19288.36</v>
      </c>
      <c r="NU5" s="124">
        <v>21</v>
      </c>
      <c r="NV5" s="686">
        <v>19317.599999999999</v>
      </c>
      <c r="NW5" s="304">
        <f>NT5-NV5</f>
        <v>-29.239999999997963</v>
      </c>
      <c r="NY5" s="133" t="s">
        <v>44</v>
      </c>
      <c r="NZ5" s="124" t="s">
        <v>57</v>
      </c>
      <c r="OA5" s="196" t="s">
        <v>513</v>
      </c>
      <c r="OB5" s="293">
        <v>42307</v>
      </c>
      <c r="OC5" s="171">
        <v>18478.84</v>
      </c>
      <c r="OD5" s="124">
        <v>20</v>
      </c>
      <c r="OE5" s="686">
        <v>18575.98</v>
      </c>
      <c r="OF5" s="304">
        <f>OC5-OE5</f>
        <v>-97.139999999999418</v>
      </c>
      <c r="OH5" s="133" t="s">
        <v>502</v>
      </c>
      <c r="OI5" s="373" t="s">
        <v>267</v>
      </c>
      <c r="OJ5" s="196" t="s">
        <v>503</v>
      </c>
      <c r="OK5" s="292">
        <v>42308</v>
      </c>
      <c r="OL5" s="171">
        <v>18298.32</v>
      </c>
      <c r="OM5" s="124">
        <v>20</v>
      </c>
      <c r="ON5" s="65">
        <v>18397.28</v>
      </c>
      <c r="OO5" s="304">
        <f>OL5-ON5</f>
        <v>-98.959999999999127</v>
      </c>
      <c r="OQ5" s="133" t="s">
        <v>437</v>
      </c>
      <c r="OR5" s="595" t="s">
        <v>268</v>
      </c>
      <c r="OS5" s="196" t="s">
        <v>504</v>
      </c>
      <c r="OT5" s="293">
        <v>42308</v>
      </c>
      <c r="OU5" s="171">
        <v>18480.13</v>
      </c>
      <c r="OV5" s="124">
        <v>19</v>
      </c>
      <c r="OW5" s="65">
        <v>18600</v>
      </c>
      <c r="OX5" s="304">
        <f>OU5-OW5</f>
        <v>-119.86999999999898</v>
      </c>
      <c r="OZ5" s="133" t="s">
        <v>43</v>
      </c>
      <c r="PA5" s="413" t="s">
        <v>209</v>
      </c>
      <c r="PB5" s="196" t="s">
        <v>514</v>
      </c>
      <c r="PC5" s="293">
        <v>42308</v>
      </c>
      <c r="PD5" s="171">
        <v>19173.099999999999</v>
      </c>
      <c r="PE5" s="124">
        <v>21</v>
      </c>
      <c r="PF5" s="686">
        <v>19292.5</v>
      </c>
      <c r="PG5" s="304">
        <f>PD5-PF5</f>
        <v>-119.40000000000146</v>
      </c>
      <c r="PI5" s="133"/>
      <c r="PJ5" s="413"/>
      <c r="PK5" s="196"/>
      <c r="PL5" s="292"/>
      <c r="PM5" s="171"/>
      <c r="PN5" s="124"/>
      <c r="PO5" s="65"/>
      <c r="PP5" s="304">
        <f>PM5-PO5</f>
        <v>0</v>
      </c>
      <c r="PR5" s="133"/>
      <c r="PS5" s="413"/>
      <c r="PT5" s="196"/>
      <c r="PU5" s="293"/>
      <c r="PV5" s="171"/>
      <c r="PW5" s="124"/>
      <c r="PX5" s="65"/>
      <c r="PY5" s="304">
        <f>PV5-PX5</f>
        <v>0</v>
      </c>
      <c r="QA5" s="133"/>
      <c r="QB5" s="297"/>
      <c r="QC5" s="196"/>
      <c r="QD5" s="293"/>
      <c r="QE5" s="171"/>
      <c r="QF5" s="124"/>
      <c r="QG5" s="65"/>
      <c r="QH5" s="304">
        <f>QE5-QG5</f>
        <v>0</v>
      </c>
      <c r="QJ5" s="133"/>
      <c r="QK5" s="297"/>
      <c r="QL5" s="196"/>
      <c r="QM5" s="292"/>
      <c r="QN5" s="171"/>
      <c r="QO5" s="124"/>
      <c r="QP5" s="65"/>
      <c r="QQ5" s="304">
        <f>QN5-QP5</f>
        <v>0</v>
      </c>
      <c r="QS5" s="133"/>
      <c r="QT5" s="413"/>
      <c r="QU5" s="196"/>
      <c r="QV5" s="292"/>
      <c r="QW5" s="171"/>
      <c r="QX5" s="124"/>
      <c r="QY5" s="65"/>
      <c r="QZ5" s="304">
        <f>QW5-QY5</f>
        <v>0</v>
      </c>
      <c r="RB5" s="273"/>
      <c r="RC5" s="414"/>
      <c r="RD5" s="196"/>
      <c r="RE5" s="292"/>
      <c r="RF5" s="171"/>
      <c r="RG5" s="124"/>
      <c r="RH5" s="65"/>
      <c r="RI5" s="304">
        <f>RF5-RH5</f>
        <v>0</v>
      </c>
      <c r="RK5" s="133"/>
      <c r="RL5" s="297"/>
      <c r="RM5" s="196"/>
      <c r="RN5" s="293"/>
      <c r="RO5" s="171"/>
      <c r="RP5" s="124"/>
      <c r="RQ5" s="65"/>
      <c r="RR5" s="304">
        <f>RO5-RQ5</f>
        <v>0</v>
      </c>
      <c r="RT5" s="133"/>
      <c r="RU5" s="297"/>
      <c r="RV5" s="196"/>
      <c r="RW5" s="292"/>
      <c r="RX5" s="171"/>
      <c r="RY5" s="124"/>
      <c r="RZ5" s="65"/>
      <c r="SA5" s="304">
        <f>RX5-RZ5</f>
        <v>0</v>
      </c>
      <c r="SC5" s="133"/>
      <c r="SD5" s="297"/>
      <c r="SE5" s="196"/>
      <c r="SF5" s="293"/>
      <c r="SG5" s="171"/>
      <c r="SH5" s="124"/>
      <c r="SI5" s="65"/>
      <c r="SJ5" s="304">
        <f>SG5-SI5</f>
        <v>0</v>
      </c>
      <c r="SL5" s="133"/>
      <c r="SM5" s="297"/>
      <c r="SN5" s="196"/>
      <c r="SO5" s="292"/>
      <c r="SP5" s="171"/>
      <c r="SQ5" s="124"/>
      <c r="SR5" s="65"/>
      <c r="SS5" s="304">
        <f>SP5-SR5</f>
        <v>0</v>
      </c>
      <c r="SU5" s="133"/>
      <c r="SV5" s="297"/>
      <c r="SW5" s="196"/>
      <c r="SX5" s="292"/>
      <c r="SY5" s="171"/>
      <c r="SZ5" s="124"/>
      <c r="TA5" s="65"/>
      <c r="TB5" s="304">
        <f>SY5-TA5</f>
        <v>0</v>
      </c>
      <c r="TD5" s="133"/>
      <c r="TE5" s="297"/>
      <c r="TF5" s="196"/>
      <c r="TG5" s="292"/>
      <c r="TH5" s="171"/>
      <c r="TI5" s="124"/>
      <c r="TJ5" s="65"/>
      <c r="TK5" s="304">
        <f>TH5-TJ5</f>
        <v>0</v>
      </c>
    </row>
    <row r="6" spans="1:531" ht="16.5" thickBot="1" x14ac:dyDescent="0.3">
      <c r="A6" s="25">
        <v>3</v>
      </c>
      <c r="B6" s="130" t="str">
        <f t="shared" ref="B6:I6" si="2">AC5</f>
        <v>INDIANA PACKERS Co</v>
      </c>
      <c r="C6" s="130" t="str">
        <f t="shared" si="2"/>
        <v>INDIANA</v>
      </c>
      <c r="D6" s="74" t="str">
        <f t="shared" si="2"/>
        <v>PED. 5003991</v>
      </c>
      <c r="E6" s="243">
        <f t="shared" si="2"/>
        <v>42280</v>
      </c>
      <c r="F6" s="77">
        <f t="shared" si="2"/>
        <v>18740.13</v>
      </c>
      <c r="G6" s="15">
        <f t="shared" si="2"/>
        <v>19</v>
      </c>
      <c r="H6" s="65">
        <f t="shared" si="2"/>
        <v>18825</v>
      </c>
      <c r="I6" s="18">
        <f t="shared" si="2"/>
        <v>-84.869999999998981</v>
      </c>
      <c r="K6" s="16"/>
      <c r="L6" s="16"/>
      <c r="M6" s="16"/>
      <c r="N6" s="16"/>
      <c r="O6" s="16"/>
      <c r="P6" s="16"/>
      <c r="Q6" s="16"/>
      <c r="T6" s="16"/>
      <c r="U6" s="16"/>
      <c r="V6" s="16"/>
      <c r="W6" s="16"/>
      <c r="X6" s="16"/>
      <c r="Y6" s="16"/>
      <c r="Z6" s="124"/>
      <c r="AC6" s="16"/>
      <c r="AD6" s="189"/>
      <c r="AE6" s="16"/>
      <c r="AF6" s="16"/>
      <c r="AG6" s="16"/>
      <c r="AH6" s="16"/>
      <c r="AI6" s="124"/>
      <c r="AL6" s="16"/>
      <c r="AM6" s="16"/>
      <c r="AN6" s="16"/>
      <c r="AO6" s="16"/>
      <c r="AP6" s="16"/>
      <c r="AQ6" s="16"/>
      <c r="AR6" s="124"/>
      <c r="AU6" s="16"/>
      <c r="AV6" s="72"/>
      <c r="AW6" s="16"/>
      <c r="AX6" s="16"/>
      <c r="AY6" s="16"/>
      <c r="AZ6" s="16"/>
      <c r="BA6" s="124"/>
      <c r="BD6" s="16"/>
      <c r="BE6" s="16"/>
      <c r="BF6" s="16"/>
      <c r="BG6" s="16"/>
      <c r="BH6" s="16"/>
      <c r="BI6" s="16"/>
      <c r="BJ6" s="124"/>
      <c r="BM6" s="16"/>
      <c r="BN6" s="16"/>
      <c r="BO6" s="16"/>
      <c r="BP6" s="16"/>
      <c r="BQ6" s="16"/>
      <c r="BR6" s="16"/>
      <c r="BS6" s="124"/>
      <c r="BV6" s="16"/>
      <c r="BW6" s="16"/>
      <c r="BX6" s="16"/>
      <c r="BY6" s="16"/>
      <c r="BZ6" s="16"/>
      <c r="CA6" s="16"/>
      <c r="CB6" s="124"/>
      <c r="CE6" s="16"/>
      <c r="CF6" s="16"/>
      <c r="CG6" s="16"/>
      <c r="CH6" s="16"/>
      <c r="CI6" s="16"/>
      <c r="CJ6" s="16"/>
      <c r="CK6" s="124"/>
      <c r="CN6" s="16"/>
      <c r="CO6" s="16"/>
      <c r="CP6" s="16"/>
      <c r="CQ6" s="16"/>
      <c r="CR6" s="16"/>
      <c r="CS6" s="16"/>
      <c r="CT6" s="124"/>
      <c r="CW6" s="16"/>
      <c r="CX6" s="16"/>
      <c r="CY6" s="16"/>
      <c r="CZ6" s="16"/>
      <c r="DA6" s="16"/>
      <c r="DB6" s="16"/>
      <c r="DC6" s="124"/>
      <c r="DF6" s="16"/>
      <c r="DG6" s="16"/>
      <c r="DH6" s="16"/>
      <c r="DI6" s="16"/>
      <c r="DJ6" s="16"/>
      <c r="DK6" s="16"/>
      <c r="DL6" s="124"/>
      <c r="DO6" s="16"/>
      <c r="DP6" s="16"/>
      <c r="DQ6" s="16"/>
      <c r="DR6" s="16"/>
      <c r="DS6" s="16"/>
      <c r="DT6" s="16"/>
      <c r="DU6" s="124"/>
      <c r="DX6" s="16"/>
      <c r="DY6" s="16"/>
      <c r="DZ6" s="16"/>
      <c r="EA6" s="16"/>
      <c r="EB6" s="16"/>
      <c r="EC6" s="16"/>
      <c r="ED6" s="124"/>
      <c r="EG6" s="16"/>
      <c r="EH6" s="16"/>
      <c r="EI6" s="16"/>
      <c r="EJ6" s="16"/>
      <c r="EK6" s="16"/>
      <c r="EL6" s="16"/>
      <c r="EM6" s="124"/>
      <c r="EP6" s="16"/>
      <c r="EQ6" s="16"/>
      <c r="ER6" s="16"/>
      <c r="ES6" s="16"/>
      <c r="ET6" s="16"/>
      <c r="EU6" s="16"/>
      <c r="EV6" s="124"/>
      <c r="EY6" s="16"/>
      <c r="EZ6" s="16"/>
      <c r="FA6" s="16"/>
      <c r="FB6" s="16"/>
      <c r="FC6" s="16"/>
      <c r="FD6" s="16"/>
      <c r="FE6" s="124"/>
      <c r="FH6" s="16"/>
      <c r="FI6" s="16"/>
      <c r="FJ6" s="16"/>
      <c r="FK6" s="16"/>
      <c r="FL6" s="16"/>
      <c r="FM6" s="16"/>
      <c r="FN6" s="124"/>
      <c r="FQ6" s="16"/>
      <c r="FR6" s="16"/>
      <c r="FS6" s="16"/>
      <c r="FT6" s="16"/>
      <c r="FU6" s="16"/>
      <c r="FV6" s="16"/>
      <c r="FW6" s="124"/>
      <c r="FZ6" s="16"/>
      <c r="GA6" s="16"/>
      <c r="GB6" s="16"/>
      <c r="GC6" s="16"/>
      <c r="GD6" s="16"/>
      <c r="GE6" s="16"/>
      <c r="GF6" s="124"/>
      <c r="GI6" s="133"/>
      <c r="GJ6" s="16"/>
      <c r="GK6" s="16"/>
      <c r="GL6" s="16"/>
      <c r="GM6" s="16"/>
      <c r="GN6" s="16"/>
      <c r="GO6" s="124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24"/>
      <c r="HH6" s="16"/>
      <c r="HJ6" s="133"/>
      <c r="HK6" s="133"/>
      <c r="HL6" s="16"/>
      <c r="HM6" s="16"/>
      <c r="HN6" s="16"/>
      <c r="HO6" s="16"/>
      <c r="HP6" s="124"/>
      <c r="HS6" s="133"/>
      <c r="HT6" s="133"/>
      <c r="HU6" s="16"/>
      <c r="HV6" s="16"/>
      <c r="HW6" s="16"/>
      <c r="HX6" s="16"/>
      <c r="HY6" s="124"/>
      <c r="IB6" s="133"/>
      <c r="IC6" s="133"/>
      <c r="ID6" s="16"/>
      <c r="IE6" s="16"/>
      <c r="IF6" s="16"/>
      <c r="IG6" s="16"/>
      <c r="IH6" s="124"/>
      <c r="IK6" s="16"/>
      <c r="IL6" s="16"/>
      <c r="IM6" s="16"/>
      <c r="IN6" s="16"/>
      <c r="IO6" s="16"/>
      <c r="IP6" s="16"/>
      <c r="IQ6" s="124"/>
      <c r="IR6" s="16"/>
      <c r="IT6" s="16"/>
      <c r="IU6" s="16"/>
      <c r="IV6" s="16"/>
      <c r="IW6" s="16"/>
      <c r="IX6" s="16"/>
      <c r="IY6" s="16"/>
      <c r="IZ6" s="124"/>
      <c r="JC6" s="16"/>
      <c r="JD6" s="16"/>
      <c r="JE6" s="16"/>
      <c r="JF6" s="16"/>
      <c r="JG6" s="16"/>
      <c r="JH6" s="16"/>
      <c r="JI6" s="124"/>
      <c r="JL6" s="16"/>
      <c r="JM6" s="16"/>
      <c r="JN6" s="16"/>
      <c r="JO6" s="16"/>
      <c r="JP6" s="16"/>
      <c r="JQ6" s="16"/>
      <c r="JR6" s="124"/>
      <c r="JU6" s="16"/>
      <c r="JV6" s="16"/>
      <c r="JW6" s="16"/>
      <c r="JX6" s="16"/>
      <c r="JY6" s="16"/>
      <c r="JZ6" s="16"/>
      <c r="KA6" s="124"/>
      <c r="KD6" s="16"/>
      <c r="KE6" s="16"/>
      <c r="KF6" s="16"/>
      <c r="KG6" s="16"/>
      <c r="KH6" s="16"/>
      <c r="KI6" s="16"/>
      <c r="KJ6" s="124"/>
      <c r="KM6" s="16"/>
      <c r="KN6" s="16"/>
      <c r="KO6" s="16"/>
      <c r="KP6" s="16"/>
      <c r="KQ6" s="16"/>
      <c r="KR6" s="16"/>
      <c r="KS6" s="124"/>
      <c r="KV6" s="16"/>
      <c r="KW6" s="189"/>
      <c r="KX6" s="16"/>
      <c r="KY6" s="16"/>
      <c r="KZ6" s="16"/>
      <c r="LA6" s="16"/>
      <c r="LB6" s="124"/>
      <c r="LE6" s="16"/>
      <c r="LF6" s="16"/>
      <c r="LG6" s="16"/>
      <c r="LH6" s="16"/>
      <c r="LI6" s="16"/>
      <c r="LJ6" s="16"/>
      <c r="LK6" s="124"/>
      <c r="LN6" s="16"/>
      <c r="LO6" s="16"/>
      <c r="LP6" s="16"/>
      <c r="LQ6" s="16"/>
      <c r="LR6" s="16"/>
      <c r="LS6" s="16"/>
      <c r="LT6" s="124"/>
      <c r="LW6" s="16"/>
      <c r="LX6" s="189"/>
      <c r="LY6" s="16"/>
      <c r="LZ6" s="16"/>
      <c r="MA6" s="16"/>
      <c r="MB6" s="16"/>
      <c r="MC6" s="124"/>
      <c r="MF6" s="16"/>
      <c r="MG6" s="16"/>
      <c r="MH6" s="16"/>
      <c r="MI6" s="16"/>
      <c r="MJ6" s="16"/>
      <c r="MK6" s="16"/>
      <c r="ML6" s="124"/>
      <c r="MO6" s="16"/>
      <c r="MP6" s="16"/>
      <c r="MQ6" s="16"/>
      <c r="MR6" s="16"/>
      <c r="MS6" s="16"/>
      <c r="MT6" s="16"/>
      <c r="MU6" s="124"/>
      <c r="MX6" s="16"/>
      <c r="MY6" s="16"/>
      <c r="MZ6" s="16"/>
      <c r="NA6" s="16"/>
      <c r="NB6" s="16"/>
      <c r="NC6" s="16"/>
      <c r="ND6" s="124"/>
      <c r="NG6" s="16"/>
      <c r="NH6" s="16"/>
      <c r="NI6" s="16"/>
      <c r="NJ6" s="16"/>
      <c r="NK6" s="16"/>
      <c r="NL6" s="16"/>
      <c r="NM6" s="124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24"/>
      <c r="OH6" s="16"/>
      <c r="OI6" s="16"/>
      <c r="OJ6" s="16"/>
      <c r="OK6" s="16"/>
      <c r="OL6" s="16"/>
      <c r="OM6" s="16"/>
      <c r="ON6" s="124"/>
      <c r="OQ6" s="16"/>
      <c r="OR6" s="16"/>
      <c r="OS6" s="16"/>
      <c r="OT6" s="16"/>
      <c r="OU6" s="16"/>
      <c r="OV6" s="16"/>
      <c r="OW6" s="124"/>
      <c r="OZ6" s="16"/>
      <c r="PA6" s="16"/>
      <c r="PB6" s="16"/>
      <c r="PC6" s="16"/>
      <c r="PD6" s="16"/>
      <c r="PE6" s="16"/>
      <c r="PF6" s="124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>SMITHFIELD FARMLAND</v>
      </c>
      <c r="C7" s="130" t="str">
        <f t="shared" ref="C7:I7" si="3">AM5</f>
        <v>Farmland</v>
      </c>
      <c r="D7" s="74" t="str">
        <f t="shared" si="3"/>
        <v>PED. 5003992</v>
      </c>
      <c r="E7" s="162">
        <f t="shared" si="3"/>
        <v>42280</v>
      </c>
      <c r="F7" s="77">
        <f t="shared" si="3"/>
        <v>18536.96</v>
      </c>
      <c r="G7" s="15">
        <f t="shared" si="3"/>
        <v>20</v>
      </c>
      <c r="H7" s="65">
        <f t="shared" si="3"/>
        <v>18445.37</v>
      </c>
      <c r="I7" s="18">
        <f t="shared" si="3"/>
        <v>91.590000000000146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06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30" t="s">
        <v>7</v>
      </c>
      <c r="FJ7" s="331" t="s">
        <v>8</v>
      </c>
      <c r="FK7" s="332" t="s">
        <v>17</v>
      </c>
      <c r="FL7" s="333" t="s">
        <v>2</v>
      </c>
      <c r="FM7" s="102" t="s">
        <v>18</v>
      </c>
      <c r="FN7" s="334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30" t="s">
        <v>7</v>
      </c>
      <c r="GT7" s="331" t="s">
        <v>8</v>
      </c>
      <c r="GU7" s="332" t="s">
        <v>17</v>
      </c>
      <c r="GV7" s="333" t="s">
        <v>2</v>
      </c>
      <c r="GW7" s="102" t="s">
        <v>18</v>
      </c>
      <c r="GX7" s="334" t="s">
        <v>15</v>
      </c>
      <c r="GY7" s="137"/>
      <c r="HA7" s="16"/>
      <c r="HB7" s="330" t="s">
        <v>7</v>
      </c>
      <c r="HC7" s="331" t="s">
        <v>8</v>
      </c>
      <c r="HD7" s="332" t="s">
        <v>17</v>
      </c>
      <c r="HE7" s="333" t="s">
        <v>2</v>
      </c>
      <c r="HF7" s="102" t="s">
        <v>18</v>
      </c>
      <c r="HG7" s="334" t="s">
        <v>15</v>
      </c>
      <c r="HH7" s="137"/>
      <c r="HJ7" s="131"/>
      <c r="HK7" s="107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S7" s="131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31"/>
      <c r="IC7" s="107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30" t="s">
        <v>7</v>
      </c>
      <c r="IM7" s="331" t="s">
        <v>8</v>
      </c>
      <c r="IN7" s="332" t="s">
        <v>17</v>
      </c>
      <c r="IO7" s="333" t="s">
        <v>2</v>
      </c>
      <c r="IP7" s="102" t="s">
        <v>18</v>
      </c>
      <c r="IQ7" s="334" t="s">
        <v>15</v>
      </c>
      <c r="IR7" s="137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C7" s="9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7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7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0" t="str">
        <f>AU5</f>
        <v xml:space="preserve">MANSIVA Comercializadora </v>
      </c>
      <c r="C8" s="130" t="str">
        <f t="shared" ref="C8:I8" si="4">AV5</f>
        <v xml:space="preserve">INDIANA </v>
      </c>
      <c r="D8" s="74" t="str">
        <f t="shared" si="4"/>
        <v>PED. 5020771</v>
      </c>
      <c r="E8" s="162">
        <f t="shared" si="4"/>
        <v>42281</v>
      </c>
      <c r="F8" s="77">
        <f t="shared" si="4"/>
        <v>18980.13</v>
      </c>
      <c r="G8" s="15">
        <f t="shared" si="4"/>
        <v>19</v>
      </c>
      <c r="H8" s="65">
        <f t="shared" si="4"/>
        <v>19046.21</v>
      </c>
      <c r="I8" s="18">
        <f t="shared" si="4"/>
        <v>-66.079999999998108</v>
      </c>
      <c r="K8" s="431"/>
      <c r="L8" s="183"/>
      <c r="M8" s="20">
        <v>1</v>
      </c>
      <c r="N8" s="19">
        <v>863.6</v>
      </c>
      <c r="O8" s="217">
        <v>42278</v>
      </c>
      <c r="P8" s="616">
        <v>863.6</v>
      </c>
      <c r="Q8" s="681" t="s">
        <v>628</v>
      </c>
      <c r="R8" s="682">
        <v>30</v>
      </c>
      <c r="S8" s="16"/>
      <c r="T8" s="431"/>
      <c r="U8" s="126"/>
      <c r="V8" s="20">
        <v>1</v>
      </c>
      <c r="W8" s="190">
        <v>917.6</v>
      </c>
      <c r="X8" s="156">
        <v>42279</v>
      </c>
      <c r="Y8" s="525">
        <v>917.6</v>
      </c>
      <c r="Z8" s="526" t="s">
        <v>635</v>
      </c>
      <c r="AA8" s="116">
        <v>30</v>
      </c>
      <c r="AB8" s="16"/>
      <c r="AC8" s="431"/>
      <c r="AD8" s="126"/>
      <c r="AE8" s="20">
        <v>1</v>
      </c>
      <c r="AF8" s="19">
        <v>986</v>
      </c>
      <c r="AG8" s="17">
        <v>42280</v>
      </c>
      <c r="AH8" s="19">
        <v>986</v>
      </c>
      <c r="AI8" s="72" t="s">
        <v>641</v>
      </c>
      <c r="AJ8" s="24">
        <v>31</v>
      </c>
      <c r="AK8" s="16"/>
      <c r="AL8" s="431"/>
      <c r="AM8" s="183" t="s">
        <v>448</v>
      </c>
      <c r="AN8" s="20">
        <v>1</v>
      </c>
      <c r="AO8" s="19">
        <v>875.74</v>
      </c>
      <c r="AP8" s="17">
        <v>42280</v>
      </c>
      <c r="AQ8" s="19">
        <v>875.74</v>
      </c>
      <c r="AR8" s="72" t="s">
        <v>640</v>
      </c>
      <c r="AS8" s="24">
        <v>18</v>
      </c>
      <c r="AT8" s="16"/>
      <c r="AU8" s="92" t="s">
        <v>33</v>
      </c>
      <c r="AV8" s="175"/>
      <c r="AW8" s="20">
        <v>19</v>
      </c>
      <c r="AX8" s="96">
        <v>19046.21</v>
      </c>
      <c r="AY8" s="110">
        <v>42283</v>
      </c>
      <c r="AZ8" s="96">
        <v>19046.21</v>
      </c>
      <c r="BA8" s="129" t="s">
        <v>650</v>
      </c>
      <c r="BB8" s="108">
        <v>29.12</v>
      </c>
      <c r="BC8" s="16"/>
      <c r="BD8" s="431"/>
      <c r="BE8" s="175"/>
      <c r="BF8" s="20">
        <v>1</v>
      </c>
      <c r="BG8" s="134">
        <v>966.6</v>
      </c>
      <c r="BH8" s="17">
        <v>42281</v>
      </c>
      <c r="BI8" s="18">
        <v>966.6</v>
      </c>
      <c r="BJ8" s="432" t="s">
        <v>643</v>
      </c>
      <c r="BK8" s="24">
        <v>31</v>
      </c>
      <c r="BL8" s="16"/>
      <c r="BM8" s="431"/>
      <c r="BN8" s="126"/>
      <c r="BO8" s="20">
        <v>1</v>
      </c>
      <c r="BP8" s="19">
        <v>952.83</v>
      </c>
      <c r="BQ8" s="17">
        <v>42283</v>
      </c>
      <c r="BR8" s="19">
        <v>952.83</v>
      </c>
      <c r="BS8" s="72" t="s">
        <v>653</v>
      </c>
      <c r="BT8" s="24">
        <v>31.5</v>
      </c>
      <c r="BU8" s="16"/>
      <c r="BV8" s="431"/>
      <c r="BW8" s="126"/>
      <c r="BX8" s="20">
        <v>1</v>
      </c>
      <c r="BY8" s="19">
        <v>922</v>
      </c>
      <c r="BZ8" s="17">
        <v>42283</v>
      </c>
      <c r="CA8" s="19">
        <v>922</v>
      </c>
      <c r="CB8" s="72" t="s">
        <v>651</v>
      </c>
      <c r="CC8" s="24">
        <v>31.5</v>
      </c>
      <c r="CD8" s="16"/>
      <c r="CE8" s="431"/>
      <c r="CF8" s="207"/>
      <c r="CG8" s="20">
        <v>1</v>
      </c>
      <c r="CH8" s="19">
        <v>962.81</v>
      </c>
      <c r="CI8" s="17">
        <v>42284</v>
      </c>
      <c r="CJ8" s="19">
        <v>962.81</v>
      </c>
      <c r="CK8" s="437" t="s">
        <v>659</v>
      </c>
      <c r="CL8" s="24">
        <v>31.5</v>
      </c>
      <c r="CM8" s="16"/>
      <c r="CN8" s="431"/>
      <c r="CO8" s="126"/>
      <c r="CP8" s="20">
        <v>1</v>
      </c>
      <c r="CQ8" s="19">
        <v>920.3</v>
      </c>
      <c r="CR8" s="17">
        <v>42285</v>
      </c>
      <c r="CS8" s="19">
        <v>920.3</v>
      </c>
      <c r="CT8" s="325" t="s">
        <v>663</v>
      </c>
      <c r="CU8" s="24">
        <v>31.5</v>
      </c>
      <c r="CV8" s="16"/>
      <c r="CW8" s="431"/>
      <c r="CX8" s="126"/>
      <c r="CY8" s="20">
        <v>1</v>
      </c>
      <c r="CZ8" s="201">
        <v>991</v>
      </c>
      <c r="DA8" s="17">
        <v>42287</v>
      </c>
      <c r="DB8" s="201">
        <v>991</v>
      </c>
      <c r="DC8" s="43" t="s">
        <v>670</v>
      </c>
      <c r="DD8" s="24">
        <v>32</v>
      </c>
      <c r="DE8" s="16"/>
      <c r="DF8" s="431"/>
      <c r="DG8" s="126"/>
      <c r="DH8" s="20">
        <v>1</v>
      </c>
      <c r="DI8" s="19">
        <v>928</v>
      </c>
      <c r="DJ8" s="17">
        <v>42286</v>
      </c>
      <c r="DK8" s="19">
        <v>928</v>
      </c>
      <c r="DL8" s="43" t="s">
        <v>667</v>
      </c>
      <c r="DM8" s="24">
        <v>32</v>
      </c>
      <c r="DN8" s="16"/>
      <c r="DO8" s="431"/>
      <c r="DP8" s="126"/>
      <c r="DQ8" s="20">
        <v>1</v>
      </c>
      <c r="DR8" s="19">
        <v>914.4</v>
      </c>
      <c r="DS8" s="58">
        <v>42287</v>
      </c>
      <c r="DT8" s="19">
        <v>914.4</v>
      </c>
      <c r="DU8" s="79" t="s">
        <v>672</v>
      </c>
      <c r="DV8" s="24">
        <v>32</v>
      </c>
      <c r="DW8" s="16"/>
      <c r="DX8" s="431"/>
      <c r="DY8" s="126"/>
      <c r="DZ8" s="20">
        <v>1</v>
      </c>
      <c r="EA8" s="19">
        <v>967.35</v>
      </c>
      <c r="EB8" s="58">
        <v>42290</v>
      </c>
      <c r="EC8" s="19">
        <v>967.35</v>
      </c>
      <c r="ED8" s="79" t="s">
        <v>685</v>
      </c>
      <c r="EE8" s="24">
        <v>30.3</v>
      </c>
      <c r="EF8" s="16"/>
      <c r="EG8" s="431"/>
      <c r="EH8" s="175"/>
      <c r="EI8" s="20">
        <v>1</v>
      </c>
      <c r="EJ8" s="19">
        <v>983</v>
      </c>
      <c r="EK8" s="17">
        <v>42289</v>
      </c>
      <c r="EL8" s="19">
        <v>983</v>
      </c>
      <c r="EM8" s="76" t="s">
        <v>677</v>
      </c>
      <c r="EN8" s="24">
        <v>32</v>
      </c>
      <c r="EO8" s="16"/>
      <c r="EP8" s="92" t="s">
        <v>33</v>
      </c>
      <c r="EQ8" s="126"/>
      <c r="ER8" s="20">
        <v>1</v>
      </c>
      <c r="ES8" s="19">
        <v>888.1</v>
      </c>
      <c r="ET8" s="17">
        <v>42289</v>
      </c>
      <c r="EU8" s="19">
        <v>888.1</v>
      </c>
      <c r="EV8" s="43" t="s">
        <v>679</v>
      </c>
      <c r="EW8" s="24">
        <v>32</v>
      </c>
      <c r="EX8" s="16"/>
      <c r="EY8" s="431"/>
      <c r="EZ8" s="207"/>
      <c r="FA8" s="20">
        <v>1</v>
      </c>
      <c r="FB8" s="19">
        <v>926.08</v>
      </c>
      <c r="FC8" s="17">
        <v>42290</v>
      </c>
      <c r="FD8" s="19">
        <v>926.08</v>
      </c>
      <c r="FE8" s="43" t="s">
        <v>688</v>
      </c>
      <c r="FF8" s="24">
        <v>32.5</v>
      </c>
      <c r="FG8" s="16"/>
      <c r="FH8" s="431"/>
      <c r="FI8" s="207"/>
      <c r="FJ8" s="20">
        <v>1</v>
      </c>
      <c r="FK8" s="19">
        <v>928.34</v>
      </c>
      <c r="FL8" s="58">
        <v>42290</v>
      </c>
      <c r="FM8" s="19">
        <v>928.34</v>
      </c>
      <c r="FN8" s="79" t="s">
        <v>690</v>
      </c>
      <c r="FO8" s="24">
        <v>32.5</v>
      </c>
      <c r="FP8" s="16"/>
      <c r="FQ8" s="431"/>
      <c r="FR8" s="183" t="s">
        <v>448</v>
      </c>
      <c r="FS8" s="20">
        <v>1</v>
      </c>
      <c r="FT8" s="179">
        <v>809.52</v>
      </c>
      <c r="FU8" s="180">
        <v>42291</v>
      </c>
      <c r="FV8" s="179">
        <v>809.52</v>
      </c>
      <c r="FW8" s="79" t="s">
        <v>696</v>
      </c>
      <c r="FX8" s="24">
        <v>18</v>
      </c>
      <c r="FY8" s="16"/>
      <c r="FZ8" s="431"/>
      <c r="GA8" s="175"/>
      <c r="GB8" s="20">
        <v>1</v>
      </c>
      <c r="GC8" s="19">
        <v>948</v>
      </c>
      <c r="GD8" s="17">
        <v>42291</v>
      </c>
      <c r="GE8" s="19">
        <v>948</v>
      </c>
      <c r="GF8" s="76" t="s">
        <v>694</v>
      </c>
      <c r="GG8" s="24">
        <v>32.5</v>
      </c>
      <c r="GH8" s="16"/>
      <c r="GI8" s="431"/>
      <c r="GJ8" s="126"/>
      <c r="GK8" s="20">
        <v>1</v>
      </c>
      <c r="GL8" s="19">
        <v>928</v>
      </c>
      <c r="GM8" s="17">
        <v>42292</v>
      </c>
      <c r="GN8" s="19">
        <v>928</v>
      </c>
      <c r="GO8" s="72" t="s">
        <v>701</v>
      </c>
      <c r="GP8" s="24">
        <v>32.5</v>
      </c>
      <c r="GQ8" s="16"/>
      <c r="GR8" s="92" t="s">
        <v>33</v>
      </c>
      <c r="GS8" s="126"/>
      <c r="GT8" s="20">
        <v>1</v>
      </c>
      <c r="GU8" s="19">
        <v>924.4</v>
      </c>
      <c r="GV8" s="17">
        <v>42293</v>
      </c>
      <c r="GW8" s="19">
        <v>924.4</v>
      </c>
      <c r="GX8" s="72" t="s">
        <v>705</v>
      </c>
      <c r="GY8" s="24">
        <v>32.5</v>
      </c>
      <c r="GZ8" s="16"/>
      <c r="HA8" s="92" t="s">
        <v>33</v>
      </c>
      <c r="HB8" s="126"/>
      <c r="HC8" s="20">
        <v>1</v>
      </c>
      <c r="HD8" s="19">
        <v>910.8</v>
      </c>
      <c r="HE8" s="17">
        <v>42293</v>
      </c>
      <c r="HF8" s="19">
        <v>910.8</v>
      </c>
      <c r="HG8" s="72" t="s">
        <v>713</v>
      </c>
      <c r="HH8" s="24">
        <v>33</v>
      </c>
      <c r="HI8" s="16"/>
      <c r="HJ8" s="92" t="s">
        <v>33</v>
      </c>
      <c r="HK8" s="126"/>
      <c r="HL8" s="20">
        <v>1</v>
      </c>
      <c r="HM8" s="19">
        <v>925.8</v>
      </c>
      <c r="HN8" s="17">
        <v>42293</v>
      </c>
      <c r="HO8" s="19">
        <v>925.8</v>
      </c>
      <c r="HP8" s="72" t="s">
        <v>715</v>
      </c>
      <c r="HQ8" s="24">
        <v>33</v>
      </c>
      <c r="HR8" s="16"/>
      <c r="HS8" s="92" t="s">
        <v>33</v>
      </c>
      <c r="HT8" s="126"/>
      <c r="HU8" s="20">
        <v>1</v>
      </c>
      <c r="HV8" s="19">
        <v>909</v>
      </c>
      <c r="HW8" s="17">
        <v>42294</v>
      </c>
      <c r="HX8" s="19">
        <v>909</v>
      </c>
      <c r="HY8" s="72" t="s">
        <v>719</v>
      </c>
      <c r="HZ8" s="24">
        <v>33</v>
      </c>
      <c r="IA8" s="16"/>
      <c r="IB8" s="92" t="s">
        <v>33</v>
      </c>
      <c r="IC8" s="126"/>
      <c r="ID8" s="20">
        <v>1</v>
      </c>
      <c r="IE8" s="19">
        <v>965.2</v>
      </c>
      <c r="IF8" s="17">
        <v>42294</v>
      </c>
      <c r="IG8" s="19">
        <v>965.2</v>
      </c>
      <c r="IH8" s="72" t="s">
        <v>721</v>
      </c>
      <c r="II8" s="24">
        <v>33</v>
      </c>
      <c r="IJ8" s="16"/>
      <c r="IK8" s="92" t="s">
        <v>33</v>
      </c>
      <c r="IL8" s="126"/>
      <c r="IM8" s="20">
        <v>1</v>
      </c>
      <c r="IN8" s="19">
        <v>884.81</v>
      </c>
      <c r="IO8" s="17">
        <v>42297</v>
      </c>
      <c r="IP8" s="19">
        <v>884.81</v>
      </c>
      <c r="IQ8" s="72" t="s">
        <v>726</v>
      </c>
      <c r="IR8" s="24">
        <v>32.07</v>
      </c>
      <c r="IS8" s="16"/>
      <c r="IT8" s="92" t="s">
        <v>33</v>
      </c>
      <c r="IU8" s="126"/>
      <c r="IV8" s="20">
        <v>1</v>
      </c>
      <c r="IW8" s="19">
        <v>858.6</v>
      </c>
      <c r="IX8" s="110">
        <v>42296</v>
      </c>
      <c r="IY8" s="19">
        <v>858.6</v>
      </c>
      <c r="IZ8" s="129" t="s">
        <v>722</v>
      </c>
      <c r="JA8" s="108">
        <v>33.5</v>
      </c>
      <c r="JB8" s="16"/>
      <c r="JC8" s="92" t="s">
        <v>33</v>
      </c>
      <c r="JD8" s="126"/>
      <c r="JE8" s="20">
        <v>1</v>
      </c>
      <c r="JF8" s="19">
        <v>992</v>
      </c>
      <c r="JG8" s="17">
        <v>42297</v>
      </c>
      <c r="JH8" s="19">
        <v>992</v>
      </c>
      <c r="JI8" s="510" t="s">
        <v>731</v>
      </c>
      <c r="JJ8" s="24">
        <v>33.5</v>
      </c>
      <c r="JK8" s="16"/>
      <c r="JL8" s="92" t="s">
        <v>33</v>
      </c>
      <c r="JM8" s="126"/>
      <c r="JN8" s="20">
        <v>1</v>
      </c>
      <c r="JO8" s="19">
        <v>963</v>
      </c>
      <c r="JP8" s="156">
        <v>42299</v>
      </c>
      <c r="JQ8" s="179">
        <v>963</v>
      </c>
      <c r="JR8" s="309" t="s">
        <v>737</v>
      </c>
      <c r="JS8" s="116">
        <v>33.5</v>
      </c>
      <c r="JT8" s="16"/>
      <c r="JU8" s="431"/>
      <c r="JV8" s="727" t="s">
        <v>728</v>
      </c>
      <c r="JW8" s="20">
        <v>1</v>
      </c>
      <c r="JX8" s="19">
        <v>805.44</v>
      </c>
      <c r="JY8" s="17">
        <v>42297</v>
      </c>
      <c r="JZ8" s="19">
        <v>805.44</v>
      </c>
      <c r="KA8" s="72" t="s">
        <v>729</v>
      </c>
      <c r="KB8" s="24">
        <v>18</v>
      </c>
      <c r="KC8" s="16"/>
      <c r="KD8" s="431"/>
      <c r="KE8" s="126"/>
      <c r="KF8" s="20">
        <v>1</v>
      </c>
      <c r="KG8" s="201">
        <v>903.85</v>
      </c>
      <c r="KH8" s="110">
        <v>42299</v>
      </c>
      <c r="KI8" s="524">
        <v>903.85</v>
      </c>
      <c r="KJ8" s="129" t="s">
        <v>740</v>
      </c>
      <c r="KK8" s="108">
        <v>33.5</v>
      </c>
      <c r="KL8" s="16"/>
      <c r="KM8" s="431"/>
      <c r="KN8" s="126" t="s">
        <v>741</v>
      </c>
      <c r="KO8" s="20">
        <v>1</v>
      </c>
      <c r="KP8" s="201">
        <v>808.62</v>
      </c>
      <c r="KQ8" s="17">
        <v>42299</v>
      </c>
      <c r="KR8" s="201">
        <v>808.62</v>
      </c>
      <c r="KS8" s="72" t="s">
        <v>740</v>
      </c>
      <c r="KT8" s="24">
        <v>18</v>
      </c>
      <c r="KU8" s="16"/>
      <c r="KV8" s="431"/>
      <c r="KW8" s="175"/>
      <c r="KX8" s="20">
        <v>1</v>
      </c>
      <c r="KY8" s="19">
        <v>919.9</v>
      </c>
      <c r="KZ8" s="17">
        <v>42301</v>
      </c>
      <c r="LA8" s="19">
        <v>919.9</v>
      </c>
      <c r="LB8" s="72" t="s">
        <v>750</v>
      </c>
      <c r="LC8" s="24">
        <v>33.5</v>
      </c>
      <c r="LD8" s="16"/>
      <c r="LE8" s="431"/>
      <c r="LF8" s="183"/>
      <c r="LG8" s="20">
        <v>1</v>
      </c>
      <c r="LH8" s="578">
        <v>915.8</v>
      </c>
      <c r="LI8" s="156">
        <v>42301</v>
      </c>
      <c r="LJ8" s="578">
        <v>915.8</v>
      </c>
      <c r="LK8" s="309" t="s">
        <v>754</v>
      </c>
      <c r="LL8" s="116">
        <v>33.5</v>
      </c>
      <c r="LM8" s="16"/>
      <c r="LN8" s="431"/>
      <c r="LO8" s="126"/>
      <c r="LP8" s="20">
        <v>1</v>
      </c>
      <c r="LQ8" s="190">
        <v>925.25</v>
      </c>
      <c r="LR8" s="17">
        <v>42303</v>
      </c>
      <c r="LS8" s="190">
        <v>925.25</v>
      </c>
      <c r="LT8" s="72" t="s">
        <v>762</v>
      </c>
      <c r="LU8" s="24">
        <v>32.5</v>
      </c>
      <c r="LV8" s="16"/>
      <c r="LW8" s="431"/>
      <c r="LX8" s="126"/>
      <c r="LY8" s="20">
        <v>1</v>
      </c>
      <c r="LZ8" s="179">
        <v>919.4</v>
      </c>
      <c r="MA8" s="17">
        <v>42303</v>
      </c>
      <c r="MB8" s="19">
        <v>919.4</v>
      </c>
      <c r="MC8" s="72" t="s">
        <v>765</v>
      </c>
      <c r="MD8" s="24">
        <v>32.5</v>
      </c>
      <c r="ME8" s="16"/>
      <c r="MF8" s="431"/>
      <c r="MG8" s="126"/>
      <c r="MH8" s="20">
        <v>1</v>
      </c>
      <c r="MI8" s="190">
        <v>917.91</v>
      </c>
      <c r="MJ8" s="17">
        <v>42304</v>
      </c>
      <c r="MK8" s="190">
        <v>917.91</v>
      </c>
      <c r="ML8" s="72" t="s">
        <v>767</v>
      </c>
      <c r="MM8" s="24">
        <v>31</v>
      </c>
      <c r="MN8" s="16"/>
      <c r="MO8" s="431"/>
      <c r="MP8" s="126"/>
      <c r="MQ8" s="20">
        <v>1</v>
      </c>
      <c r="MR8" s="19">
        <v>933.79</v>
      </c>
      <c r="MS8" s="17">
        <v>42306</v>
      </c>
      <c r="MT8" s="19">
        <v>933.79</v>
      </c>
      <c r="MU8" s="72" t="s">
        <v>776</v>
      </c>
      <c r="MV8" s="24">
        <v>31</v>
      </c>
      <c r="MW8" s="16"/>
      <c r="MX8" s="431"/>
      <c r="MY8" s="126"/>
      <c r="MZ8" s="20">
        <v>1</v>
      </c>
      <c r="NA8" s="19">
        <v>935.6</v>
      </c>
      <c r="NB8" s="17">
        <v>42305</v>
      </c>
      <c r="NC8" s="19">
        <v>935.6</v>
      </c>
      <c r="ND8" s="72" t="s">
        <v>772</v>
      </c>
      <c r="NE8" s="24">
        <v>31</v>
      </c>
      <c r="NF8" s="16"/>
      <c r="NG8" s="431"/>
      <c r="NH8" s="183"/>
      <c r="NI8" s="20">
        <v>1</v>
      </c>
      <c r="NJ8" s="19">
        <v>889.5</v>
      </c>
      <c r="NK8" s="156">
        <v>42306</v>
      </c>
      <c r="NL8" s="179">
        <v>889.5</v>
      </c>
      <c r="NM8" s="309" t="s">
        <v>778</v>
      </c>
      <c r="NN8" s="116">
        <v>30</v>
      </c>
      <c r="NO8" s="16"/>
      <c r="NP8" s="431"/>
      <c r="NQ8" s="126"/>
      <c r="NR8" s="20">
        <v>1</v>
      </c>
      <c r="NS8" s="19">
        <v>932.6</v>
      </c>
      <c r="NT8" s="156">
        <v>42307</v>
      </c>
      <c r="NU8" s="179">
        <v>932.6</v>
      </c>
      <c r="NV8" s="309" t="s">
        <v>785</v>
      </c>
      <c r="NW8" s="116">
        <v>30</v>
      </c>
      <c r="NX8" s="16"/>
      <c r="NY8" s="431"/>
      <c r="NZ8" s="126"/>
      <c r="OA8" s="20">
        <v>1</v>
      </c>
      <c r="OB8" s="19">
        <v>948.75</v>
      </c>
      <c r="OC8" s="17">
        <v>42307</v>
      </c>
      <c r="OD8" s="19">
        <v>948.75</v>
      </c>
      <c r="OE8" s="617" t="s">
        <v>781</v>
      </c>
      <c r="OF8" s="24">
        <v>30</v>
      </c>
      <c r="OG8" s="16"/>
      <c r="OH8" s="431"/>
      <c r="OI8" s="126"/>
      <c r="OJ8" s="20">
        <v>1</v>
      </c>
      <c r="OK8" s="19">
        <v>913.38</v>
      </c>
      <c r="OL8" s="17"/>
      <c r="OM8" s="19"/>
      <c r="ON8" s="72"/>
      <c r="OO8" s="24"/>
      <c r="OP8" s="16"/>
      <c r="OQ8" s="431"/>
      <c r="OR8" s="183"/>
      <c r="OS8" s="20">
        <v>1</v>
      </c>
      <c r="OT8" s="19">
        <v>996</v>
      </c>
      <c r="OU8" s="156">
        <v>42308</v>
      </c>
      <c r="OV8" s="179">
        <v>996</v>
      </c>
      <c r="OW8" s="309" t="s">
        <v>790</v>
      </c>
      <c r="OX8" s="116">
        <v>29</v>
      </c>
      <c r="OY8" s="16"/>
      <c r="OZ8" s="431"/>
      <c r="PA8" s="183"/>
      <c r="PB8" s="20">
        <v>1</v>
      </c>
      <c r="PC8" s="19">
        <v>919.4</v>
      </c>
      <c r="PD8" s="156">
        <v>42308</v>
      </c>
      <c r="PE8" s="179">
        <v>919.4</v>
      </c>
      <c r="PF8" s="309" t="s">
        <v>792</v>
      </c>
      <c r="PG8" s="579">
        <v>29</v>
      </c>
      <c r="PH8" s="16"/>
      <c r="PI8" s="431"/>
      <c r="PJ8" s="126"/>
      <c r="PK8" s="20"/>
      <c r="PL8" s="19"/>
      <c r="PM8" s="17"/>
      <c r="PN8" s="19"/>
      <c r="PO8" s="72"/>
      <c r="PP8" s="24"/>
      <c r="PQ8" s="16"/>
      <c r="PR8" s="431"/>
      <c r="PS8" s="126"/>
      <c r="PT8" s="20"/>
      <c r="PU8" s="19"/>
      <c r="PV8" s="17"/>
      <c r="PW8" s="19"/>
      <c r="PX8" s="72"/>
      <c r="PY8" s="24"/>
      <c r="PZ8" s="16"/>
      <c r="QA8" s="431"/>
      <c r="QB8" s="126"/>
      <c r="QC8" s="20"/>
      <c r="QD8" s="19"/>
      <c r="QE8" s="17"/>
      <c r="QF8" s="19"/>
      <c r="QG8" s="72"/>
      <c r="QH8" s="24"/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 t="s">
        <v>33</v>
      </c>
      <c r="RL8" s="2"/>
      <c r="RM8" s="20">
        <v>1</v>
      </c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4" t="str">
        <f t="shared" si="5"/>
        <v>PED. 5003993</v>
      </c>
      <c r="E9" s="162">
        <f t="shared" si="5"/>
        <v>42281</v>
      </c>
      <c r="F9" s="77">
        <f t="shared" si="5"/>
        <v>19115.25</v>
      </c>
      <c r="G9" s="15">
        <f t="shared" si="5"/>
        <v>21</v>
      </c>
      <c r="H9" s="65">
        <f t="shared" si="5"/>
        <v>19286.7</v>
      </c>
      <c r="I9" s="18">
        <f t="shared" si="5"/>
        <v>-171.45000000000073</v>
      </c>
      <c r="K9" s="133"/>
      <c r="L9" s="126"/>
      <c r="M9" s="20">
        <v>2</v>
      </c>
      <c r="N9" s="19">
        <v>882.7</v>
      </c>
      <c r="O9" s="339">
        <v>42278</v>
      </c>
      <c r="P9" s="226">
        <v>882.7</v>
      </c>
      <c r="Q9" s="340" t="s">
        <v>628</v>
      </c>
      <c r="R9" s="341">
        <v>30</v>
      </c>
      <c r="S9" s="16"/>
      <c r="T9" s="352"/>
      <c r="U9" s="126"/>
      <c r="V9" s="20">
        <v>2</v>
      </c>
      <c r="W9" s="191">
        <v>921.7</v>
      </c>
      <c r="X9" s="17">
        <v>42279</v>
      </c>
      <c r="Y9" s="191">
        <v>921.7</v>
      </c>
      <c r="Z9" s="72" t="s">
        <v>635</v>
      </c>
      <c r="AA9" s="24">
        <v>30</v>
      </c>
      <c r="AB9" s="16"/>
      <c r="AC9" s="352"/>
      <c r="AD9" s="126"/>
      <c r="AE9" s="20">
        <v>2</v>
      </c>
      <c r="AF9" s="19">
        <v>987</v>
      </c>
      <c r="AG9" s="17">
        <v>42280</v>
      </c>
      <c r="AH9" s="19">
        <v>987</v>
      </c>
      <c r="AI9" s="72" t="s">
        <v>641</v>
      </c>
      <c r="AJ9" s="24">
        <v>31</v>
      </c>
      <c r="AK9" s="16"/>
      <c r="AL9" s="133"/>
      <c r="AM9" s="126"/>
      <c r="AN9" s="20">
        <v>2</v>
      </c>
      <c r="AO9" s="19">
        <v>929.25</v>
      </c>
      <c r="AP9" s="156">
        <v>42280</v>
      </c>
      <c r="AQ9" s="19">
        <v>929.25</v>
      </c>
      <c r="AR9" s="309" t="s">
        <v>639</v>
      </c>
      <c r="AS9" s="116">
        <v>31</v>
      </c>
      <c r="AT9" s="16"/>
      <c r="AU9" s="133" t="s">
        <v>443</v>
      </c>
      <c r="AV9" s="175"/>
      <c r="AW9" s="20"/>
      <c r="AX9" s="19"/>
      <c r="AY9" s="110"/>
      <c r="AZ9" s="19"/>
      <c r="BA9" s="129"/>
      <c r="BB9" s="108"/>
      <c r="BC9" s="16"/>
      <c r="BD9" s="133"/>
      <c r="BE9" s="175"/>
      <c r="BF9" s="20">
        <v>2</v>
      </c>
      <c r="BG9" s="19">
        <v>920.3</v>
      </c>
      <c r="BH9" s="17">
        <v>42281</v>
      </c>
      <c r="BI9" s="19">
        <v>920.3</v>
      </c>
      <c r="BJ9" s="510" t="s">
        <v>643</v>
      </c>
      <c r="BK9" s="160">
        <v>31</v>
      </c>
      <c r="BL9" s="16"/>
      <c r="BM9" s="352"/>
      <c r="BN9" s="126"/>
      <c r="BO9" s="20">
        <v>2</v>
      </c>
      <c r="BP9" s="19">
        <v>948.3</v>
      </c>
      <c r="BQ9" s="17">
        <v>42283</v>
      </c>
      <c r="BR9" s="19">
        <v>948.3</v>
      </c>
      <c r="BS9" s="72" t="s">
        <v>653</v>
      </c>
      <c r="BT9" s="24">
        <v>31.5</v>
      </c>
      <c r="BU9" s="16"/>
      <c r="BV9" s="352"/>
      <c r="BW9" s="126"/>
      <c r="BX9" s="20">
        <v>2</v>
      </c>
      <c r="BY9" s="134">
        <v>946.03</v>
      </c>
      <c r="BZ9" s="17">
        <v>42283</v>
      </c>
      <c r="CA9" s="134">
        <v>946.03</v>
      </c>
      <c r="CB9" s="72" t="s">
        <v>651</v>
      </c>
      <c r="CC9" s="24">
        <v>31.5</v>
      </c>
      <c r="CD9" s="16"/>
      <c r="CE9" s="133"/>
      <c r="CF9" s="207"/>
      <c r="CG9" s="20">
        <v>2</v>
      </c>
      <c r="CH9" s="19">
        <v>893.88</v>
      </c>
      <c r="CI9" s="17">
        <v>42284</v>
      </c>
      <c r="CJ9" s="19">
        <v>893.88</v>
      </c>
      <c r="CK9" s="437" t="s">
        <v>659</v>
      </c>
      <c r="CL9" s="24">
        <v>31.5</v>
      </c>
      <c r="CM9" s="16"/>
      <c r="CN9" s="133"/>
      <c r="CO9" s="126"/>
      <c r="CP9" s="20">
        <v>2</v>
      </c>
      <c r="CQ9" s="19">
        <v>916.3</v>
      </c>
      <c r="CR9" s="17">
        <v>42285</v>
      </c>
      <c r="CS9" s="19">
        <v>916.3</v>
      </c>
      <c r="CT9" s="326" t="s">
        <v>663</v>
      </c>
      <c r="CU9" s="24">
        <v>31.5</v>
      </c>
      <c r="CV9" s="16"/>
      <c r="CW9" s="133"/>
      <c r="CX9" s="126"/>
      <c r="CY9" s="20">
        <v>2</v>
      </c>
      <c r="CZ9" s="202">
        <v>1002</v>
      </c>
      <c r="DA9" s="17">
        <v>42287</v>
      </c>
      <c r="DB9" s="202">
        <v>1002</v>
      </c>
      <c r="DC9" s="43" t="s">
        <v>670</v>
      </c>
      <c r="DD9" s="24">
        <v>32</v>
      </c>
      <c r="DE9" s="16"/>
      <c r="DF9" s="133"/>
      <c r="DG9" s="126"/>
      <c r="DH9" s="20">
        <v>2</v>
      </c>
      <c r="DI9" s="19">
        <v>921.7</v>
      </c>
      <c r="DJ9" s="17">
        <v>42286</v>
      </c>
      <c r="DK9" s="19">
        <v>921.7</v>
      </c>
      <c r="DL9" s="43" t="s">
        <v>667</v>
      </c>
      <c r="DM9" s="24">
        <v>32</v>
      </c>
      <c r="DN9" s="16"/>
      <c r="DO9" s="133"/>
      <c r="DP9" s="207"/>
      <c r="DQ9" s="20">
        <v>2</v>
      </c>
      <c r="DR9" s="30">
        <v>927.1</v>
      </c>
      <c r="DS9" s="58">
        <v>42287</v>
      </c>
      <c r="DT9" s="30">
        <v>927.1</v>
      </c>
      <c r="DU9" s="614" t="s">
        <v>672</v>
      </c>
      <c r="DV9" s="24">
        <v>32</v>
      </c>
      <c r="DW9" s="16"/>
      <c r="DX9" s="133"/>
      <c r="DY9" s="126"/>
      <c r="DZ9" s="20">
        <v>2</v>
      </c>
      <c r="EA9" s="30">
        <v>949.21</v>
      </c>
      <c r="EB9" s="58">
        <v>42290</v>
      </c>
      <c r="EC9" s="30">
        <v>949.21</v>
      </c>
      <c r="ED9" s="79" t="s">
        <v>685</v>
      </c>
      <c r="EE9" s="24">
        <v>30.3</v>
      </c>
      <c r="EF9" s="16"/>
      <c r="EG9" s="133"/>
      <c r="EH9" s="175"/>
      <c r="EI9" s="20">
        <v>2</v>
      </c>
      <c r="EJ9" s="19">
        <v>990</v>
      </c>
      <c r="EK9" s="17">
        <v>42289</v>
      </c>
      <c r="EL9" s="19">
        <v>990</v>
      </c>
      <c r="EM9" s="43" t="s">
        <v>677</v>
      </c>
      <c r="EN9" s="24">
        <v>32</v>
      </c>
      <c r="EO9" s="16"/>
      <c r="EP9" s="133" t="s">
        <v>462</v>
      </c>
      <c r="EQ9" s="126"/>
      <c r="ER9" s="20">
        <v>2</v>
      </c>
      <c r="ES9" s="19">
        <v>867.7</v>
      </c>
      <c r="ET9" s="17">
        <v>42289</v>
      </c>
      <c r="EU9" s="19">
        <v>867.7</v>
      </c>
      <c r="EV9" s="79" t="s">
        <v>679</v>
      </c>
      <c r="EW9" s="24">
        <v>32</v>
      </c>
      <c r="EX9" s="16"/>
      <c r="EY9" s="133"/>
      <c r="EZ9" s="126"/>
      <c r="FA9" s="20">
        <v>2</v>
      </c>
      <c r="FB9" s="19">
        <v>911.56</v>
      </c>
      <c r="FC9" s="17">
        <v>42290</v>
      </c>
      <c r="FD9" s="19">
        <v>911.56</v>
      </c>
      <c r="FE9" s="43" t="s">
        <v>688</v>
      </c>
      <c r="FF9" s="24">
        <v>32.5</v>
      </c>
      <c r="FG9" s="16"/>
      <c r="FH9" s="133"/>
      <c r="FI9" s="126"/>
      <c r="FJ9" s="20">
        <v>2</v>
      </c>
      <c r="FK9" s="30">
        <v>922.45</v>
      </c>
      <c r="FL9" s="58">
        <v>42290</v>
      </c>
      <c r="FM9" s="30">
        <v>922.45</v>
      </c>
      <c r="FN9" s="79" t="s">
        <v>690</v>
      </c>
      <c r="FO9" s="24">
        <v>32.5</v>
      </c>
      <c r="FP9" s="16"/>
      <c r="FQ9" s="133"/>
      <c r="FR9" s="126"/>
      <c r="FS9" s="20">
        <v>2</v>
      </c>
      <c r="FT9" s="30">
        <v>916.55</v>
      </c>
      <c r="FU9" s="58">
        <v>42291</v>
      </c>
      <c r="FV9" s="30">
        <v>916.55</v>
      </c>
      <c r="FW9" s="79" t="s">
        <v>696</v>
      </c>
      <c r="FX9" s="24">
        <v>32.5</v>
      </c>
      <c r="FY9" s="16"/>
      <c r="FZ9" s="133"/>
      <c r="GA9" s="175"/>
      <c r="GB9" s="20">
        <v>2</v>
      </c>
      <c r="GC9" s="19">
        <v>717.5</v>
      </c>
      <c r="GD9" s="17">
        <v>42291</v>
      </c>
      <c r="GE9" s="19">
        <v>717.5</v>
      </c>
      <c r="GF9" s="360" t="s">
        <v>694</v>
      </c>
      <c r="GG9" s="24">
        <v>32.5</v>
      </c>
      <c r="GH9" s="16"/>
      <c r="GI9" s="133"/>
      <c r="GJ9" s="126"/>
      <c r="GK9" s="20">
        <v>2</v>
      </c>
      <c r="GL9" s="19">
        <v>919.9</v>
      </c>
      <c r="GM9" s="17">
        <v>42292</v>
      </c>
      <c r="GN9" s="19">
        <v>919.9</v>
      </c>
      <c r="GO9" s="72" t="s">
        <v>701</v>
      </c>
      <c r="GP9" s="24">
        <v>32.5</v>
      </c>
      <c r="GQ9" s="16"/>
      <c r="GR9" s="133" t="s">
        <v>473</v>
      </c>
      <c r="GS9" s="126"/>
      <c r="GT9" s="20">
        <v>2</v>
      </c>
      <c r="GU9" s="19">
        <v>938</v>
      </c>
      <c r="GV9" s="17">
        <v>42293</v>
      </c>
      <c r="GW9" s="19">
        <v>938</v>
      </c>
      <c r="GX9" s="72" t="s">
        <v>705</v>
      </c>
      <c r="GY9" s="24">
        <v>32.5</v>
      </c>
      <c r="GZ9" s="16"/>
      <c r="HA9" s="133"/>
      <c r="HB9" s="126"/>
      <c r="HC9" s="20">
        <v>2</v>
      </c>
      <c r="HD9" s="19">
        <v>922.6</v>
      </c>
      <c r="HE9" s="17">
        <v>42293</v>
      </c>
      <c r="HF9" s="19">
        <v>922.6</v>
      </c>
      <c r="HG9" s="72" t="s">
        <v>713</v>
      </c>
      <c r="HH9" s="24">
        <v>33</v>
      </c>
      <c r="HI9" s="16"/>
      <c r="HJ9" s="133"/>
      <c r="HK9" s="126"/>
      <c r="HL9" s="20">
        <v>2</v>
      </c>
      <c r="HM9" s="19">
        <v>911.3</v>
      </c>
      <c r="HN9" s="17">
        <v>42293</v>
      </c>
      <c r="HO9" s="19">
        <v>911.3</v>
      </c>
      <c r="HP9" s="72" t="s">
        <v>715</v>
      </c>
      <c r="HQ9" s="24">
        <v>33</v>
      </c>
      <c r="HR9" s="16"/>
      <c r="HS9" s="133"/>
      <c r="HT9" s="126"/>
      <c r="HU9" s="20">
        <v>2</v>
      </c>
      <c r="HV9" s="19">
        <v>928</v>
      </c>
      <c r="HW9" s="17">
        <v>42294</v>
      </c>
      <c r="HX9" s="19">
        <v>928</v>
      </c>
      <c r="HY9" s="72" t="s">
        <v>719</v>
      </c>
      <c r="HZ9" s="24">
        <v>33</v>
      </c>
      <c r="IA9" s="16"/>
      <c r="IB9" s="133"/>
      <c r="IC9" s="126"/>
      <c r="ID9" s="20">
        <v>2</v>
      </c>
      <c r="IE9" s="19">
        <v>927.6</v>
      </c>
      <c r="IF9" s="17">
        <v>42294</v>
      </c>
      <c r="IG9" s="19">
        <v>927.6</v>
      </c>
      <c r="IH9" s="72" t="s">
        <v>721</v>
      </c>
      <c r="II9" s="24">
        <v>33</v>
      </c>
      <c r="IJ9" s="16"/>
      <c r="IK9" s="133"/>
      <c r="IL9" s="126"/>
      <c r="IM9" s="20">
        <v>2</v>
      </c>
      <c r="IN9" s="19">
        <v>961.9</v>
      </c>
      <c r="IO9" s="17">
        <v>42297</v>
      </c>
      <c r="IP9" s="19">
        <v>961.9</v>
      </c>
      <c r="IQ9" s="72" t="s">
        <v>726</v>
      </c>
      <c r="IR9" s="24">
        <v>32.07</v>
      </c>
      <c r="IS9" s="16"/>
      <c r="IT9" s="133" t="s">
        <v>481</v>
      </c>
      <c r="IU9" s="126"/>
      <c r="IV9" s="20">
        <v>2</v>
      </c>
      <c r="IW9" s="19">
        <v>989.7</v>
      </c>
      <c r="IX9" s="110">
        <v>42296</v>
      </c>
      <c r="IY9" s="19">
        <v>989.7</v>
      </c>
      <c r="IZ9" s="129" t="s">
        <v>722</v>
      </c>
      <c r="JA9" s="108">
        <v>33.5</v>
      </c>
      <c r="JB9" s="16"/>
      <c r="JC9" s="133"/>
      <c r="JD9" s="126"/>
      <c r="JE9" s="20">
        <v>2</v>
      </c>
      <c r="JF9" s="19">
        <v>977</v>
      </c>
      <c r="JG9" s="17">
        <v>42297</v>
      </c>
      <c r="JH9" s="19">
        <v>977</v>
      </c>
      <c r="JI9" s="510" t="s">
        <v>731</v>
      </c>
      <c r="JJ9" s="24">
        <v>33.5</v>
      </c>
      <c r="JK9" s="16"/>
      <c r="JL9" s="133"/>
      <c r="JM9" s="126"/>
      <c r="JN9" s="20">
        <v>2</v>
      </c>
      <c r="JO9" s="19">
        <v>994</v>
      </c>
      <c r="JP9" s="17">
        <v>42299</v>
      </c>
      <c r="JQ9" s="19">
        <v>994</v>
      </c>
      <c r="JR9" s="72" t="s">
        <v>737</v>
      </c>
      <c r="JS9" s="24">
        <v>33.5</v>
      </c>
      <c r="JT9" s="16"/>
      <c r="JU9" s="352"/>
      <c r="JV9" s="275"/>
      <c r="JW9" s="20">
        <v>2</v>
      </c>
      <c r="JX9" s="19">
        <v>951.93</v>
      </c>
      <c r="JY9" s="17">
        <v>42297</v>
      </c>
      <c r="JZ9" s="19">
        <v>951.93</v>
      </c>
      <c r="KA9" s="72" t="s">
        <v>729</v>
      </c>
      <c r="KB9" s="24">
        <v>33.5</v>
      </c>
      <c r="KC9" s="16"/>
      <c r="KD9" s="352"/>
      <c r="KE9" s="626"/>
      <c r="KF9" s="20">
        <v>2</v>
      </c>
      <c r="KG9" s="361">
        <v>897.96</v>
      </c>
      <c r="KH9" s="110">
        <v>42299</v>
      </c>
      <c r="KI9" s="361">
        <v>897.96</v>
      </c>
      <c r="KJ9" s="129" t="s">
        <v>740</v>
      </c>
      <c r="KK9" s="108">
        <v>33.5</v>
      </c>
      <c r="KL9" s="16"/>
      <c r="KM9" s="352"/>
      <c r="KN9" s="126" t="s">
        <v>741</v>
      </c>
      <c r="KO9" s="20">
        <v>2</v>
      </c>
      <c r="KP9" s="202">
        <v>824.49</v>
      </c>
      <c r="KQ9" s="17">
        <v>42299</v>
      </c>
      <c r="KR9" s="202">
        <v>824.49</v>
      </c>
      <c r="KS9" s="72" t="s">
        <v>740</v>
      </c>
      <c r="KT9" s="24">
        <v>18</v>
      </c>
      <c r="KU9" s="16"/>
      <c r="KV9" s="352"/>
      <c r="KW9" s="126"/>
      <c r="KX9" s="20">
        <v>2</v>
      </c>
      <c r="KY9" s="19">
        <v>918.5</v>
      </c>
      <c r="KZ9" s="17">
        <v>42301</v>
      </c>
      <c r="LA9" s="19">
        <v>918.5</v>
      </c>
      <c r="LB9" s="72" t="s">
        <v>753</v>
      </c>
      <c r="LC9" s="24">
        <v>33.5</v>
      </c>
      <c r="LD9" s="16"/>
      <c r="LE9" s="352"/>
      <c r="LF9" s="126"/>
      <c r="LG9" s="20">
        <v>2</v>
      </c>
      <c r="LH9" s="202">
        <v>925.3</v>
      </c>
      <c r="LI9" s="17">
        <v>42301</v>
      </c>
      <c r="LJ9" s="202">
        <v>925.3</v>
      </c>
      <c r="LK9" s="72" t="s">
        <v>754</v>
      </c>
      <c r="LL9" s="24">
        <v>33.5</v>
      </c>
      <c r="LM9" s="16"/>
      <c r="LN9" s="352"/>
      <c r="LO9" s="126"/>
      <c r="LP9" s="20">
        <v>2</v>
      </c>
      <c r="LQ9" s="191">
        <v>979.59</v>
      </c>
      <c r="LR9" s="17">
        <v>42303</v>
      </c>
      <c r="LS9" s="191">
        <v>979.59</v>
      </c>
      <c r="LT9" s="72" t="s">
        <v>762</v>
      </c>
      <c r="LU9" s="24">
        <v>32.5</v>
      </c>
      <c r="LV9" s="16"/>
      <c r="LW9" s="352"/>
      <c r="LX9" s="126"/>
      <c r="LY9" s="20">
        <v>2</v>
      </c>
      <c r="LZ9" s="179">
        <v>915.3</v>
      </c>
      <c r="MA9" s="17">
        <v>42303</v>
      </c>
      <c r="MB9" s="19">
        <v>915.3</v>
      </c>
      <c r="MC9" s="510" t="s">
        <v>765</v>
      </c>
      <c r="MD9" s="24">
        <v>32.5</v>
      </c>
      <c r="ME9" s="16"/>
      <c r="MF9" s="352"/>
      <c r="MG9" s="126"/>
      <c r="MH9" s="20">
        <v>2</v>
      </c>
      <c r="MI9" s="191">
        <v>919.27</v>
      </c>
      <c r="MJ9" s="17">
        <v>42304</v>
      </c>
      <c r="MK9" s="191">
        <v>919.27</v>
      </c>
      <c r="ML9" s="72" t="s">
        <v>767</v>
      </c>
      <c r="MM9" s="24">
        <v>31</v>
      </c>
      <c r="MN9" s="16"/>
      <c r="MO9" s="133"/>
      <c r="MP9" s="126"/>
      <c r="MQ9" s="20">
        <v>2</v>
      </c>
      <c r="MR9" s="19">
        <v>927.89</v>
      </c>
      <c r="MS9" s="17">
        <v>42306</v>
      </c>
      <c r="MT9" s="19">
        <v>927.89</v>
      </c>
      <c r="MU9" s="72" t="s">
        <v>776</v>
      </c>
      <c r="MV9" s="24">
        <v>31</v>
      </c>
      <c r="MW9" s="16"/>
      <c r="MX9" s="133"/>
      <c r="MY9" s="126"/>
      <c r="MZ9" s="20">
        <v>2</v>
      </c>
      <c r="NA9" s="19">
        <v>950.57</v>
      </c>
      <c r="NB9" s="17">
        <v>42305</v>
      </c>
      <c r="NC9" s="19">
        <v>950.57</v>
      </c>
      <c r="ND9" s="72" t="s">
        <v>772</v>
      </c>
      <c r="NE9" s="24">
        <v>31</v>
      </c>
      <c r="NF9" s="16"/>
      <c r="NG9" s="133"/>
      <c r="NH9" s="126"/>
      <c r="NI9" s="20">
        <v>2</v>
      </c>
      <c r="NJ9" s="19">
        <v>923.5</v>
      </c>
      <c r="NK9" s="17">
        <v>42306</v>
      </c>
      <c r="NL9" s="19">
        <v>923.5</v>
      </c>
      <c r="NM9" s="309" t="s">
        <v>778</v>
      </c>
      <c r="NN9" s="24">
        <v>30</v>
      </c>
      <c r="NO9" s="16"/>
      <c r="NP9" s="133"/>
      <c r="NQ9" s="126"/>
      <c r="NR9" s="20">
        <v>2</v>
      </c>
      <c r="NS9" s="19">
        <v>928</v>
      </c>
      <c r="NT9" s="17">
        <v>42307</v>
      </c>
      <c r="NU9" s="19">
        <v>928</v>
      </c>
      <c r="NV9" s="72" t="s">
        <v>785</v>
      </c>
      <c r="NW9" s="24">
        <v>30</v>
      </c>
      <c r="NX9" s="16"/>
      <c r="NY9" s="133"/>
      <c r="NZ9" s="126"/>
      <c r="OA9" s="20">
        <v>2</v>
      </c>
      <c r="OB9" s="19">
        <v>887.53</v>
      </c>
      <c r="OC9" s="17">
        <v>42307</v>
      </c>
      <c r="OD9" s="19">
        <v>887.53</v>
      </c>
      <c r="OE9" s="72" t="s">
        <v>781</v>
      </c>
      <c r="OF9" s="24">
        <v>30</v>
      </c>
      <c r="OG9" s="16"/>
      <c r="OH9" s="133"/>
      <c r="OI9" s="126"/>
      <c r="OJ9" s="20">
        <v>2</v>
      </c>
      <c r="OK9" s="19">
        <v>931.97</v>
      </c>
      <c r="OL9" s="17"/>
      <c r="OM9" s="19"/>
      <c r="ON9" s="72"/>
      <c r="OO9" s="24"/>
      <c r="OP9" s="16"/>
      <c r="OQ9" s="133"/>
      <c r="OR9" s="126"/>
      <c r="OS9" s="20">
        <v>2</v>
      </c>
      <c r="OT9" s="19">
        <v>1003</v>
      </c>
      <c r="OU9" s="17">
        <v>42308</v>
      </c>
      <c r="OV9" s="19">
        <v>1003</v>
      </c>
      <c r="OW9" s="309" t="s">
        <v>790</v>
      </c>
      <c r="OX9" s="24">
        <v>29</v>
      </c>
      <c r="OY9" s="16"/>
      <c r="OZ9" s="133"/>
      <c r="PA9" s="126"/>
      <c r="PB9" s="20">
        <v>2</v>
      </c>
      <c r="PC9" s="19">
        <v>918.1</v>
      </c>
      <c r="PD9" s="17">
        <v>42308</v>
      </c>
      <c r="PE9" s="19">
        <v>918.1</v>
      </c>
      <c r="PF9" s="72" t="s">
        <v>792</v>
      </c>
      <c r="PG9" s="24">
        <v>29</v>
      </c>
      <c r="PH9" s="16"/>
      <c r="PI9" s="133"/>
      <c r="PJ9" s="126"/>
      <c r="PK9" s="20"/>
      <c r="PL9" s="19"/>
      <c r="PM9" s="17"/>
      <c r="PN9" s="19"/>
      <c r="PO9" s="72"/>
      <c r="PP9" s="24"/>
      <c r="PQ9" s="16"/>
      <c r="PR9" s="133"/>
      <c r="PS9" s="126"/>
      <c r="PT9" s="20"/>
      <c r="PU9" s="19"/>
      <c r="PV9" s="17"/>
      <c r="PW9" s="19"/>
      <c r="PX9" s="72"/>
      <c r="PY9" s="24"/>
      <c r="PZ9" s="16"/>
      <c r="QA9" s="133"/>
      <c r="QB9" s="126"/>
      <c r="QC9" s="20"/>
      <c r="QD9" s="19"/>
      <c r="QE9" s="17"/>
      <c r="QF9" s="19"/>
      <c r="QG9" s="72"/>
      <c r="QH9" s="24"/>
      <c r="QJ9" s="133"/>
      <c r="QK9" s="2"/>
      <c r="QL9" s="20"/>
      <c r="QM9" s="19"/>
      <c r="QN9" s="17"/>
      <c r="QO9" s="19"/>
      <c r="QP9" s="72"/>
      <c r="QQ9" s="24"/>
      <c r="QS9" s="133"/>
      <c r="QT9" s="2"/>
      <c r="QU9" s="20"/>
      <c r="QV9" s="19"/>
      <c r="QW9" s="17"/>
      <c r="QX9" s="19"/>
      <c r="QY9" s="72"/>
      <c r="QZ9" s="24"/>
      <c r="RB9" s="133"/>
      <c r="RC9" s="2"/>
      <c r="RD9" s="20"/>
      <c r="RE9" s="19"/>
      <c r="RF9" s="17"/>
      <c r="RG9" s="19"/>
      <c r="RH9" s="72"/>
      <c r="RI9" s="24"/>
      <c r="RK9" s="133"/>
      <c r="RL9" s="2"/>
      <c r="RM9" s="20">
        <v>2</v>
      </c>
      <c r="RN9" s="19"/>
      <c r="RO9" s="17"/>
      <c r="RP9" s="19"/>
      <c r="RQ9" s="72"/>
      <c r="RR9" s="24"/>
      <c r="RT9" s="133"/>
      <c r="RU9" s="2"/>
      <c r="RV9" s="20"/>
      <c r="RW9" s="19"/>
      <c r="RX9" s="17"/>
      <c r="RY9" s="19"/>
      <c r="RZ9" s="72"/>
      <c r="SA9" s="24"/>
      <c r="SC9" s="133"/>
      <c r="SD9" s="2"/>
      <c r="SE9" s="20"/>
      <c r="SF9" s="19"/>
      <c r="SG9" s="17"/>
      <c r="SH9" s="19"/>
      <c r="SI9" s="72"/>
      <c r="SJ9" s="24"/>
      <c r="SL9" s="133"/>
      <c r="SM9" s="2"/>
      <c r="SN9" s="20">
        <v>2</v>
      </c>
      <c r="SO9" s="19"/>
      <c r="SP9" s="17"/>
      <c r="SQ9" s="19"/>
      <c r="SR9" s="72"/>
      <c r="SS9" s="24"/>
      <c r="SU9" s="133"/>
      <c r="SV9" s="2"/>
      <c r="SW9" s="20">
        <v>2</v>
      </c>
      <c r="SX9" s="19"/>
      <c r="SY9" s="17"/>
      <c r="SZ9" s="19"/>
      <c r="TA9" s="72"/>
      <c r="TB9" s="24"/>
      <c r="TD9" s="133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Farmland</v>
      </c>
      <c r="D10" s="74" t="str">
        <f t="shared" si="6"/>
        <v>PED. 5004011</v>
      </c>
      <c r="E10" s="162">
        <f t="shared" si="6"/>
        <v>42283</v>
      </c>
      <c r="F10" s="77">
        <f t="shared" si="6"/>
        <v>18610.61</v>
      </c>
      <c r="G10" s="15">
        <f t="shared" si="6"/>
        <v>20</v>
      </c>
      <c r="H10" s="65">
        <f t="shared" si="6"/>
        <v>18621.759999999998</v>
      </c>
      <c r="I10" s="18">
        <f t="shared" si="6"/>
        <v>-11.149999999997817</v>
      </c>
      <c r="K10" s="59"/>
      <c r="L10" s="126"/>
      <c r="M10" s="20">
        <v>3</v>
      </c>
      <c r="N10" s="19">
        <v>896.3</v>
      </c>
      <c r="O10" s="339">
        <v>42278</v>
      </c>
      <c r="P10" s="226">
        <v>896.3</v>
      </c>
      <c r="Q10" s="340" t="s">
        <v>628</v>
      </c>
      <c r="R10" s="341">
        <v>30</v>
      </c>
      <c r="S10" s="16"/>
      <c r="T10" s="59"/>
      <c r="U10" s="126"/>
      <c r="V10" s="20">
        <v>3</v>
      </c>
      <c r="W10" s="19">
        <v>915.8</v>
      </c>
      <c r="X10" s="17">
        <v>42279</v>
      </c>
      <c r="Y10" s="19">
        <v>915.8</v>
      </c>
      <c r="Z10" s="72" t="s">
        <v>635</v>
      </c>
      <c r="AA10" s="24">
        <v>30</v>
      </c>
      <c r="AB10" s="16"/>
      <c r="AC10" s="59"/>
      <c r="AD10" s="126"/>
      <c r="AE10" s="20">
        <v>3</v>
      </c>
      <c r="AF10" s="19">
        <v>973</v>
      </c>
      <c r="AG10" s="17">
        <v>42280</v>
      </c>
      <c r="AH10" s="19">
        <v>973</v>
      </c>
      <c r="AI10" s="72" t="s">
        <v>641</v>
      </c>
      <c r="AJ10" s="24">
        <v>31</v>
      </c>
      <c r="AK10" s="16"/>
      <c r="AL10" s="135"/>
      <c r="AM10" s="126"/>
      <c r="AN10" s="20">
        <v>3</v>
      </c>
      <c r="AO10" s="19">
        <v>944.22</v>
      </c>
      <c r="AP10" s="156">
        <v>42280</v>
      </c>
      <c r="AQ10" s="19">
        <v>944.22</v>
      </c>
      <c r="AR10" s="309" t="s">
        <v>639</v>
      </c>
      <c r="AS10" s="116">
        <v>31</v>
      </c>
      <c r="AT10" s="16"/>
      <c r="AU10" s="135"/>
      <c r="AV10" s="175"/>
      <c r="AW10" s="20"/>
      <c r="AX10" s="19"/>
      <c r="AY10" s="110"/>
      <c r="AZ10" s="19"/>
      <c r="BA10" s="129"/>
      <c r="BB10" s="108"/>
      <c r="BC10" s="16"/>
      <c r="BD10" s="135"/>
      <c r="BE10" s="175"/>
      <c r="BF10" s="20">
        <v>3</v>
      </c>
      <c r="BG10" s="19">
        <v>925.8</v>
      </c>
      <c r="BH10" s="17">
        <v>42281</v>
      </c>
      <c r="BI10" s="19">
        <v>925.8</v>
      </c>
      <c r="BJ10" s="510" t="s">
        <v>643</v>
      </c>
      <c r="BK10" s="160">
        <v>31</v>
      </c>
      <c r="BL10" s="16"/>
      <c r="BM10" s="59"/>
      <c r="BN10" s="126"/>
      <c r="BO10" s="20">
        <v>3</v>
      </c>
      <c r="BP10" s="19">
        <v>967.8</v>
      </c>
      <c r="BQ10" s="17">
        <v>42283</v>
      </c>
      <c r="BR10" s="19">
        <v>967.8</v>
      </c>
      <c r="BS10" s="72" t="s">
        <v>653</v>
      </c>
      <c r="BT10" s="24">
        <v>31.5</v>
      </c>
      <c r="BU10" s="16"/>
      <c r="BV10" s="59"/>
      <c r="BW10" s="126"/>
      <c r="BX10" s="20">
        <v>3</v>
      </c>
      <c r="BY10" s="19">
        <v>910.2</v>
      </c>
      <c r="BZ10" s="17">
        <v>42283</v>
      </c>
      <c r="CA10" s="19">
        <v>910.2</v>
      </c>
      <c r="CB10" s="72" t="s">
        <v>651</v>
      </c>
      <c r="CC10" s="24">
        <v>31.5</v>
      </c>
      <c r="CD10" s="16"/>
      <c r="CE10" s="135"/>
      <c r="CF10" s="126"/>
      <c r="CG10" s="20">
        <v>3</v>
      </c>
      <c r="CH10" s="19">
        <v>926.08</v>
      </c>
      <c r="CI10" s="17">
        <v>42284</v>
      </c>
      <c r="CJ10" s="179">
        <v>926.08</v>
      </c>
      <c r="CK10" s="437" t="s">
        <v>659</v>
      </c>
      <c r="CL10" s="24">
        <v>31.5</v>
      </c>
      <c r="CM10" s="16"/>
      <c r="CN10" s="135"/>
      <c r="CO10" s="126"/>
      <c r="CP10" s="20">
        <v>3</v>
      </c>
      <c r="CQ10" s="19">
        <v>927.6</v>
      </c>
      <c r="CR10" s="17">
        <v>42285</v>
      </c>
      <c r="CS10" s="19">
        <v>927.6</v>
      </c>
      <c r="CT10" s="326" t="s">
        <v>663</v>
      </c>
      <c r="CU10" s="24">
        <v>31.5</v>
      </c>
      <c r="CV10" s="16"/>
      <c r="CW10" s="135"/>
      <c r="CX10" s="126"/>
      <c r="CY10" s="20">
        <v>3</v>
      </c>
      <c r="CZ10" s="202">
        <v>986</v>
      </c>
      <c r="DA10" s="17">
        <v>42287</v>
      </c>
      <c r="DB10" s="202">
        <v>986</v>
      </c>
      <c r="DC10" s="43" t="s">
        <v>670</v>
      </c>
      <c r="DD10" s="24">
        <v>32</v>
      </c>
      <c r="DE10" s="16"/>
      <c r="DF10" s="135"/>
      <c r="DG10" s="126"/>
      <c r="DH10" s="20">
        <v>3</v>
      </c>
      <c r="DI10" s="19">
        <v>913.5</v>
      </c>
      <c r="DJ10" s="17">
        <v>42286</v>
      </c>
      <c r="DK10" s="19">
        <v>913.5</v>
      </c>
      <c r="DL10" s="43" t="s">
        <v>667</v>
      </c>
      <c r="DM10" s="24">
        <v>32</v>
      </c>
      <c r="DN10" s="16"/>
      <c r="DO10" s="135"/>
      <c r="DP10" s="126"/>
      <c r="DQ10" s="20">
        <v>3</v>
      </c>
      <c r="DR10" s="30">
        <v>924.9</v>
      </c>
      <c r="DS10" s="58">
        <v>42287</v>
      </c>
      <c r="DT10" s="30">
        <v>924.9</v>
      </c>
      <c r="DU10" s="614" t="s">
        <v>672</v>
      </c>
      <c r="DV10" s="24">
        <v>32</v>
      </c>
      <c r="DW10" s="16"/>
      <c r="DX10" s="135"/>
      <c r="DY10" s="126"/>
      <c r="DZ10" s="20">
        <v>3</v>
      </c>
      <c r="EA10" s="30">
        <v>988.21</v>
      </c>
      <c r="EB10" s="58">
        <v>42290</v>
      </c>
      <c r="EC10" s="30">
        <v>988.21</v>
      </c>
      <c r="ED10" s="79" t="s">
        <v>685</v>
      </c>
      <c r="EE10" s="24">
        <v>30.3</v>
      </c>
      <c r="EF10" s="16"/>
      <c r="EG10" s="135"/>
      <c r="EH10" s="175"/>
      <c r="EI10" s="20">
        <v>3</v>
      </c>
      <c r="EJ10" s="19">
        <v>1036</v>
      </c>
      <c r="EK10" s="17">
        <v>42289</v>
      </c>
      <c r="EL10" s="19">
        <v>1036</v>
      </c>
      <c r="EM10" s="43" t="s">
        <v>677</v>
      </c>
      <c r="EN10" s="24">
        <v>32</v>
      </c>
      <c r="EO10" s="16"/>
      <c r="EP10" s="135" t="s">
        <v>463</v>
      </c>
      <c r="EQ10" s="126"/>
      <c r="ER10" s="20">
        <v>3</v>
      </c>
      <c r="ES10" s="19">
        <v>909.9</v>
      </c>
      <c r="ET10" s="17">
        <v>42289</v>
      </c>
      <c r="EU10" s="19">
        <v>909.9</v>
      </c>
      <c r="EV10" s="79" t="s">
        <v>679</v>
      </c>
      <c r="EW10" s="24">
        <v>32</v>
      </c>
      <c r="EX10" s="16"/>
      <c r="EY10" s="135"/>
      <c r="EZ10" s="126"/>
      <c r="FA10" s="20">
        <v>3</v>
      </c>
      <c r="FB10" s="19">
        <v>928.8</v>
      </c>
      <c r="FC10" s="17">
        <v>42290</v>
      </c>
      <c r="FD10" s="19">
        <v>928.8</v>
      </c>
      <c r="FE10" s="43" t="s">
        <v>688</v>
      </c>
      <c r="FF10" s="24">
        <v>32.5</v>
      </c>
      <c r="FG10" s="16"/>
      <c r="FH10" s="135"/>
      <c r="FI10" s="126"/>
      <c r="FJ10" s="20">
        <v>3</v>
      </c>
      <c r="FK10" s="30">
        <v>935.15</v>
      </c>
      <c r="FL10" s="58">
        <v>42290</v>
      </c>
      <c r="FM10" s="30">
        <v>935.15</v>
      </c>
      <c r="FN10" s="79" t="s">
        <v>690</v>
      </c>
      <c r="FO10" s="24">
        <v>32.5</v>
      </c>
      <c r="FP10" s="16"/>
      <c r="FQ10" s="135"/>
      <c r="FR10" s="126"/>
      <c r="FS10" s="20">
        <v>3</v>
      </c>
      <c r="FT10" s="30">
        <v>942.4</v>
      </c>
      <c r="FU10" s="58">
        <v>42291</v>
      </c>
      <c r="FV10" s="30">
        <v>942.4</v>
      </c>
      <c r="FW10" s="79" t="s">
        <v>696</v>
      </c>
      <c r="FX10" s="24">
        <v>32.5</v>
      </c>
      <c r="FY10" s="16"/>
      <c r="FZ10" s="135"/>
      <c r="GA10" s="175"/>
      <c r="GB10" s="20">
        <v>3</v>
      </c>
      <c r="GC10" s="19">
        <v>812.8</v>
      </c>
      <c r="GD10" s="17">
        <v>42291</v>
      </c>
      <c r="GE10" s="19">
        <v>812.8</v>
      </c>
      <c r="GF10" s="360" t="s">
        <v>694</v>
      </c>
      <c r="GG10" s="24">
        <v>32.5</v>
      </c>
      <c r="GH10" s="16"/>
      <c r="GI10" s="135"/>
      <c r="GJ10" s="126"/>
      <c r="GK10" s="20">
        <v>3</v>
      </c>
      <c r="GL10" s="19">
        <v>929</v>
      </c>
      <c r="GM10" s="17">
        <v>42292</v>
      </c>
      <c r="GN10" s="19">
        <v>929</v>
      </c>
      <c r="GO10" s="72" t="s">
        <v>701</v>
      </c>
      <c r="GP10" s="24">
        <v>32.5</v>
      </c>
      <c r="GQ10" s="16"/>
      <c r="GR10" s="135"/>
      <c r="GS10" s="126"/>
      <c r="GT10" s="20">
        <v>3</v>
      </c>
      <c r="GU10" s="19">
        <v>925.3</v>
      </c>
      <c r="GV10" s="17">
        <v>42293</v>
      </c>
      <c r="GW10" s="19">
        <v>925.3</v>
      </c>
      <c r="GX10" s="72" t="s">
        <v>705</v>
      </c>
      <c r="GY10" s="24">
        <v>32.5</v>
      </c>
      <c r="GZ10" s="16"/>
      <c r="HA10" s="135"/>
      <c r="HB10" s="126"/>
      <c r="HC10" s="20">
        <v>3</v>
      </c>
      <c r="HD10" s="19">
        <v>926.7</v>
      </c>
      <c r="HE10" s="17">
        <v>42293</v>
      </c>
      <c r="HF10" s="19">
        <v>926.7</v>
      </c>
      <c r="HG10" s="72" t="s">
        <v>713</v>
      </c>
      <c r="HH10" s="24">
        <v>33</v>
      </c>
      <c r="HI10" s="16"/>
      <c r="HJ10" s="135"/>
      <c r="HK10" s="126"/>
      <c r="HL10" s="20">
        <v>3</v>
      </c>
      <c r="HM10" s="19">
        <v>938.5</v>
      </c>
      <c r="HN10" s="17">
        <v>42293</v>
      </c>
      <c r="HO10" s="19">
        <v>938.5</v>
      </c>
      <c r="HP10" s="72" t="s">
        <v>715</v>
      </c>
      <c r="HQ10" s="24">
        <v>33</v>
      </c>
      <c r="HR10" s="16"/>
      <c r="HS10" s="135"/>
      <c r="HT10" s="126"/>
      <c r="HU10" s="20">
        <v>3</v>
      </c>
      <c r="HV10" s="19">
        <v>924</v>
      </c>
      <c r="HW10" s="17">
        <v>42294</v>
      </c>
      <c r="HX10" s="19">
        <v>924</v>
      </c>
      <c r="HY10" s="72" t="s">
        <v>719</v>
      </c>
      <c r="HZ10" s="24">
        <v>33</v>
      </c>
      <c r="IA10" s="16"/>
      <c r="IB10" s="135"/>
      <c r="IC10" s="126"/>
      <c r="ID10" s="20">
        <v>3</v>
      </c>
      <c r="IE10" s="19">
        <v>895.4</v>
      </c>
      <c r="IF10" s="17">
        <v>42294</v>
      </c>
      <c r="IG10" s="19">
        <v>895.4</v>
      </c>
      <c r="IH10" s="72" t="s">
        <v>721</v>
      </c>
      <c r="II10" s="24">
        <v>33</v>
      </c>
      <c r="IJ10" s="16"/>
      <c r="IK10" s="135"/>
      <c r="IL10" s="126"/>
      <c r="IM10" s="20">
        <v>3</v>
      </c>
      <c r="IN10" s="19">
        <v>918.37</v>
      </c>
      <c r="IO10" s="17">
        <v>42297</v>
      </c>
      <c r="IP10" s="19">
        <v>918.37</v>
      </c>
      <c r="IQ10" s="72" t="s">
        <v>726</v>
      </c>
      <c r="IR10" s="24">
        <v>32.07</v>
      </c>
      <c r="IS10" s="16"/>
      <c r="IT10" s="135" t="s">
        <v>482</v>
      </c>
      <c r="IU10" s="126"/>
      <c r="IV10" s="20">
        <v>3</v>
      </c>
      <c r="IW10" s="19">
        <v>864.1</v>
      </c>
      <c r="IX10" s="110">
        <v>42296</v>
      </c>
      <c r="IY10" s="19">
        <v>864.1</v>
      </c>
      <c r="IZ10" s="129" t="s">
        <v>722</v>
      </c>
      <c r="JA10" s="108">
        <v>33.5</v>
      </c>
      <c r="JB10" s="16"/>
      <c r="JC10" s="135"/>
      <c r="JD10" s="126"/>
      <c r="JE10" s="20">
        <v>3</v>
      </c>
      <c r="JF10" s="19">
        <v>987</v>
      </c>
      <c r="JG10" s="17">
        <v>42297</v>
      </c>
      <c r="JH10" s="19">
        <v>987</v>
      </c>
      <c r="JI10" s="510" t="s">
        <v>731</v>
      </c>
      <c r="JJ10" s="24">
        <v>33.5</v>
      </c>
      <c r="JK10" s="16"/>
      <c r="JL10" s="135"/>
      <c r="JM10" s="126"/>
      <c r="JN10" s="20">
        <v>3</v>
      </c>
      <c r="JO10" s="19">
        <v>983</v>
      </c>
      <c r="JP10" s="17">
        <v>42299</v>
      </c>
      <c r="JQ10" s="19">
        <v>983</v>
      </c>
      <c r="JR10" s="72" t="s">
        <v>737</v>
      </c>
      <c r="JS10" s="24">
        <v>33.5</v>
      </c>
      <c r="JT10" s="16"/>
      <c r="JU10" s="59"/>
      <c r="JV10" s="276"/>
      <c r="JW10" s="20">
        <v>3</v>
      </c>
      <c r="JX10" s="19">
        <v>921.09</v>
      </c>
      <c r="JY10" s="17">
        <v>42297</v>
      </c>
      <c r="JZ10" s="19">
        <v>921.09</v>
      </c>
      <c r="KA10" s="72" t="s">
        <v>729</v>
      </c>
      <c r="KB10" s="24">
        <v>33.5</v>
      </c>
      <c r="KC10" s="16"/>
      <c r="KD10" s="59"/>
      <c r="KE10" s="126"/>
      <c r="KF10" s="20">
        <v>3</v>
      </c>
      <c r="KG10" s="202">
        <v>897.96</v>
      </c>
      <c r="KH10" s="110">
        <v>42299</v>
      </c>
      <c r="KI10" s="202">
        <v>897.96</v>
      </c>
      <c r="KJ10" s="129" t="s">
        <v>740</v>
      </c>
      <c r="KK10" s="108">
        <v>33.5</v>
      </c>
      <c r="KL10" s="16"/>
      <c r="KM10" s="59"/>
      <c r="KN10" s="126"/>
      <c r="KO10" s="20">
        <v>3</v>
      </c>
      <c r="KP10" s="202">
        <v>910.66</v>
      </c>
      <c r="KQ10" s="17">
        <v>42300</v>
      </c>
      <c r="KR10" s="202">
        <v>910.66</v>
      </c>
      <c r="KS10" s="72" t="s">
        <v>747</v>
      </c>
      <c r="KT10" s="24">
        <v>33.5</v>
      </c>
      <c r="KU10" s="16"/>
      <c r="KV10" s="59"/>
      <c r="KW10" s="175"/>
      <c r="KX10" s="20">
        <v>3</v>
      </c>
      <c r="KY10" s="19">
        <v>932.1</v>
      </c>
      <c r="KZ10" s="17">
        <v>42301</v>
      </c>
      <c r="LA10" s="19">
        <v>932.1</v>
      </c>
      <c r="LB10" s="72" t="s">
        <v>750</v>
      </c>
      <c r="LC10" s="24">
        <v>33.5</v>
      </c>
      <c r="LD10" s="16"/>
      <c r="LE10" s="59"/>
      <c r="LF10" s="126"/>
      <c r="LG10" s="20">
        <v>3</v>
      </c>
      <c r="LH10" s="202">
        <v>914</v>
      </c>
      <c r="LI10" s="17">
        <v>42301</v>
      </c>
      <c r="LJ10" s="202">
        <v>914</v>
      </c>
      <c r="LK10" s="72" t="s">
        <v>754</v>
      </c>
      <c r="LL10" s="24">
        <v>33.5</v>
      </c>
      <c r="LM10" s="16"/>
      <c r="LN10" s="59"/>
      <c r="LO10" s="126"/>
      <c r="LP10" s="20">
        <v>3</v>
      </c>
      <c r="LQ10" s="19">
        <v>954.65</v>
      </c>
      <c r="LR10" s="17">
        <v>42303</v>
      </c>
      <c r="LS10" s="19">
        <v>954.65</v>
      </c>
      <c r="LT10" s="72" t="s">
        <v>762</v>
      </c>
      <c r="LU10" s="24">
        <v>32.5</v>
      </c>
      <c r="LV10" s="16"/>
      <c r="LW10" s="59"/>
      <c r="LX10" s="126"/>
      <c r="LY10" s="20">
        <v>3</v>
      </c>
      <c r="LZ10" s="179">
        <v>912.2</v>
      </c>
      <c r="MA10" s="17">
        <v>42303</v>
      </c>
      <c r="MB10" s="19">
        <v>912.2</v>
      </c>
      <c r="MC10" s="510" t="s">
        <v>765</v>
      </c>
      <c r="MD10" s="24">
        <v>32.5</v>
      </c>
      <c r="ME10" s="16"/>
      <c r="MF10" s="59"/>
      <c r="MG10" s="126"/>
      <c r="MH10" s="20">
        <v>3</v>
      </c>
      <c r="MI10" s="19">
        <v>935.15</v>
      </c>
      <c r="MJ10" s="17">
        <v>42304</v>
      </c>
      <c r="MK10" s="19">
        <v>935.15</v>
      </c>
      <c r="ML10" s="72" t="s">
        <v>767</v>
      </c>
      <c r="MM10" s="24">
        <v>31</v>
      </c>
      <c r="MN10" s="16"/>
      <c r="MO10" s="59"/>
      <c r="MP10" s="126"/>
      <c r="MQ10" s="20">
        <v>3</v>
      </c>
      <c r="MR10" s="19">
        <v>941.04</v>
      </c>
      <c r="MS10" s="17">
        <v>42306</v>
      </c>
      <c r="MT10" s="19">
        <v>941.04</v>
      </c>
      <c r="MU10" s="72" t="s">
        <v>776</v>
      </c>
      <c r="MV10" s="24">
        <v>31</v>
      </c>
      <c r="MW10" s="16"/>
      <c r="MX10" s="59"/>
      <c r="MY10" s="183" t="s">
        <v>448</v>
      </c>
      <c r="MZ10" s="20">
        <v>3</v>
      </c>
      <c r="NA10" s="19">
        <v>770.07</v>
      </c>
      <c r="NB10" s="17">
        <v>42305</v>
      </c>
      <c r="NC10" s="19">
        <v>770.07</v>
      </c>
      <c r="ND10" s="72" t="s">
        <v>773</v>
      </c>
      <c r="NE10" s="24">
        <v>18</v>
      </c>
      <c r="NF10" s="16"/>
      <c r="NG10" s="59"/>
      <c r="NH10" s="126"/>
      <c r="NI10" s="20">
        <v>3</v>
      </c>
      <c r="NJ10" s="19">
        <v>923.1</v>
      </c>
      <c r="NK10" s="17">
        <v>42306</v>
      </c>
      <c r="NL10" s="19">
        <v>923.1</v>
      </c>
      <c r="NM10" s="309" t="s">
        <v>778</v>
      </c>
      <c r="NN10" s="24">
        <v>30</v>
      </c>
      <c r="NO10" s="16"/>
      <c r="NP10" s="59"/>
      <c r="NQ10" s="126"/>
      <c r="NR10" s="20">
        <v>3</v>
      </c>
      <c r="NS10" s="19">
        <v>922.6</v>
      </c>
      <c r="NT10" s="17">
        <v>42307</v>
      </c>
      <c r="NU10" s="19">
        <v>922.6</v>
      </c>
      <c r="NV10" s="72" t="s">
        <v>785</v>
      </c>
      <c r="NW10" s="24">
        <v>30</v>
      </c>
      <c r="NX10" s="16"/>
      <c r="NY10" s="59"/>
      <c r="NZ10" s="126"/>
      <c r="OA10" s="20">
        <v>3</v>
      </c>
      <c r="OB10" s="19">
        <v>890.25</v>
      </c>
      <c r="OC10" s="17">
        <v>42307</v>
      </c>
      <c r="OD10" s="19">
        <v>890.25</v>
      </c>
      <c r="OE10" s="617" t="s">
        <v>781</v>
      </c>
      <c r="OF10" s="24">
        <v>30</v>
      </c>
      <c r="OG10" s="16"/>
      <c r="OH10" s="59"/>
      <c r="OI10" s="126"/>
      <c r="OJ10" s="20">
        <v>3</v>
      </c>
      <c r="OK10" s="19">
        <v>928.34</v>
      </c>
      <c r="OL10" s="17"/>
      <c r="OM10" s="19"/>
      <c r="ON10" s="72"/>
      <c r="OO10" s="24"/>
      <c r="OP10" s="16"/>
      <c r="OQ10" s="59"/>
      <c r="OR10" s="126"/>
      <c r="OS10" s="20">
        <v>3</v>
      </c>
      <c r="OT10" s="19">
        <v>957</v>
      </c>
      <c r="OU10" s="17">
        <v>42308</v>
      </c>
      <c r="OV10" s="19">
        <v>957</v>
      </c>
      <c r="OW10" s="309" t="s">
        <v>790</v>
      </c>
      <c r="OX10" s="24">
        <v>29</v>
      </c>
      <c r="OY10" s="16"/>
      <c r="OZ10" s="59"/>
      <c r="PA10" s="126"/>
      <c r="PB10" s="20">
        <v>3</v>
      </c>
      <c r="PC10" s="19">
        <v>923.1</v>
      </c>
      <c r="PD10" s="17">
        <v>42308</v>
      </c>
      <c r="PE10" s="19">
        <v>923.1</v>
      </c>
      <c r="PF10" s="72" t="s">
        <v>792</v>
      </c>
      <c r="PG10" s="24">
        <v>29</v>
      </c>
      <c r="PH10" s="16"/>
      <c r="PI10" s="59"/>
      <c r="PJ10" s="126"/>
      <c r="PK10" s="20"/>
      <c r="PL10" s="19"/>
      <c r="PM10" s="17"/>
      <c r="PN10" s="19"/>
      <c r="PO10" s="72"/>
      <c r="PP10" s="24"/>
      <c r="PQ10" s="16"/>
      <c r="PR10" s="59"/>
      <c r="PS10" s="183"/>
      <c r="PT10" s="20"/>
      <c r="PU10" s="19"/>
      <c r="PV10" s="156"/>
      <c r="PW10" s="179"/>
      <c r="PX10" s="309"/>
      <c r="PY10" s="116"/>
      <c r="PZ10" s="16"/>
      <c r="QA10" s="59"/>
      <c r="QB10" s="126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135"/>
      <c r="RL10" s="2"/>
      <c r="RM10" s="20">
        <v>3</v>
      </c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>Farmland</v>
      </c>
      <c r="D11" s="74" t="str">
        <f t="shared" si="7"/>
        <v>PED. 5004012</v>
      </c>
      <c r="E11" s="162">
        <f t="shared" si="7"/>
        <v>42283</v>
      </c>
      <c r="F11" s="77">
        <f t="shared" si="7"/>
        <v>18431.509999999998</v>
      </c>
      <c r="G11" s="15">
        <f t="shared" si="7"/>
        <v>20</v>
      </c>
      <c r="H11" s="65">
        <f t="shared" si="7"/>
        <v>18463.939999999999</v>
      </c>
      <c r="I11" s="18">
        <f t="shared" si="7"/>
        <v>-32.430000000000291</v>
      </c>
      <c r="K11" s="147"/>
      <c r="L11" s="126"/>
      <c r="M11" s="20">
        <v>4</v>
      </c>
      <c r="N11" s="19">
        <v>940.7</v>
      </c>
      <c r="O11" s="339">
        <v>42278</v>
      </c>
      <c r="P11" s="226">
        <v>940.7</v>
      </c>
      <c r="Q11" s="340" t="s">
        <v>628</v>
      </c>
      <c r="R11" s="341">
        <v>30</v>
      </c>
      <c r="S11" s="16"/>
      <c r="T11" s="147"/>
      <c r="U11" s="207"/>
      <c r="V11" s="20">
        <v>4</v>
      </c>
      <c r="W11" s="191">
        <v>925.8</v>
      </c>
      <c r="X11" s="17">
        <v>42279</v>
      </c>
      <c r="Y11" s="191">
        <v>925.8</v>
      </c>
      <c r="Z11" s="72" t="s">
        <v>635</v>
      </c>
      <c r="AA11" s="24">
        <v>30</v>
      </c>
      <c r="AB11" s="16"/>
      <c r="AC11" s="147"/>
      <c r="AD11" s="126"/>
      <c r="AE11" s="20">
        <v>4</v>
      </c>
      <c r="AF11" s="19">
        <v>993</v>
      </c>
      <c r="AG11" s="17">
        <v>42280</v>
      </c>
      <c r="AH11" s="19">
        <v>993</v>
      </c>
      <c r="AI11" s="72" t="s">
        <v>641</v>
      </c>
      <c r="AJ11" s="24">
        <v>31</v>
      </c>
      <c r="AK11" s="16"/>
      <c r="AL11" s="147"/>
      <c r="AM11" s="126"/>
      <c r="AN11" s="20">
        <v>4</v>
      </c>
      <c r="AO11" s="19">
        <v>940.59</v>
      </c>
      <c r="AP11" s="156">
        <v>42280</v>
      </c>
      <c r="AQ11" s="19">
        <v>940.59</v>
      </c>
      <c r="AR11" s="309" t="s">
        <v>639</v>
      </c>
      <c r="AS11" s="116">
        <v>31</v>
      </c>
      <c r="AT11" s="16"/>
      <c r="AU11" s="147" t="s">
        <v>34</v>
      </c>
      <c r="AV11" s="175"/>
      <c r="AW11" s="20"/>
      <c r="AX11" s="19"/>
      <c r="AY11" s="110"/>
      <c r="AZ11" s="19"/>
      <c r="BA11" s="129"/>
      <c r="BB11" s="108"/>
      <c r="BC11" s="16"/>
      <c r="BD11" s="147"/>
      <c r="BE11" s="175"/>
      <c r="BF11" s="20">
        <v>4</v>
      </c>
      <c r="BG11" s="19">
        <v>903.6</v>
      </c>
      <c r="BH11" s="17">
        <v>42281</v>
      </c>
      <c r="BI11" s="19">
        <v>903.6</v>
      </c>
      <c r="BJ11" s="510" t="s">
        <v>643</v>
      </c>
      <c r="BK11" s="160">
        <v>31</v>
      </c>
      <c r="BL11" s="16"/>
      <c r="BM11" s="147"/>
      <c r="BN11" s="126"/>
      <c r="BO11" s="20">
        <v>4</v>
      </c>
      <c r="BP11" s="19">
        <v>961.45</v>
      </c>
      <c r="BQ11" s="17">
        <v>42283</v>
      </c>
      <c r="BR11" s="19">
        <v>961.45</v>
      </c>
      <c r="BS11" s="72" t="s">
        <v>653</v>
      </c>
      <c r="BT11" s="24">
        <v>31.5</v>
      </c>
      <c r="BU11" s="16"/>
      <c r="BV11" s="147"/>
      <c r="BW11" s="126"/>
      <c r="BX11" s="20">
        <v>4</v>
      </c>
      <c r="BY11" s="19">
        <v>919.27</v>
      </c>
      <c r="BZ11" s="17">
        <v>42283</v>
      </c>
      <c r="CA11" s="19">
        <v>919.27</v>
      </c>
      <c r="CB11" s="72" t="s">
        <v>651</v>
      </c>
      <c r="CC11" s="24">
        <v>31.5</v>
      </c>
      <c r="CD11" s="16"/>
      <c r="CE11" s="147"/>
      <c r="CF11" s="126"/>
      <c r="CG11" s="20">
        <v>4</v>
      </c>
      <c r="CH11" s="19">
        <v>947.39</v>
      </c>
      <c r="CI11" s="17">
        <v>42284</v>
      </c>
      <c r="CJ11" s="19">
        <v>947.39</v>
      </c>
      <c r="CK11" s="437" t="s">
        <v>659</v>
      </c>
      <c r="CL11" s="24">
        <v>31.5</v>
      </c>
      <c r="CM11" s="16"/>
      <c r="CN11" s="147"/>
      <c r="CO11" s="126"/>
      <c r="CP11" s="20">
        <v>4</v>
      </c>
      <c r="CQ11" s="19">
        <v>930.3</v>
      </c>
      <c r="CR11" s="17">
        <v>42285</v>
      </c>
      <c r="CS11" s="19">
        <v>930.3</v>
      </c>
      <c r="CT11" s="326" t="s">
        <v>663</v>
      </c>
      <c r="CU11" s="24">
        <v>31.5</v>
      </c>
      <c r="CV11" s="16"/>
      <c r="CW11" s="147"/>
      <c r="CX11" s="126"/>
      <c r="CY11" s="20">
        <v>4</v>
      </c>
      <c r="CZ11" s="202">
        <v>995</v>
      </c>
      <c r="DA11" s="17">
        <v>42287</v>
      </c>
      <c r="DB11" s="202">
        <v>995</v>
      </c>
      <c r="DC11" s="43" t="s">
        <v>670</v>
      </c>
      <c r="DD11" s="24">
        <v>32</v>
      </c>
      <c r="DE11" s="16"/>
      <c r="DF11" s="147"/>
      <c r="DG11" s="126"/>
      <c r="DH11" s="20">
        <v>4</v>
      </c>
      <c r="DI11" s="19">
        <v>922.6</v>
      </c>
      <c r="DJ11" s="17">
        <v>42286</v>
      </c>
      <c r="DK11" s="19">
        <v>922.6</v>
      </c>
      <c r="DL11" s="43" t="s">
        <v>667</v>
      </c>
      <c r="DM11" s="24">
        <v>32</v>
      </c>
      <c r="DN11" s="16"/>
      <c r="DO11" s="147"/>
      <c r="DP11" s="126"/>
      <c r="DQ11" s="20">
        <v>4</v>
      </c>
      <c r="DR11" s="30">
        <v>914</v>
      </c>
      <c r="DS11" s="58">
        <v>42287</v>
      </c>
      <c r="DT11" s="30">
        <v>914</v>
      </c>
      <c r="DU11" s="79" t="s">
        <v>672</v>
      </c>
      <c r="DV11" s="24">
        <v>32</v>
      </c>
      <c r="DW11" s="16"/>
      <c r="DX11" s="147"/>
      <c r="DY11" s="126"/>
      <c r="DZ11" s="20">
        <v>4</v>
      </c>
      <c r="EA11" s="30">
        <v>975.51</v>
      </c>
      <c r="EB11" s="58">
        <v>42290</v>
      </c>
      <c r="EC11" s="30">
        <v>975.51</v>
      </c>
      <c r="ED11" s="79" t="s">
        <v>685</v>
      </c>
      <c r="EE11" s="24">
        <v>30.3</v>
      </c>
      <c r="EF11" s="16"/>
      <c r="EG11" s="147"/>
      <c r="EH11" s="175"/>
      <c r="EI11" s="20">
        <v>4</v>
      </c>
      <c r="EJ11" s="19">
        <v>989</v>
      </c>
      <c r="EK11" s="17">
        <v>42289</v>
      </c>
      <c r="EL11" s="19">
        <v>989</v>
      </c>
      <c r="EM11" s="43" t="s">
        <v>677</v>
      </c>
      <c r="EN11" s="24">
        <v>32</v>
      </c>
      <c r="EO11" s="16"/>
      <c r="EP11" s="147" t="s">
        <v>34</v>
      </c>
      <c r="EQ11" s="126"/>
      <c r="ER11" s="20">
        <v>4</v>
      </c>
      <c r="ES11" s="19">
        <v>853.2</v>
      </c>
      <c r="ET11" s="17">
        <v>42289</v>
      </c>
      <c r="EU11" s="19">
        <v>853.2</v>
      </c>
      <c r="EV11" s="79" t="s">
        <v>679</v>
      </c>
      <c r="EW11" s="24">
        <v>32</v>
      </c>
      <c r="EX11" s="16"/>
      <c r="EY11" s="147"/>
      <c r="EZ11" s="126"/>
      <c r="FA11" s="20">
        <v>4</v>
      </c>
      <c r="FB11" s="19">
        <v>926.98</v>
      </c>
      <c r="FC11" s="17">
        <v>42290</v>
      </c>
      <c r="FD11" s="19">
        <v>926.98</v>
      </c>
      <c r="FE11" s="43" t="s">
        <v>688</v>
      </c>
      <c r="FF11" s="24">
        <v>32.5</v>
      </c>
      <c r="FG11" s="16"/>
      <c r="FH11" s="147"/>
      <c r="FI11" s="126"/>
      <c r="FJ11" s="20">
        <v>4</v>
      </c>
      <c r="FK11" s="30">
        <v>947.39</v>
      </c>
      <c r="FL11" s="58">
        <v>42290</v>
      </c>
      <c r="FM11" s="30">
        <v>947.39</v>
      </c>
      <c r="FN11" s="79" t="s">
        <v>690</v>
      </c>
      <c r="FO11" s="24">
        <v>32.5</v>
      </c>
      <c r="FP11" s="16"/>
      <c r="FQ11" s="147"/>
      <c r="FR11" s="126"/>
      <c r="FS11" s="20">
        <v>4</v>
      </c>
      <c r="FT11" s="30">
        <v>965.99</v>
      </c>
      <c r="FU11" s="180">
        <v>42291</v>
      </c>
      <c r="FV11" s="30">
        <v>965.99</v>
      </c>
      <c r="FW11" s="79" t="s">
        <v>696</v>
      </c>
      <c r="FX11" s="24">
        <v>32.5</v>
      </c>
      <c r="FY11" s="16"/>
      <c r="FZ11" s="147"/>
      <c r="GA11" s="175"/>
      <c r="GB11" s="20">
        <v>4</v>
      </c>
      <c r="GC11" s="19">
        <v>900.8</v>
      </c>
      <c r="GD11" s="17">
        <v>42291</v>
      </c>
      <c r="GE11" s="19">
        <v>900.8</v>
      </c>
      <c r="GF11" s="360" t="s">
        <v>694</v>
      </c>
      <c r="GG11" s="24">
        <v>32.5</v>
      </c>
      <c r="GH11" s="16"/>
      <c r="GI11" s="147"/>
      <c r="GJ11" s="126"/>
      <c r="GK11" s="20">
        <v>4</v>
      </c>
      <c r="GL11" s="19">
        <v>924.9</v>
      </c>
      <c r="GM11" s="17">
        <v>42292</v>
      </c>
      <c r="GN11" s="19">
        <v>924.9</v>
      </c>
      <c r="GO11" s="72" t="s">
        <v>701</v>
      </c>
      <c r="GP11" s="24">
        <v>32.5</v>
      </c>
      <c r="GQ11" s="16"/>
      <c r="GR11" s="147" t="s">
        <v>34</v>
      </c>
      <c r="GS11" s="126"/>
      <c r="GT11" s="20">
        <v>4</v>
      </c>
      <c r="GU11" s="19">
        <v>917.2</v>
      </c>
      <c r="GV11" s="17">
        <v>42293</v>
      </c>
      <c r="GW11" s="19">
        <v>917.2</v>
      </c>
      <c r="GX11" s="72" t="s">
        <v>705</v>
      </c>
      <c r="GY11" s="24">
        <v>32.5</v>
      </c>
      <c r="GZ11" s="16"/>
      <c r="HA11" s="147" t="s">
        <v>34</v>
      </c>
      <c r="HB11" s="126"/>
      <c r="HC11" s="20">
        <v>4</v>
      </c>
      <c r="HD11" s="19">
        <v>933</v>
      </c>
      <c r="HE11" s="17">
        <v>42293</v>
      </c>
      <c r="HF11" s="19">
        <v>933</v>
      </c>
      <c r="HG11" s="72" t="s">
        <v>713</v>
      </c>
      <c r="HH11" s="24">
        <v>33</v>
      </c>
      <c r="HI11" s="16"/>
      <c r="HJ11" s="147" t="s">
        <v>34</v>
      </c>
      <c r="HK11" s="126"/>
      <c r="HL11" s="20">
        <v>4</v>
      </c>
      <c r="HM11" s="19">
        <v>921.2</v>
      </c>
      <c r="HN11" s="17">
        <v>42293</v>
      </c>
      <c r="HO11" s="19">
        <v>921.2</v>
      </c>
      <c r="HP11" s="72" t="s">
        <v>715</v>
      </c>
      <c r="HQ11" s="24">
        <v>33</v>
      </c>
      <c r="HR11" s="16"/>
      <c r="HS11" s="147" t="s">
        <v>34</v>
      </c>
      <c r="HT11" s="126"/>
      <c r="HU11" s="20">
        <v>4</v>
      </c>
      <c r="HV11" s="19">
        <v>931</v>
      </c>
      <c r="HW11" s="17">
        <v>42294</v>
      </c>
      <c r="HX11" s="19">
        <v>931</v>
      </c>
      <c r="HY11" s="72" t="s">
        <v>719</v>
      </c>
      <c r="HZ11" s="24">
        <v>33</v>
      </c>
      <c r="IA11" s="16"/>
      <c r="IB11" s="147" t="s">
        <v>34</v>
      </c>
      <c r="IC11" s="126"/>
      <c r="ID11" s="20">
        <v>4</v>
      </c>
      <c r="IE11" s="19">
        <v>968.4</v>
      </c>
      <c r="IF11" s="17">
        <v>42294</v>
      </c>
      <c r="IG11" s="19">
        <v>968.4</v>
      </c>
      <c r="IH11" s="72" t="s">
        <v>721</v>
      </c>
      <c r="II11" s="24">
        <v>33</v>
      </c>
      <c r="IJ11" s="16"/>
      <c r="IK11" s="147" t="s">
        <v>34</v>
      </c>
      <c r="IL11" s="126"/>
      <c r="IM11" s="20">
        <v>4</v>
      </c>
      <c r="IN11" s="19">
        <v>925.62</v>
      </c>
      <c r="IO11" s="17">
        <v>42297</v>
      </c>
      <c r="IP11" s="19">
        <v>925.62</v>
      </c>
      <c r="IQ11" s="72" t="s">
        <v>726</v>
      </c>
      <c r="IR11" s="24">
        <v>32.07</v>
      </c>
      <c r="IS11" s="16"/>
      <c r="IT11" s="147" t="s">
        <v>34</v>
      </c>
      <c r="IU11" s="126"/>
      <c r="IV11" s="20">
        <v>4</v>
      </c>
      <c r="IW11" s="19">
        <v>820.5</v>
      </c>
      <c r="IX11" s="110">
        <v>42296</v>
      </c>
      <c r="IY11" s="19">
        <v>820.5</v>
      </c>
      <c r="IZ11" s="129" t="s">
        <v>722</v>
      </c>
      <c r="JA11" s="108">
        <v>33.5</v>
      </c>
      <c r="JB11" s="16"/>
      <c r="JC11" s="147" t="s">
        <v>34</v>
      </c>
      <c r="JD11" s="126"/>
      <c r="JE11" s="20">
        <v>4</v>
      </c>
      <c r="JF11" s="19">
        <v>957</v>
      </c>
      <c r="JG11" s="17">
        <v>42297</v>
      </c>
      <c r="JH11" s="19">
        <v>957</v>
      </c>
      <c r="JI11" s="510" t="s">
        <v>731</v>
      </c>
      <c r="JJ11" s="24">
        <v>33.5</v>
      </c>
      <c r="JK11" s="16"/>
      <c r="JL11" s="147" t="s">
        <v>34</v>
      </c>
      <c r="JM11" s="126"/>
      <c r="JN11" s="20">
        <v>4</v>
      </c>
      <c r="JO11" s="19">
        <v>968</v>
      </c>
      <c r="JP11" s="17">
        <v>42299</v>
      </c>
      <c r="JQ11" s="19">
        <v>968</v>
      </c>
      <c r="JR11" s="72" t="s">
        <v>737</v>
      </c>
      <c r="JS11" s="24">
        <v>33.5</v>
      </c>
      <c r="JT11" s="16"/>
      <c r="JU11" s="147"/>
      <c r="JV11" s="276"/>
      <c r="JW11" s="20">
        <v>4</v>
      </c>
      <c r="JX11" s="19">
        <v>891.16</v>
      </c>
      <c r="JY11" s="17">
        <v>42297</v>
      </c>
      <c r="JZ11" s="19">
        <v>891.16</v>
      </c>
      <c r="KA11" s="72" t="s">
        <v>729</v>
      </c>
      <c r="KB11" s="24">
        <v>33.5</v>
      </c>
      <c r="KC11" s="16"/>
      <c r="KD11" s="147"/>
      <c r="KE11" s="126"/>
      <c r="KF11" s="20">
        <v>4</v>
      </c>
      <c r="KG11" s="202">
        <v>936.05</v>
      </c>
      <c r="KH11" s="110">
        <v>42299</v>
      </c>
      <c r="KI11" s="202">
        <v>936.05</v>
      </c>
      <c r="KJ11" s="129" t="s">
        <v>740</v>
      </c>
      <c r="KK11" s="108">
        <v>33.5</v>
      </c>
      <c r="KL11" s="16"/>
      <c r="KM11" s="147"/>
      <c r="KN11" s="126"/>
      <c r="KO11" s="20">
        <v>4</v>
      </c>
      <c r="KP11" s="202">
        <v>898.87</v>
      </c>
      <c r="KQ11" s="17">
        <v>42300</v>
      </c>
      <c r="KR11" s="202">
        <v>898.87</v>
      </c>
      <c r="KS11" s="72" t="s">
        <v>747</v>
      </c>
      <c r="KT11" s="24">
        <v>33.5</v>
      </c>
      <c r="KU11" s="16"/>
      <c r="KV11" s="147"/>
      <c r="KW11" s="126"/>
      <c r="KX11" s="20">
        <v>4</v>
      </c>
      <c r="KY11" s="19">
        <v>914</v>
      </c>
      <c r="KZ11" s="17">
        <v>42301</v>
      </c>
      <c r="LA11" s="19">
        <v>914</v>
      </c>
      <c r="LB11" s="72" t="s">
        <v>750</v>
      </c>
      <c r="LC11" s="24">
        <v>33.5</v>
      </c>
      <c r="LD11" s="16"/>
      <c r="LE11" s="147"/>
      <c r="LF11" s="126"/>
      <c r="LG11" s="20">
        <v>4</v>
      </c>
      <c r="LH11" s="202">
        <v>925.3</v>
      </c>
      <c r="LI11" s="17">
        <v>42301</v>
      </c>
      <c r="LJ11" s="202">
        <v>925.3</v>
      </c>
      <c r="LK11" s="72" t="s">
        <v>753</v>
      </c>
      <c r="LL11" s="24">
        <v>33.5</v>
      </c>
      <c r="LM11" s="16"/>
      <c r="LN11" s="147"/>
      <c r="LO11" s="126"/>
      <c r="LP11" s="20">
        <v>4</v>
      </c>
      <c r="LQ11" s="191">
        <v>922.45</v>
      </c>
      <c r="LR11" s="17">
        <v>42303</v>
      </c>
      <c r="LS11" s="191">
        <v>922.45</v>
      </c>
      <c r="LT11" s="72" t="s">
        <v>762</v>
      </c>
      <c r="LU11" s="24">
        <v>32.5</v>
      </c>
      <c r="LV11" s="16"/>
      <c r="LW11" s="147"/>
      <c r="LX11" s="126"/>
      <c r="LY11" s="20">
        <v>4</v>
      </c>
      <c r="LZ11" s="179">
        <v>918.1</v>
      </c>
      <c r="MA11" s="17">
        <v>42303</v>
      </c>
      <c r="MB11" s="19">
        <v>918.1</v>
      </c>
      <c r="MC11" s="510" t="s">
        <v>765</v>
      </c>
      <c r="MD11" s="24">
        <v>32.5</v>
      </c>
      <c r="ME11" s="16"/>
      <c r="MF11" s="147"/>
      <c r="MG11" s="126"/>
      <c r="MH11" s="20">
        <v>4</v>
      </c>
      <c r="MI11" s="191">
        <v>972.79</v>
      </c>
      <c r="MJ11" s="17">
        <v>42304</v>
      </c>
      <c r="MK11" s="191">
        <v>972.79</v>
      </c>
      <c r="ML11" s="72" t="s">
        <v>767</v>
      </c>
      <c r="MM11" s="24">
        <v>31</v>
      </c>
      <c r="MN11" s="16"/>
      <c r="MO11" s="147"/>
      <c r="MP11" s="126"/>
      <c r="MQ11" s="20">
        <v>4</v>
      </c>
      <c r="MR11" s="19">
        <v>968.25</v>
      </c>
      <c r="MS11" s="17">
        <v>42306</v>
      </c>
      <c r="MT11" s="19">
        <v>968.25</v>
      </c>
      <c r="MU11" s="72" t="s">
        <v>776</v>
      </c>
      <c r="MV11" s="24">
        <v>31</v>
      </c>
      <c r="MW11" s="16"/>
      <c r="MX11" s="147"/>
      <c r="MY11" s="126"/>
      <c r="MZ11" s="20">
        <v>4</v>
      </c>
      <c r="NA11" s="19">
        <v>901.59</v>
      </c>
      <c r="NB11" s="17">
        <v>42305</v>
      </c>
      <c r="NC11" s="19">
        <v>901.59</v>
      </c>
      <c r="ND11" s="72" t="s">
        <v>772</v>
      </c>
      <c r="NE11" s="24">
        <v>31</v>
      </c>
      <c r="NF11" s="16"/>
      <c r="NG11" s="147"/>
      <c r="NH11" s="126"/>
      <c r="NI11" s="20">
        <v>4</v>
      </c>
      <c r="NJ11" s="19">
        <v>921.2</v>
      </c>
      <c r="NK11" s="17">
        <v>42306</v>
      </c>
      <c r="NL11" s="19">
        <v>921.2</v>
      </c>
      <c r="NM11" s="309" t="s">
        <v>778</v>
      </c>
      <c r="NN11" s="24">
        <v>30</v>
      </c>
      <c r="NO11" s="16"/>
      <c r="NP11" s="147"/>
      <c r="NQ11" s="126"/>
      <c r="NR11" s="20">
        <v>4</v>
      </c>
      <c r="NS11" s="19">
        <v>929</v>
      </c>
      <c r="NT11" s="17">
        <v>42307</v>
      </c>
      <c r="NU11" s="19">
        <v>929</v>
      </c>
      <c r="NV11" s="72" t="s">
        <v>785</v>
      </c>
      <c r="NW11" s="24">
        <v>30</v>
      </c>
      <c r="NX11" s="16"/>
      <c r="NY11" s="147"/>
      <c r="NZ11" s="126"/>
      <c r="OA11" s="20">
        <v>4</v>
      </c>
      <c r="OB11" s="19">
        <v>940.14</v>
      </c>
      <c r="OC11" s="17">
        <v>42307</v>
      </c>
      <c r="OD11" s="19">
        <v>940.14</v>
      </c>
      <c r="OE11" s="72" t="s">
        <v>781</v>
      </c>
      <c r="OF11" s="24">
        <v>30</v>
      </c>
      <c r="OG11" s="16"/>
      <c r="OH11" s="147"/>
      <c r="OI11" s="126"/>
      <c r="OJ11" s="20">
        <v>4</v>
      </c>
      <c r="OK11" s="19">
        <v>922.45</v>
      </c>
      <c r="OL11" s="17"/>
      <c r="OM11" s="19"/>
      <c r="ON11" s="72"/>
      <c r="OO11" s="24"/>
      <c r="OP11" s="16"/>
      <c r="OQ11" s="147"/>
      <c r="OR11" s="126"/>
      <c r="OS11" s="20">
        <v>4</v>
      </c>
      <c r="OT11" s="19">
        <v>998</v>
      </c>
      <c r="OU11" s="17">
        <v>42308</v>
      </c>
      <c r="OV11" s="19">
        <v>998</v>
      </c>
      <c r="OW11" s="309" t="s">
        <v>790</v>
      </c>
      <c r="OX11" s="24">
        <v>29</v>
      </c>
      <c r="OY11" s="16"/>
      <c r="OZ11" s="147"/>
      <c r="PA11" s="126"/>
      <c r="PB11" s="20">
        <v>4</v>
      </c>
      <c r="PC11" s="19">
        <v>931.7</v>
      </c>
      <c r="PD11" s="17">
        <v>42308</v>
      </c>
      <c r="PE11" s="19">
        <v>931.7</v>
      </c>
      <c r="PF11" s="72" t="s">
        <v>792</v>
      </c>
      <c r="PG11" s="24">
        <v>29</v>
      </c>
      <c r="PH11" s="16"/>
      <c r="PI11" s="147"/>
      <c r="PJ11" s="126"/>
      <c r="PK11" s="20"/>
      <c r="PL11" s="19"/>
      <c r="PM11" s="17"/>
      <c r="PN11" s="19"/>
      <c r="PO11" s="72"/>
      <c r="PP11" s="24"/>
      <c r="PQ11" s="16"/>
      <c r="PR11" s="147"/>
      <c r="PS11" s="183"/>
      <c r="PT11" s="20"/>
      <c r="PU11" s="19"/>
      <c r="PV11" s="17"/>
      <c r="PW11" s="19"/>
      <c r="PX11" s="72"/>
      <c r="PY11" s="24"/>
      <c r="PZ11" s="16"/>
      <c r="QA11" s="147"/>
      <c r="QB11" s="126"/>
      <c r="QC11" s="20"/>
      <c r="QD11" s="19"/>
      <c r="QE11" s="17"/>
      <c r="QF11" s="19"/>
      <c r="QG11" s="72"/>
      <c r="QH11" s="24"/>
      <c r="QJ11" s="147"/>
      <c r="QK11" s="2"/>
      <c r="QL11" s="20"/>
      <c r="QM11" s="19"/>
      <c r="QN11" s="17"/>
      <c r="QO11" s="19"/>
      <c r="QP11" s="72"/>
      <c r="QQ11" s="24"/>
      <c r="QS11" s="147"/>
      <c r="QT11" s="2"/>
      <c r="QU11" s="20"/>
      <c r="QV11" s="19"/>
      <c r="QW11" s="17"/>
      <c r="QX11" s="19"/>
      <c r="QY11" s="72"/>
      <c r="QZ11" s="24"/>
      <c r="RB11" s="147"/>
      <c r="RC11" s="2"/>
      <c r="RD11" s="20"/>
      <c r="RE11" s="19"/>
      <c r="RF11" s="17"/>
      <c r="RG11" s="19"/>
      <c r="RH11" s="72"/>
      <c r="RI11" s="24"/>
      <c r="RK11" s="147" t="s">
        <v>34</v>
      </c>
      <c r="RL11" s="2"/>
      <c r="RM11" s="20">
        <v>4</v>
      </c>
      <c r="RN11" s="19"/>
      <c r="RO11" s="17"/>
      <c r="RP11" s="19"/>
      <c r="RQ11" s="72"/>
      <c r="RR11" s="24"/>
      <c r="RT11" s="147"/>
      <c r="RU11" s="2"/>
      <c r="RV11" s="20"/>
      <c r="RW11" s="19"/>
      <c r="RX11" s="17"/>
      <c r="RY11" s="19"/>
      <c r="RZ11" s="72"/>
      <c r="SA11" s="24"/>
      <c r="SC11" s="147"/>
      <c r="SD11" s="2"/>
      <c r="SE11" s="20"/>
      <c r="SF11" s="19"/>
      <c r="SG11" s="17"/>
      <c r="SH11" s="19"/>
      <c r="SI11" s="72"/>
      <c r="SJ11" s="24"/>
      <c r="SL11" s="147" t="s">
        <v>34</v>
      </c>
      <c r="SM11" s="2"/>
      <c r="SN11" s="20">
        <v>4</v>
      </c>
      <c r="SO11" s="19"/>
      <c r="SP11" s="17"/>
      <c r="SQ11" s="19"/>
      <c r="SR11" s="72"/>
      <c r="SS11" s="24"/>
      <c r="SU11" s="147" t="s">
        <v>34</v>
      </c>
      <c r="SV11" s="2"/>
      <c r="SW11" s="20">
        <v>4</v>
      </c>
      <c r="SX11" s="19"/>
      <c r="SY11" s="17"/>
      <c r="SZ11" s="19"/>
      <c r="TA11" s="72"/>
      <c r="TB11" s="24"/>
      <c r="TD11" s="147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Farmland</v>
      </c>
      <c r="D12" s="74" t="str">
        <f t="shared" si="8"/>
        <v>PED. 5004016</v>
      </c>
      <c r="E12" s="162">
        <f t="shared" si="8"/>
        <v>42284</v>
      </c>
      <c r="F12" s="77">
        <f t="shared" si="8"/>
        <v>18301.060000000001</v>
      </c>
      <c r="G12" s="15">
        <f t="shared" si="8"/>
        <v>20</v>
      </c>
      <c r="H12" s="65">
        <f t="shared" si="8"/>
        <v>18480.27</v>
      </c>
      <c r="I12" s="18">
        <f t="shared" si="8"/>
        <v>-179.20999999999913</v>
      </c>
      <c r="K12" s="135"/>
      <c r="L12" s="126"/>
      <c r="M12" s="20">
        <v>5</v>
      </c>
      <c r="N12" s="19">
        <v>898.6</v>
      </c>
      <c r="O12" s="339">
        <v>42278</v>
      </c>
      <c r="P12" s="226">
        <v>898.6</v>
      </c>
      <c r="Q12" s="340" t="s">
        <v>628</v>
      </c>
      <c r="R12" s="341">
        <v>30</v>
      </c>
      <c r="S12" s="16"/>
      <c r="T12" s="135"/>
      <c r="U12" s="126"/>
      <c r="V12" s="20">
        <v>5</v>
      </c>
      <c r="W12" s="19">
        <v>919</v>
      </c>
      <c r="X12" s="17">
        <v>42279</v>
      </c>
      <c r="Y12" s="19">
        <v>919</v>
      </c>
      <c r="Z12" s="72" t="s">
        <v>635</v>
      </c>
      <c r="AA12" s="24">
        <v>30</v>
      </c>
      <c r="AB12" s="16"/>
      <c r="AC12" s="135"/>
      <c r="AD12" s="126"/>
      <c r="AE12" s="20">
        <v>5</v>
      </c>
      <c r="AF12" s="19">
        <v>996</v>
      </c>
      <c r="AG12" s="17">
        <v>42280</v>
      </c>
      <c r="AH12" s="19">
        <v>996</v>
      </c>
      <c r="AI12" s="72" t="s">
        <v>641</v>
      </c>
      <c r="AJ12" s="24">
        <v>31</v>
      </c>
      <c r="AK12" s="16"/>
      <c r="AL12" s="135"/>
      <c r="AM12" s="126"/>
      <c r="AN12" s="20">
        <v>5</v>
      </c>
      <c r="AO12" s="19">
        <v>936.96</v>
      </c>
      <c r="AP12" s="156">
        <v>42280</v>
      </c>
      <c r="AQ12" s="19">
        <v>936.96</v>
      </c>
      <c r="AR12" s="309" t="s">
        <v>639</v>
      </c>
      <c r="AS12" s="116">
        <v>31</v>
      </c>
      <c r="AT12" s="16"/>
      <c r="AU12" s="135" t="s">
        <v>444</v>
      </c>
      <c r="AV12" s="175"/>
      <c r="AW12" s="20"/>
      <c r="AX12" s="19"/>
      <c r="AY12" s="110"/>
      <c r="AZ12" s="19"/>
      <c r="BA12" s="129"/>
      <c r="BB12" s="108"/>
      <c r="BC12" s="16"/>
      <c r="BD12" s="135"/>
      <c r="BE12" s="175"/>
      <c r="BF12" s="20">
        <v>5</v>
      </c>
      <c r="BG12" s="19">
        <v>883.1</v>
      </c>
      <c r="BH12" s="17">
        <v>42281</v>
      </c>
      <c r="BI12" s="19">
        <v>883.1</v>
      </c>
      <c r="BJ12" s="510" t="s">
        <v>643</v>
      </c>
      <c r="BK12" s="160">
        <v>31</v>
      </c>
      <c r="BL12" s="16"/>
      <c r="BM12" s="135"/>
      <c r="BN12" s="126"/>
      <c r="BO12" s="20">
        <v>5</v>
      </c>
      <c r="BP12" s="19">
        <v>960.54</v>
      </c>
      <c r="BQ12" s="17">
        <v>42283</v>
      </c>
      <c r="BR12" s="19">
        <v>960.54</v>
      </c>
      <c r="BS12" s="72" t="s">
        <v>653</v>
      </c>
      <c r="BT12" s="24">
        <v>31.5</v>
      </c>
      <c r="BU12" s="16"/>
      <c r="BV12" s="135"/>
      <c r="BW12" s="126"/>
      <c r="BX12" s="20">
        <v>5</v>
      </c>
      <c r="BY12" s="19">
        <v>916.1</v>
      </c>
      <c r="BZ12" s="17">
        <v>42283</v>
      </c>
      <c r="CA12" s="19">
        <v>916.1</v>
      </c>
      <c r="CB12" s="72" t="s">
        <v>651</v>
      </c>
      <c r="CC12" s="24">
        <v>31.5</v>
      </c>
      <c r="CD12" s="16"/>
      <c r="CE12" s="135"/>
      <c r="CF12" s="126"/>
      <c r="CG12" s="20">
        <v>5</v>
      </c>
      <c r="CH12" s="19">
        <v>897.96</v>
      </c>
      <c r="CI12" s="17">
        <v>42284</v>
      </c>
      <c r="CJ12" s="19">
        <v>897.96</v>
      </c>
      <c r="CK12" s="437" t="s">
        <v>659</v>
      </c>
      <c r="CL12" s="24">
        <v>31.5</v>
      </c>
      <c r="CM12" s="16"/>
      <c r="CN12" s="135"/>
      <c r="CO12" s="126"/>
      <c r="CP12" s="20">
        <v>5</v>
      </c>
      <c r="CQ12" s="19">
        <v>928.5</v>
      </c>
      <c r="CR12" s="17">
        <v>42285</v>
      </c>
      <c r="CS12" s="19">
        <v>928.5</v>
      </c>
      <c r="CT12" s="326" t="s">
        <v>663</v>
      </c>
      <c r="CU12" s="24">
        <v>31.5</v>
      </c>
      <c r="CV12" s="16"/>
      <c r="CW12" s="135"/>
      <c r="CX12" s="126"/>
      <c r="CY12" s="20">
        <v>5</v>
      </c>
      <c r="CZ12" s="202">
        <v>983</v>
      </c>
      <c r="DA12" s="17">
        <v>42287</v>
      </c>
      <c r="DB12" s="202">
        <v>983</v>
      </c>
      <c r="DC12" s="43" t="s">
        <v>670</v>
      </c>
      <c r="DD12" s="24">
        <v>32</v>
      </c>
      <c r="DE12" s="16"/>
      <c r="DF12" s="135"/>
      <c r="DG12" s="126"/>
      <c r="DH12" s="20">
        <v>5</v>
      </c>
      <c r="DI12" s="19">
        <v>935.3</v>
      </c>
      <c r="DJ12" s="17">
        <v>42286</v>
      </c>
      <c r="DK12" s="19">
        <v>935.3</v>
      </c>
      <c r="DL12" s="43" t="s">
        <v>667</v>
      </c>
      <c r="DM12" s="24">
        <v>32</v>
      </c>
      <c r="DN12" s="16"/>
      <c r="DO12" s="135"/>
      <c r="DP12" s="126"/>
      <c r="DQ12" s="20">
        <v>5</v>
      </c>
      <c r="DR12" s="30">
        <v>919.9</v>
      </c>
      <c r="DS12" s="58">
        <v>42287</v>
      </c>
      <c r="DT12" s="30">
        <v>919.9</v>
      </c>
      <c r="DU12" s="79" t="s">
        <v>672</v>
      </c>
      <c r="DV12" s="24">
        <v>32</v>
      </c>
      <c r="DW12" s="16"/>
      <c r="DX12" s="135"/>
      <c r="DY12" s="126"/>
      <c r="DZ12" s="20">
        <v>5</v>
      </c>
      <c r="EA12" s="30">
        <v>965.53</v>
      </c>
      <c r="EB12" s="58">
        <v>42290</v>
      </c>
      <c r="EC12" s="30">
        <v>965.53</v>
      </c>
      <c r="ED12" s="79" t="s">
        <v>685</v>
      </c>
      <c r="EE12" s="24">
        <v>30.3</v>
      </c>
      <c r="EF12" s="16"/>
      <c r="EG12" s="135"/>
      <c r="EH12" s="175"/>
      <c r="EI12" s="20">
        <v>5</v>
      </c>
      <c r="EJ12" s="19">
        <v>973</v>
      </c>
      <c r="EK12" s="17">
        <v>42289</v>
      </c>
      <c r="EL12" s="19">
        <v>973</v>
      </c>
      <c r="EM12" s="43" t="s">
        <v>677</v>
      </c>
      <c r="EN12" s="24">
        <v>32</v>
      </c>
      <c r="EO12" s="16"/>
      <c r="EP12" s="135" t="s">
        <v>464</v>
      </c>
      <c r="EQ12" s="126"/>
      <c r="ER12" s="20">
        <v>5</v>
      </c>
      <c r="ES12" s="19">
        <v>857.2</v>
      </c>
      <c r="ET12" s="17">
        <v>42289</v>
      </c>
      <c r="EU12" s="19">
        <v>857.2</v>
      </c>
      <c r="EV12" s="79" t="s">
        <v>679</v>
      </c>
      <c r="EW12" s="24">
        <v>32</v>
      </c>
      <c r="EX12" s="16"/>
      <c r="EY12" s="135"/>
      <c r="EZ12" s="126"/>
      <c r="FA12" s="20">
        <v>5</v>
      </c>
      <c r="FB12" s="19">
        <v>949.66</v>
      </c>
      <c r="FC12" s="17">
        <v>42290</v>
      </c>
      <c r="FD12" s="19">
        <v>949.66</v>
      </c>
      <c r="FE12" s="43" t="s">
        <v>688</v>
      </c>
      <c r="FF12" s="24">
        <v>32.5</v>
      </c>
      <c r="FG12" s="16"/>
      <c r="FH12" s="135"/>
      <c r="FI12" s="126"/>
      <c r="FJ12" s="20">
        <v>5</v>
      </c>
      <c r="FK12" s="30">
        <v>937.87</v>
      </c>
      <c r="FL12" s="58">
        <v>42290</v>
      </c>
      <c r="FM12" s="30">
        <v>937.87</v>
      </c>
      <c r="FN12" s="79" t="s">
        <v>690</v>
      </c>
      <c r="FO12" s="24">
        <v>32.5</v>
      </c>
      <c r="FP12" s="16"/>
      <c r="FQ12" s="135"/>
      <c r="FR12" s="126"/>
      <c r="FS12" s="20">
        <v>5</v>
      </c>
      <c r="FT12" s="30">
        <v>919.27</v>
      </c>
      <c r="FU12" s="58">
        <v>42291</v>
      </c>
      <c r="FV12" s="30">
        <v>919.27</v>
      </c>
      <c r="FW12" s="79" t="s">
        <v>696</v>
      </c>
      <c r="FX12" s="24">
        <v>32.5</v>
      </c>
      <c r="FY12" s="16"/>
      <c r="FZ12" s="135"/>
      <c r="GA12" s="175"/>
      <c r="GB12" s="20">
        <v>5</v>
      </c>
      <c r="GC12" s="19">
        <v>873.6</v>
      </c>
      <c r="GD12" s="17">
        <v>42291</v>
      </c>
      <c r="GE12" s="19">
        <v>873.6</v>
      </c>
      <c r="GF12" s="360" t="s">
        <v>694</v>
      </c>
      <c r="GG12" s="24">
        <v>32.5</v>
      </c>
      <c r="GH12" s="16"/>
      <c r="GI12" s="135"/>
      <c r="GJ12" s="126"/>
      <c r="GK12" s="20">
        <v>5</v>
      </c>
      <c r="GL12" s="19">
        <v>914.4</v>
      </c>
      <c r="GM12" s="17">
        <v>42292</v>
      </c>
      <c r="GN12" s="19">
        <v>914.4</v>
      </c>
      <c r="GO12" s="72" t="s">
        <v>701</v>
      </c>
      <c r="GP12" s="24">
        <v>32.5</v>
      </c>
      <c r="GQ12" s="16"/>
      <c r="GR12" s="135" t="s">
        <v>474</v>
      </c>
      <c r="GS12" s="126"/>
      <c r="GT12" s="20">
        <v>5</v>
      </c>
      <c r="GU12" s="19">
        <v>917.2</v>
      </c>
      <c r="GV12" s="17">
        <v>42293</v>
      </c>
      <c r="GW12" s="19">
        <v>917.2</v>
      </c>
      <c r="GX12" s="72" t="s">
        <v>705</v>
      </c>
      <c r="GY12" s="24">
        <v>32.5</v>
      </c>
      <c r="GZ12" s="16"/>
      <c r="HA12" s="135"/>
      <c r="HB12" s="126"/>
      <c r="HC12" s="20">
        <v>5</v>
      </c>
      <c r="HD12" s="19">
        <v>924</v>
      </c>
      <c r="HE12" s="17">
        <v>42293</v>
      </c>
      <c r="HF12" s="19">
        <v>924</v>
      </c>
      <c r="HG12" s="72" t="s">
        <v>713</v>
      </c>
      <c r="HH12" s="24">
        <v>33</v>
      </c>
      <c r="HI12" s="16"/>
      <c r="HJ12" s="135"/>
      <c r="HK12" s="126"/>
      <c r="HL12" s="20">
        <v>5</v>
      </c>
      <c r="HM12" s="19">
        <v>954.8</v>
      </c>
      <c r="HN12" s="17">
        <v>42293</v>
      </c>
      <c r="HO12" s="19">
        <v>954.8</v>
      </c>
      <c r="HP12" s="72" t="s">
        <v>715</v>
      </c>
      <c r="HQ12" s="24">
        <v>33</v>
      </c>
      <c r="HR12" s="16"/>
      <c r="HS12" s="135"/>
      <c r="HT12" s="126"/>
      <c r="HU12" s="20">
        <v>5</v>
      </c>
      <c r="HV12" s="19">
        <v>933</v>
      </c>
      <c r="HW12" s="17">
        <v>42294</v>
      </c>
      <c r="HX12" s="19">
        <v>933</v>
      </c>
      <c r="HY12" s="72" t="s">
        <v>719</v>
      </c>
      <c r="HZ12" s="24">
        <v>33</v>
      </c>
      <c r="IA12" s="16"/>
      <c r="IB12" s="135"/>
      <c r="IC12" s="126"/>
      <c r="ID12" s="20">
        <v>5</v>
      </c>
      <c r="IE12" s="19">
        <v>921.7</v>
      </c>
      <c r="IF12" s="17">
        <v>42294</v>
      </c>
      <c r="IG12" s="19">
        <v>921.7</v>
      </c>
      <c r="IH12" s="72" t="s">
        <v>721</v>
      </c>
      <c r="II12" s="24">
        <v>33</v>
      </c>
      <c r="IJ12" s="16"/>
      <c r="IK12" s="135"/>
      <c r="IL12" s="126"/>
      <c r="IM12" s="20">
        <v>5</v>
      </c>
      <c r="IN12" s="19">
        <v>891.61</v>
      </c>
      <c r="IO12" s="17">
        <v>42297</v>
      </c>
      <c r="IP12" s="19">
        <v>891.61</v>
      </c>
      <c r="IQ12" s="72" t="s">
        <v>726</v>
      </c>
      <c r="IR12" s="24">
        <v>32.07</v>
      </c>
      <c r="IS12" s="16"/>
      <c r="IT12" s="135" t="s">
        <v>482</v>
      </c>
      <c r="IU12" s="126"/>
      <c r="IV12" s="20">
        <v>5</v>
      </c>
      <c r="IW12" s="19">
        <v>884.5</v>
      </c>
      <c r="IX12" s="110">
        <v>42296</v>
      </c>
      <c r="IY12" s="19">
        <v>884.5</v>
      </c>
      <c r="IZ12" s="129" t="s">
        <v>722</v>
      </c>
      <c r="JA12" s="108">
        <v>33.5</v>
      </c>
      <c r="JB12" s="16"/>
      <c r="JC12" s="135"/>
      <c r="JD12" s="126"/>
      <c r="JE12" s="20">
        <v>5</v>
      </c>
      <c r="JF12" s="19">
        <v>1016</v>
      </c>
      <c r="JG12" s="17">
        <v>42297</v>
      </c>
      <c r="JH12" s="19">
        <v>1016</v>
      </c>
      <c r="JI12" s="510" t="s">
        <v>731</v>
      </c>
      <c r="JJ12" s="24">
        <v>33.5</v>
      </c>
      <c r="JK12" s="16"/>
      <c r="JL12" s="135"/>
      <c r="JM12" s="126"/>
      <c r="JN12" s="20">
        <v>5</v>
      </c>
      <c r="JO12" s="19">
        <v>955</v>
      </c>
      <c r="JP12" s="17">
        <v>42299</v>
      </c>
      <c r="JQ12" s="19">
        <v>955</v>
      </c>
      <c r="JR12" s="72" t="s">
        <v>737</v>
      </c>
      <c r="JS12" s="24">
        <v>33.5</v>
      </c>
      <c r="JT12" s="16"/>
      <c r="JU12" s="135"/>
      <c r="JV12" s="276"/>
      <c r="JW12" s="20">
        <v>5</v>
      </c>
      <c r="JX12" s="19">
        <v>928.34</v>
      </c>
      <c r="JY12" s="17">
        <v>42297</v>
      </c>
      <c r="JZ12" s="19">
        <v>928.34</v>
      </c>
      <c r="KA12" s="72" t="s">
        <v>729</v>
      </c>
      <c r="KB12" s="24">
        <v>33.5</v>
      </c>
      <c r="KC12" s="16"/>
      <c r="KD12" s="135"/>
      <c r="KE12" s="626"/>
      <c r="KF12" s="20">
        <v>5</v>
      </c>
      <c r="KG12" s="202">
        <v>887.53</v>
      </c>
      <c r="KH12" s="110">
        <v>42299</v>
      </c>
      <c r="KI12" s="202">
        <v>887.53</v>
      </c>
      <c r="KJ12" s="129" t="s">
        <v>739</v>
      </c>
      <c r="KK12" s="108">
        <v>33.5</v>
      </c>
      <c r="KL12" s="16"/>
      <c r="KM12" s="135"/>
      <c r="KN12" s="126"/>
      <c r="KO12" s="20">
        <v>5</v>
      </c>
      <c r="KP12" s="202">
        <v>926.08</v>
      </c>
      <c r="KQ12" s="17">
        <v>42300</v>
      </c>
      <c r="KR12" s="202">
        <v>926.08</v>
      </c>
      <c r="KS12" s="72" t="s">
        <v>746</v>
      </c>
      <c r="KT12" s="24">
        <v>33.5</v>
      </c>
      <c r="KU12" s="16"/>
      <c r="KV12" s="135"/>
      <c r="KW12" s="126"/>
      <c r="KX12" s="20">
        <v>5</v>
      </c>
      <c r="KY12" s="19">
        <v>923.5</v>
      </c>
      <c r="KZ12" s="17">
        <v>42301</v>
      </c>
      <c r="LA12" s="19">
        <v>923.5</v>
      </c>
      <c r="LB12" s="72" t="s">
        <v>749</v>
      </c>
      <c r="LC12" s="24">
        <v>33.5</v>
      </c>
      <c r="LD12" s="16"/>
      <c r="LE12" s="135"/>
      <c r="LF12" s="126"/>
      <c r="LG12" s="20">
        <v>5</v>
      </c>
      <c r="LH12" s="202">
        <v>927.6</v>
      </c>
      <c r="LI12" s="17">
        <v>42301</v>
      </c>
      <c r="LJ12" s="202">
        <v>927.6</v>
      </c>
      <c r="LK12" s="72" t="s">
        <v>754</v>
      </c>
      <c r="LL12" s="24">
        <v>33.5</v>
      </c>
      <c r="LM12" s="16"/>
      <c r="LN12" s="135"/>
      <c r="LO12" s="126"/>
      <c r="LP12" s="20">
        <v>5</v>
      </c>
      <c r="LQ12" s="19">
        <v>959.18</v>
      </c>
      <c r="LR12" s="17">
        <v>42303</v>
      </c>
      <c r="LS12" s="19">
        <v>959.18</v>
      </c>
      <c r="LT12" s="72" t="s">
        <v>762</v>
      </c>
      <c r="LU12" s="24">
        <v>32.5</v>
      </c>
      <c r="LV12" s="16"/>
      <c r="LW12" s="135"/>
      <c r="LX12" s="126"/>
      <c r="LY12" s="20">
        <v>5</v>
      </c>
      <c r="LZ12" s="179">
        <v>919</v>
      </c>
      <c r="MA12" s="17">
        <v>42303</v>
      </c>
      <c r="MB12" s="19">
        <v>919</v>
      </c>
      <c r="MC12" s="510" t="s">
        <v>764</v>
      </c>
      <c r="MD12" s="24">
        <v>32.5</v>
      </c>
      <c r="ME12" s="16"/>
      <c r="MF12" s="135"/>
      <c r="MG12" s="126"/>
      <c r="MH12" s="20">
        <v>5</v>
      </c>
      <c r="MI12" s="19">
        <v>915.19</v>
      </c>
      <c r="MJ12" s="17">
        <v>42304</v>
      </c>
      <c r="MK12" s="19">
        <v>915.19</v>
      </c>
      <c r="ML12" s="72" t="s">
        <v>767</v>
      </c>
      <c r="MM12" s="24">
        <v>31</v>
      </c>
      <c r="MN12" s="16"/>
      <c r="MO12" s="135"/>
      <c r="MP12" s="126"/>
      <c r="MQ12" s="20">
        <v>5</v>
      </c>
      <c r="MR12" s="19">
        <v>912.02</v>
      </c>
      <c r="MS12" s="17">
        <v>42305</v>
      </c>
      <c r="MT12" s="19">
        <v>912.02</v>
      </c>
      <c r="MU12" s="72" t="s">
        <v>771</v>
      </c>
      <c r="MV12" s="24">
        <v>31</v>
      </c>
      <c r="MW12" s="16"/>
      <c r="MX12" s="135"/>
      <c r="MY12" s="126"/>
      <c r="MZ12" s="20">
        <v>5</v>
      </c>
      <c r="NA12" s="19">
        <v>946.03</v>
      </c>
      <c r="NB12" s="17">
        <v>42305</v>
      </c>
      <c r="NC12" s="19">
        <v>946.03</v>
      </c>
      <c r="ND12" s="72" t="s">
        <v>772</v>
      </c>
      <c r="NE12" s="24">
        <v>31</v>
      </c>
      <c r="NF12" s="16"/>
      <c r="NG12" s="135"/>
      <c r="NH12" s="126"/>
      <c r="NI12" s="20">
        <v>5</v>
      </c>
      <c r="NJ12" s="19">
        <v>930.3</v>
      </c>
      <c r="NK12" s="17">
        <v>42306</v>
      </c>
      <c r="NL12" s="19">
        <v>930.3</v>
      </c>
      <c r="NM12" s="309" t="s">
        <v>778</v>
      </c>
      <c r="NN12" s="24">
        <v>30</v>
      </c>
      <c r="NO12" s="16"/>
      <c r="NP12" s="135"/>
      <c r="NQ12" s="126"/>
      <c r="NR12" s="20">
        <v>5</v>
      </c>
      <c r="NS12" s="19">
        <v>925.3</v>
      </c>
      <c r="NT12" s="17">
        <v>42307</v>
      </c>
      <c r="NU12" s="19">
        <v>925.3</v>
      </c>
      <c r="NV12" s="72" t="s">
        <v>785</v>
      </c>
      <c r="NW12" s="24">
        <v>30</v>
      </c>
      <c r="NX12" s="16"/>
      <c r="NY12" s="135"/>
      <c r="NZ12" s="126"/>
      <c r="OA12" s="20">
        <v>5</v>
      </c>
      <c r="OB12" s="19">
        <v>938.32</v>
      </c>
      <c r="OC12" s="17">
        <v>42307</v>
      </c>
      <c r="OD12" s="19">
        <v>938.32</v>
      </c>
      <c r="OE12" s="617" t="s">
        <v>781</v>
      </c>
      <c r="OF12" s="24">
        <v>30</v>
      </c>
      <c r="OG12" s="16"/>
      <c r="OH12" s="135"/>
      <c r="OI12" s="126"/>
      <c r="OJ12" s="20">
        <v>5</v>
      </c>
      <c r="OK12" s="19">
        <v>921.09</v>
      </c>
      <c r="OL12" s="17"/>
      <c r="OM12" s="19"/>
      <c r="ON12" s="72"/>
      <c r="OO12" s="24"/>
      <c r="OP12" s="16"/>
      <c r="OQ12" s="135"/>
      <c r="OR12" s="126"/>
      <c r="OS12" s="20">
        <v>5</v>
      </c>
      <c r="OT12" s="19">
        <v>995</v>
      </c>
      <c r="OU12" s="17">
        <v>42308</v>
      </c>
      <c r="OV12" s="19">
        <v>995</v>
      </c>
      <c r="OW12" s="309" t="s">
        <v>790</v>
      </c>
      <c r="OX12" s="24">
        <v>29</v>
      </c>
      <c r="OY12" s="16"/>
      <c r="OZ12" s="135"/>
      <c r="PA12" s="126"/>
      <c r="PB12" s="20">
        <v>5</v>
      </c>
      <c r="PC12" s="19">
        <v>920.3</v>
      </c>
      <c r="PD12" s="17">
        <v>42308</v>
      </c>
      <c r="PE12" s="19">
        <v>920.3</v>
      </c>
      <c r="PF12" s="72" t="s">
        <v>792</v>
      </c>
      <c r="PG12" s="24">
        <v>29</v>
      </c>
      <c r="PH12" s="16"/>
      <c r="PI12" s="135"/>
      <c r="PJ12" s="126"/>
      <c r="PK12" s="20"/>
      <c r="PL12" s="19"/>
      <c r="PM12" s="17"/>
      <c r="PN12" s="19"/>
      <c r="PO12" s="72"/>
      <c r="PP12" s="24"/>
      <c r="PQ12" s="16"/>
      <c r="PR12" s="135"/>
      <c r="PS12" s="183"/>
      <c r="PT12" s="20"/>
      <c r="PU12" s="19"/>
      <c r="PV12" s="17"/>
      <c r="PW12" s="179"/>
      <c r="PX12" s="309"/>
      <c r="PY12" s="116"/>
      <c r="PZ12" s="16"/>
      <c r="QA12" s="135"/>
      <c r="QB12" s="126"/>
      <c r="QC12" s="20"/>
      <c r="QD12" s="19"/>
      <c r="QE12" s="17"/>
      <c r="QF12" s="19"/>
      <c r="QG12" s="72"/>
      <c r="QH12" s="24"/>
      <c r="QJ12" s="135"/>
      <c r="QK12" s="2"/>
      <c r="QL12" s="20"/>
      <c r="QM12" s="19"/>
      <c r="QN12" s="17"/>
      <c r="QO12" s="19"/>
      <c r="QP12" s="72"/>
      <c r="QQ12" s="24"/>
      <c r="QS12" s="135"/>
      <c r="QT12" s="2"/>
      <c r="QU12" s="20"/>
      <c r="QV12" s="19"/>
      <c r="QW12" s="17"/>
      <c r="QX12" s="19"/>
      <c r="QY12" s="72"/>
      <c r="QZ12" s="24"/>
      <c r="RB12" s="135"/>
      <c r="RC12" s="2"/>
      <c r="RD12" s="20"/>
      <c r="RE12" s="19"/>
      <c r="RF12" s="17"/>
      <c r="RG12" s="19"/>
      <c r="RH12" s="72"/>
      <c r="RI12" s="24"/>
      <c r="RK12" s="135"/>
      <c r="RL12" s="2"/>
      <c r="RM12" s="20">
        <v>5</v>
      </c>
      <c r="RN12" s="19"/>
      <c r="RO12" s="17"/>
      <c r="RP12" s="19"/>
      <c r="RQ12" s="72"/>
      <c r="RR12" s="24"/>
      <c r="RT12" s="135"/>
      <c r="RU12" s="2"/>
      <c r="RV12" s="20"/>
      <c r="RW12" s="19"/>
      <c r="RX12" s="17"/>
      <c r="RY12" s="19"/>
      <c r="RZ12" s="72"/>
      <c r="SA12" s="24"/>
      <c r="SC12" s="135"/>
      <c r="SD12" s="2"/>
      <c r="SE12" s="20"/>
      <c r="SF12" s="19"/>
      <c r="SG12" s="17"/>
      <c r="SH12" s="19"/>
      <c r="SI12" s="72"/>
      <c r="SJ12" s="24"/>
      <c r="SL12" s="135"/>
      <c r="SM12" s="2"/>
      <c r="SN12" s="20">
        <v>5</v>
      </c>
      <c r="SO12" s="19"/>
      <c r="SP12" s="17"/>
      <c r="SQ12" s="19"/>
      <c r="SR12" s="72"/>
      <c r="SS12" s="24"/>
      <c r="SU12" s="135"/>
      <c r="SV12" s="2"/>
      <c r="SW12" s="20">
        <v>5</v>
      </c>
      <c r="SX12" s="19"/>
      <c r="SY12" s="17"/>
      <c r="SZ12" s="19"/>
      <c r="TA12" s="72"/>
      <c r="TB12" s="24"/>
      <c r="TD12" s="135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4" t="str">
        <f t="shared" si="9"/>
        <v>PED. 5004025</v>
      </c>
      <c r="E13" s="162">
        <f t="shared" si="9"/>
        <v>42285</v>
      </c>
      <c r="F13" s="77">
        <f t="shared" si="9"/>
        <v>19290.2</v>
      </c>
      <c r="G13" s="15">
        <f t="shared" si="9"/>
        <v>21</v>
      </c>
      <c r="H13" s="65">
        <f t="shared" si="9"/>
        <v>19349.3</v>
      </c>
      <c r="I13" s="18">
        <f t="shared" si="9"/>
        <v>-59.099999999998545</v>
      </c>
      <c r="K13" s="59"/>
      <c r="L13" s="183"/>
      <c r="M13" s="20">
        <v>6</v>
      </c>
      <c r="N13" s="19">
        <v>927.1</v>
      </c>
      <c r="O13" s="217">
        <v>42278</v>
      </c>
      <c r="P13" s="616">
        <v>927.1</v>
      </c>
      <c r="Q13" s="684" t="s">
        <v>629</v>
      </c>
      <c r="R13" s="256">
        <v>30</v>
      </c>
      <c r="S13" s="16"/>
      <c r="T13" s="59"/>
      <c r="U13" s="207"/>
      <c r="V13" s="20">
        <v>6</v>
      </c>
      <c r="W13" s="19">
        <v>927.1</v>
      </c>
      <c r="X13" s="17">
        <v>42279</v>
      </c>
      <c r="Y13" s="19">
        <v>927.1</v>
      </c>
      <c r="Z13" s="72" t="s">
        <v>635</v>
      </c>
      <c r="AA13" s="24">
        <v>30</v>
      </c>
      <c r="AB13" s="16"/>
      <c r="AC13" s="59"/>
      <c r="AD13" s="126"/>
      <c r="AE13" s="20">
        <v>6</v>
      </c>
      <c r="AF13" s="19">
        <v>1040</v>
      </c>
      <c r="AG13" s="17">
        <v>42280</v>
      </c>
      <c r="AH13" s="19">
        <v>1040</v>
      </c>
      <c r="AI13" s="72" t="s">
        <v>641</v>
      </c>
      <c r="AJ13" s="24">
        <v>31</v>
      </c>
      <c r="AK13" s="16"/>
      <c r="AL13" s="135"/>
      <c r="AM13" s="126"/>
      <c r="AN13" s="20">
        <v>6</v>
      </c>
      <c r="AO13" s="19">
        <v>914.29</v>
      </c>
      <c r="AP13" s="156">
        <v>42280</v>
      </c>
      <c r="AQ13" s="19">
        <v>914.29</v>
      </c>
      <c r="AR13" s="309" t="s">
        <v>639</v>
      </c>
      <c r="AS13" s="116">
        <v>31</v>
      </c>
      <c r="AT13" s="16"/>
      <c r="AU13" s="135"/>
      <c r="AV13" s="175"/>
      <c r="AW13" s="20"/>
      <c r="AX13" s="19"/>
      <c r="AY13" s="110"/>
      <c r="AZ13" s="19"/>
      <c r="BA13" s="129"/>
      <c r="BB13" s="108"/>
      <c r="BC13" s="16"/>
      <c r="BD13" s="135"/>
      <c r="BE13" s="175"/>
      <c r="BF13" s="20">
        <v>6</v>
      </c>
      <c r="BG13" s="19">
        <v>912.6</v>
      </c>
      <c r="BH13" s="17">
        <v>42281</v>
      </c>
      <c r="BI13" s="19">
        <v>912.6</v>
      </c>
      <c r="BJ13" s="510" t="s">
        <v>643</v>
      </c>
      <c r="BK13" s="160">
        <v>31</v>
      </c>
      <c r="BL13" s="16"/>
      <c r="BM13" s="59"/>
      <c r="BN13" s="126"/>
      <c r="BO13" s="20">
        <v>6</v>
      </c>
      <c r="BP13" s="19">
        <v>947.85</v>
      </c>
      <c r="BQ13" s="17">
        <v>42283</v>
      </c>
      <c r="BR13" s="19">
        <v>947.85</v>
      </c>
      <c r="BS13" s="72" t="s">
        <v>653</v>
      </c>
      <c r="BT13" s="24">
        <v>31.5</v>
      </c>
      <c r="BU13" s="16"/>
      <c r="BV13" s="59"/>
      <c r="BW13" s="126"/>
      <c r="BX13" s="20">
        <v>6</v>
      </c>
      <c r="BY13" s="19">
        <v>945.58</v>
      </c>
      <c r="BZ13" s="17">
        <v>42283</v>
      </c>
      <c r="CA13" s="19">
        <v>945.58</v>
      </c>
      <c r="CB13" s="72" t="s">
        <v>651</v>
      </c>
      <c r="CC13" s="24">
        <v>31.5</v>
      </c>
      <c r="CD13" s="16"/>
      <c r="CE13" s="135"/>
      <c r="CF13" s="126"/>
      <c r="CG13" s="20">
        <v>6</v>
      </c>
      <c r="CH13" s="19">
        <v>976.42</v>
      </c>
      <c r="CI13" s="17">
        <v>42284</v>
      </c>
      <c r="CJ13" s="19">
        <v>976.42</v>
      </c>
      <c r="CK13" s="437" t="s">
        <v>659</v>
      </c>
      <c r="CL13" s="24">
        <v>31.5</v>
      </c>
      <c r="CM13" s="16"/>
      <c r="CN13" s="135"/>
      <c r="CO13" s="126"/>
      <c r="CP13" s="20">
        <v>6</v>
      </c>
      <c r="CQ13" s="19">
        <v>924</v>
      </c>
      <c r="CR13" s="17">
        <v>42285</v>
      </c>
      <c r="CS13" s="19">
        <v>924</v>
      </c>
      <c r="CT13" s="326" t="s">
        <v>663</v>
      </c>
      <c r="CU13" s="24">
        <v>31.5</v>
      </c>
      <c r="CV13" s="16"/>
      <c r="CW13" s="135"/>
      <c r="CX13" s="126"/>
      <c r="CY13" s="20">
        <v>6</v>
      </c>
      <c r="CZ13" s="202">
        <v>953</v>
      </c>
      <c r="DA13" s="17">
        <v>42287</v>
      </c>
      <c r="DB13" s="202">
        <v>953</v>
      </c>
      <c r="DC13" s="43" t="s">
        <v>670</v>
      </c>
      <c r="DD13" s="24">
        <v>32</v>
      </c>
      <c r="DE13" s="16"/>
      <c r="DF13" s="135"/>
      <c r="DG13" s="126"/>
      <c r="DH13" s="20">
        <v>6</v>
      </c>
      <c r="DI13" s="19">
        <v>919.9</v>
      </c>
      <c r="DJ13" s="17">
        <v>42286</v>
      </c>
      <c r="DK13" s="19">
        <v>919.9</v>
      </c>
      <c r="DL13" s="43" t="s">
        <v>667</v>
      </c>
      <c r="DM13" s="24">
        <v>32</v>
      </c>
      <c r="DN13" s="16"/>
      <c r="DO13" s="135"/>
      <c r="DP13" s="126"/>
      <c r="DQ13" s="20">
        <v>6</v>
      </c>
      <c r="DR13" s="30">
        <v>924.4</v>
      </c>
      <c r="DS13" s="58">
        <v>42287</v>
      </c>
      <c r="DT13" s="30">
        <v>924.4</v>
      </c>
      <c r="DU13" s="79" t="s">
        <v>672</v>
      </c>
      <c r="DV13" s="24">
        <v>32</v>
      </c>
      <c r="DW13" s="16"/>
      <c r="DX13" s="135"/>
      <c r="DY13" s="126"/>
      <c r="DZ13" s="20">
        <v>6</v>
      </c>
      <c r="EA13" s="30">
        <v>955.56</v>
      </c>
      <c r="EB13" s="58">
        <v>42290</v>
      </c>
      <c r="EC13" s="30">
        <v>955.56</v>
      </c>
      <c r="ED13" s="79" t="s">
        <v>685</v>
      </c>
      <c r="EE13" s="24">
        <v>30.3</v>
      </c>
      <c r="EF13" s="16"/>
      <c r="EG13" s="135"/>
      <c r="EH13" s="175"/>
      <c r="EI13" s="20">
        <v>6</v>
      </c>
      <c r="EJ13" s="19">
        <v>955</v>
      </c>
      <c r="EK13" s="17">
        <v>42289</v>
      </c>
      <c r="EL13" s="19">
        <v>955</v>
      </c>
      <c r="EM13" s="43" t="s">
        <v>677</v>
      </c>
      <c r="EN13" s="24">
        <v>32</v>
      </c>
      <c r="EO13" s="16"/>
      <c r="EP13" s="135" t="s">
        <v>463</v>
      </c>
      <c r="EQ13" s="126"/>
      <c r="ER13" s="20">
        <v>6</v>
      </c>
      <c r="ES13" s="19">
        <v>958.9</v>
      </c>
      <c r="ET13" s="17">
        <v>42289</v>
      </c>
      <c r="EU13" s="19">
        <v>958.9</v>
      </c>
      <c r="EV13" s="79" t="s">
        <v>679</v>
      </c>
      <c r="EW13" s="24">
        <v>32</v>
      </c>
      <c r="EX13" s="16"/>
      <c r="EY13" s="135"/>
      <c r="EZ13" s="126"/>
      <c r="FA13" s="20">
        <v>6</v>
      </c>
      <c r="FB13" s="19">
        <v>905.22</v>
      </c>
      <c r="FC13" s="17">
        <v>42290</v>
      </c>
      <c r="FD13" s="19">
        <v>905.22</v>
      </c>
      <c r="FE13" s="43" t="s">
        <v>688</v>
      </c>
      <c r="FF13" s="24">
        <v>32.5</v>
      </c>
      <c r="FG13" s="16"/>
      <c r="FH13" s="135"/>
      <c r="FI13" s="126"/>
      <c r="FJ13" s="20">
        <v>6</v>
      </c>
      <c r="FK13" s="30">
        <v>943.76</v>
      </c>
      <c r="FL13" s="58">
        <v>42290</v>
      </c>
      <c r="FM13" s="30">
        <v>943.76</v>
      </c>
      <c r="FN13" s="79" t="s">
        <v>690</v>
      </c>
      <c r="FO13" s="24">
        <v>32.5</v>
      </c>
      <c r="FP13" s="16"/>
      <c r="FQ13" s="135"/>
      <c r="FR13" s="126"/>
      <c r="FS13" s="20">
        <v>6</v>
      </c>
      <c r="FT13" s="30">
        <v>966.89</v>
      </c>
      <c r="FU13" s="58">
        <v>42291</v>
      </c>
      <c r="FV13" s="30">
        <v>966.89</v>
      </c>
      <c r="FW13" s="79" t="s">
        <v>696</v>
      </c>
      <c r="FX13" s="24">
        <v>32.5</v>
      </c>
      <c r="FY13" s="16"/>
      <c r="FZ13" s="135"/>
      <c r="GA13" s="175"/>
      <c r="GB13" s="20">
        <v>6</v>
      </c>
      <c r="GC13" s="19">
        <v>768.8</v>
      </c>
      <c r="GD13" s="17">
        <v>42291</v>
      </c>
      <c r="GE13" s="19">
        <v>768.8</v>
      </c>
      <c r="GF13" s="360" t="s">
        <v>694</v>
      </c>
      <c r="GG13" s="24">
        <v>32.5</v>
      </c>
      <c r="GH13" s="16"/>
      <c r="GI13" s="135"/>
      <c r="GJ13" s="126"/>
      <c r="GK13" s="20">
        <v>6</v>
      </c>
      <c r="GL13" s="19">
        <v>918.1</v>
      </c>
      <c r="GM13" s="17">
        <v>42292</v>
      </c>
      <c r="GN13" s="19">
        <v>918.1</v>
      </c>
      <c r="GO13" s="72" t="s">
        <v>701</v>
      </c>
      <c r="GP13" s="24">
        <v>32.5</v>
      </c>
      <c r="GQ13" s="16"/>
      <c r="GR13" s="135"/>
      <c r="GS13" s="126"/>
      <c r="GT13" s="20">
        <v>6</v>
      </c>
      <c r="GU13" s="19">
        <v>917.2</v>
      </c>
      <c r="GV13" s="17">
        <v>42293</v>
      </c>
      <c r="GW13" s="19">
        <v>917.2</v>
      </c>
      <c r="GX13" s="72" t="s">
        <v>705</v>
      </c>
      <c r="GY13" s="24">
        <v>32.5</v>
      </c>
      <c r="GZ13" s="16"/>
      <c r="HA13" s="135"/>
      <c r="HB13" s="126"/>
      <c r="HC13" s="20">
        <v>6</v>
      </c>
      <c r="HD13" s="19">
        <v>927.1</v>
      </c>
      <c r="HE13" s="17">
        <v>42293</v>
      </c>
      <c r="HF13" s="19">
        <v>927.1</v>
      </c>
      <c r="HG13" s="72" t="s">
        <v>713</v>
      </c>
      <c r="HH13" s="24">
        <v>33</v>
      </c>
      <c r="HI13" s="16"/>
      <c r="HJ13" s="135"/>
      <c r="HK13" s="126"/>
      <c r="HL13" s="20">
        <v>6</v>
      </c>
      <c r="HM13" s="19">
        <v>948.9</v>
      </c>
      <c r="HN13" s="17">
        <v>42293</v>
      </c>
      <c r="HO13" s="19">
        <v>948.9</v>
      </c>
      <c r="HP13" s="72" t="s">
        <v>715</v>
      </c>
      <c r="HQ13" s="24">
        <v>33</v>
      </c>
      <c r="HR13" s="16"/>
      <c r="HS13" s="135"/>
      <c r="HT13" s="126"/>
      <c r="HU13" s="20">
        <v>6</v>
      </c>
      <c r="HV13" s="19">
        <v>938</v>
      </c>
      <c r="HW13" s="17">
        <v>42294</v>
      </c>
      <c r="HX13" s="19">
        <v>938</v>
      </c>
      <c r="HY13" s="72" t="s">
        <v>719</v>
      </c>
      <c r="HZ13" s="24">
        <v>33</v>
      </c>
      <c r="IA13" s="16"/>
      <c r="IB13" s="135"/>
      <c r="IC13" s="126"/>
      <c r="ID13" s="20">
        <v>6</v>
      </c>
      <c r="IE13" s="19">
        <v>898.6</v>
      </c>
      <c r="IF13" s="17">
        <v>42294</v>
      </c>
      <c r="IG13" s="19">
        <v>898.6</v>
      </c>
      <c r="IH13" s="72" t="s">
        <v>721</v>
      </c>
      <c r="II13" s="24">
        <v>33</v>
      </c>
      <c r="IJ13" s="16"/>
      <c r="IK13" s="135"/>
      <c r="IL13" s="126"/>
      <c r="IM13" s="20">
        <v>6</v>
      </c>
      <c r="IN13" s="19">
        <v>921.09</v>
      </c>
      <c r="IO13" s="17">
        <v>42297</v>
      </c>
      <c r="IP13" s="19">
        <v>921.09</v>
      </c>
      <c r="IQ13" s="72" t="s">
        <v>726</v>
      </c>
      <c r="IR13" s="24">
        <v>32.07</v>
      </c>
      <c r="IS13" s="16"/>
      <c r="IT13" s="135"/>
      <c r="IU13" s="126"/>
      <c r="IV13" s="20">
        <v>6</v>
      </c>
      <c r="IW13" s="19">
        <v>915.3</v>
      </c>
      <c r="IX13" s="110">
        <v>42296</v>
      </c>
      <c r="IY13" s="19">
        <v>915.3</v>
      </c>
      <c r="IZ13" s="129" t="s">
        <v>722</v>
      </c>
      <c r="JA13" s="108">
        <v>33.5</v>
      </c>
      <c r="JB13" s="16"/>
      <c r="JC13" s="135"/>
      <c r="JD13" s="126"/>
      <c r="JE13" s="20">
        <v>6</v>
      </c>
      <c r="JF13" s="19">
        <v>975</v>
      </c>
      <c r="JG13" s="17">
        <v>42297</v>
      </c>
      <c r="JH13" s="19">
        <v>975</v>
      </c>
      <c r="JI13" s="510" t="s">
        <v>731</v>
      </c>
      <c r="JJ13" s="24">
        <v>33.5</v>
      </c>
      <c r="JK13" s="16"/>
      <c r="JL13" s="135"/>
      <c r="JM13" s="126"/>
      <c r="JN13" s="20">
        <v>6</v>
      </c>
      <c r="JO13" s="19">
        <v>988</v>
      </c>
      <c r="JP13" s="17">
        <v>42298</v>
      </c>
      <c r="JQ13" s="19">
        <v>988</v>
      </c>
      <c r="JR13" s="72" t="s">
        <v>734</v>
      </c>
      <c r="JS13" s="24">
        <v>33.5</v>
      </c>
      <c r="JT13" s="16"/>
      <c r="JU13" s="59"/>
      <c r="JV13" s="276"/>
      <c r="JW13" s="20">
        <v>6</v>
      </c>
      <c r="JX13" s="19">
        <v>927.89</v>
      </c>
      <c r="JY13" s="17">
        <v>42297</v>
      </c>
      <c r="JZ13" s="19">
        <v>927.89</v>
      </c>
      <c r="KA13" s="72" t="s">
        <v>729</v>
      </c>
      <c r="KB13" s="24">
        <v>33.5</v>
      </c>
      <c r="KC13" s="16"/>
      <c r="KD13" s="59"/>
      <c r="KE13" s="126"/>
      <c r="KF13" s="20">
        <v>6</v>
      </c>
      <c r="KG13" s="202">
        <v>909.3</v>
      </c>
      <c r="KH13" s="110">
        <v>42299</v>
      </c>
      <c r="KI13" s="202">
        <v>909.3</v>
      </c>
      <c r="KJ13" s="129" t="s">
        <v>739</v>
      </c>
      <c r="KK13" s="108">
        <v>33.5</v>
      </c>
      <c r="KL13" s="16"/>
      <c r="KM13" s="59"/>
      <c r="KN13" s="126"/>
      <c r="KO13" s="20">
        <v>6</v>
      </c>
      <c r="KP13" s="202">
        <v>932.43</v>
      </c>
      <c r="KQ13" s="17">
        <v>42300</v>
      </c>
      <c r="KR13" s="202">
        <v>932.43</v>
      </c>
      <c r="KS13" s="72" t="s">
        <v>747</v>
      </c>
      <c r="KT13" s="24">
        <v>33.5</v>
      </c>
      <c r="KU13" s="16"/>
      <c r="KV13" s="59"/>
      <c r="KW13" s="126"/>
      <c r="KX13" s="20">
        <v>6</v>
      </c>
      <c r="KY13" s="19">
        <v>920.8</v>
      </c>
      <c r="KZ13" s="17">
        <v>42300</v>
      </c>
      <c r="LA13" s="19">
        <v>920.8</v>
      </c>
      <c r="LB13" s="72" t="s">
        <v>748</v>
      </c>
      <c r="LC13" s="24">
        <v>33.5</v>
      </c>
      <c r="LD13" s="16"/>
      <c r="LE13" s="59"/>
      <c r="LF13" s="126"/>
      <c r="LG13" s="20">
        <v>6</v>
      </c>
      <c r="LH13" s="202">
        <v>931.7</v>
      </c>
      <c r="LI13" s="17">
        <v>42301</v>
      </c>
      <c r="LJ13" s="202">
        <v>931.7</v>
      </c>
      <c r="LK13" s="72" t="s">
        <v>755</v>
      </c>
      <c r="LL13" s="24">
        <v>33.5</v>
      </c>
      <c r="LM13" s="16"/>
      <c r="LN13" s="59"/>
      <c r="LO13" s="126"/>
      <c r="LP13" s="20">
        <v>6</v>
      </c>
      <c r="LQ13" s="19">
        <v>945.12</v>
      </c>
      <c r="LR13" s="17">
        <v>42303</v>
      </c>
      <c r="LS13" s="19">
        <v>945.12</v>
      </c>
      <c r="LT13" s="72" t="s">
        <v>762</v>
      </c>
      <c r="LU13" s="24">
        <v>32.5</v>
      </c>
      <c r="LV13" s="16"/>
      <c r="LW13" s="59"/>
      <c r="LX13" s="126"/>
      <c r="LY13" s="20">
        <v>6</v>
      </c>
      <c r="LZ13" s="179">
        <v>910.8</v>
      </c>
      <c r="MA13" s="17">
        <v>42303</v>
      </c>
      <c r="MB13" s="19">
        <v>910.8</v>
      </c>
      <c r="MC13" s="510" t="s">
        <v>765</v>
      </c>
      <c r="MD13" s="24">
        <v>32.5</v>
      </c>
      <c r="ME13" s="16"/>
      <c r="MF13" s="59"/>
      <c r="MG13" s="126"/>
      <c r="MH13" s="20">
        <v>6</v>
      </c>
      <c r="MI13" s="19">
        <v>952.83</v>
      </c>
      <c r="MJ13" s="17">
        <v>42304</v>
      </c>
      <c r="MK13" s="19">
        <v>952.83</v>
      </c>
      <c r="ML13" s="72" t="s">
        <v>767</v>
      </c>
      <c r="MM13" s="24">
        <v>31</v>
      </c>
      <c r="MN13" s="16"/>
      <c r="MO13" s="59"/>
      <c r="MP13" s="126"/>
      <c r="MQ13" s="20">
        <v>6</v>
      </c>
      <c r="MR13" s="19">
        <v>916.55</v>
      </c>
      <c r="MS13" s="17">
        <v>42305</v>
      </c>
      <c r="MT13" s="19">
        <v>916.55</v>
      </c>
      <c r="MU13" s="72" t="s">
        <v>771</v>
      </c>
      <c r="MV13" s="24">
        <v>31</v>
      </c>
      <c r="MW13" s="16"/>
      <c r="MX13" s="59"/>
      <c r="MY13" s="126"/>
      <c r="MZ13" s="20">
        <v>6</v>
      </c>
      <c r="NA13" s="19">
        <v>925.62</v>
      </c>
      <c r="NB13" s="17">
        <v>42305</v>
      </c>
      <c r="NC13" s="19">
        <v>925.62</v>
      </c>
      <c r="ND13" s="72" t="s">
        <v>772</v>
      </c>
      <c r="NE13" s="24">
        <v>31</v>
      </c>
      <c r="NF13" s="16"/>
      <c r="NG13" s="59"/>
      <c r="NH13" s="126"/>
      <c r="NI13" s="20">
        <v>6</v>
      </c>
      <c r="NJ13" s="19">
        <v>929.4</v>
      </c>
      <c r="NK13" s="17">
        <v>42306</v>
      </c>
      <c r="NL13" s="19">
        <v>929.4</v>
      </c>
      <c r="NM13" s="309" t="s">
        <v>778</v>
      </c>
      <c r="NN13" s="24">
        <v>30</v>
      </c>
      <c r="NO13" s="16"/>
      <c r="NP13" s="59"/>
      <c r="NQ13" s="126"/>
      <c r="NR13" s="20">
        <v>6</v>
      </c>
      <c r="NS13" s="19">
        <v>922.6</v>
      </c>
      <c r="NT13" s="17">
        <v>42307</v>
      </c>
      <c r="NU13" s="19">
        <v>922.6</v>
      </c>
      <c r="NV13" s="72" t="s">
        <v>785</v>
      </c>
      <c r="NW13" s="24">
        <v>30</v>
      </c>
      <c r="NX13" s="16"/>
      <c r="NY13" s="59"/>
      <c r="NZ13" s="126"/>
      <c r="OA13" s="20">
        <v>6</v>
      </c>
      <c r="OB13" s="19">
        <v>944.22</v>
      </c>
      <c r="OC13" s="17">
        <v>42307</v>
      </c>
      <c r="OD13" s="19">
        <v>944.22</v>
      </c>
      <c r="OE13" s="72" t="s">
        <v>781</v>
      </c>
      <c r="OF13" s="24">
        <v>30</v>
      </c>
      <c r="OG13" s="16"/>
      <c r="OH13" s="59"/>
      <c r="OI13" s="126"/>
      <c r="OJ13" s="20">
        <v>6</v>
      </c>
      <c r="OK13" s="19">
        <v>900.68</v>
      </c>
      <c r="OL13" s="17"/>
      <c r="OM13" s="19"/>
      <c r="ON13" s="72"/>
      <c r="OO13" s="24"/>
      <c r="OP13" s="16"/>
      <c r="OQ13" s="59"/>
      <c r="OR13" s="126"/>
      <c r="OS13" s="20">
        <v>6</v>
      </c>
      <c r="OT13" s="19">
        <v>980</v>
      </c>
      <c r="OU13" s="17">
        <v>42308</v>
      </c>
      <c r="OV13" s="19">
        <v>980</v>
      </c>
      <c r="OW13" s="309" t="s">
        <v>701</v>
      </c>
      <c r="OX13" s="24">
        <v>29</v>
      </c>
      <c r="OY13" s="16"/>
      <c r="OZ13" s="59"/>
      <c r="PA13" s="183"/>
      <c r="PB13" s="20">
        <v>6</v>
      </c>
      <c r="PC13" s="19">
        <v>919.9</v>
      </c>
      <c r="PD13" s="156">
        <v>42308</v>
      </c>
      <c r="PE13" s="179">
        <v>919.9</v>
      </c>
      <c r="PF13" s="309" t="s">
        <v>792</v>
      </c>
      <c r="PG13" s="116">
        <v>29</v>
      </c>
      <c r="PH13" s="16"/>
      <c r="PI13" s="59"/>
      <c r="PJ13" s="126"/>
      <c r="PK13" s="20"/>
      <c r="PL13" s="19"/>
      <c r="PM13" s="17"/>
      <c r="PN13" s="19"/>
      <c r="PO13" s="72"/>
      <c r="PP13" s="24"/>
      <c r="PQ13" s="16"/>
      <c r="PR13" s="59"/>
      <c r="PS13" s="183"/>
      <c r="PT13" s="20"/>
      <c r="PU13" s="19"/>
      <c r="PV13" s="17"/>
      <c r="PW13" s="19"/>
      <c r="PX13" s="72"/>
      <c r="PY13" s="24"/>
      <c r="PZ13" s="16"/>
      <c r="QA13" s="59"/>
      <c r="QB13" s="126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135"/>
      <c r="RL13" s="2"/>
      <c r="RM13" s="20">
        <v>6</v>
      </c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ADAMS INT  MORELIA</v>
      </c>
      <c r="C14" s="16" t="str">
        <f t="shared" si="10"/>
        <v>INDIANA</v>
      </c>
      <c r="D14" s="74" t="str">
        <f t="shared" si="10"/>
        <v>PED. 5021595</v>
      </c>
      <c r="E14" s="162">
        <f t="shared" si="10"/>
        <v>42287</v>
      </c>
      <c r="F14" s="77">
        <f t="shared" si="10"/>
        <v>18980.13</v>
      </c>
      <c r="G14" s="15">
        <f t="shared" si="10"/>
        <v>19</v>
      </c>
      <c r="H14" s="65">
        <f t="shared" si="10"/>
        <v>19031</v>
      </c>
      <c r="I14" s="18">
        <f t="shared" si="10"/>
        <v>-50.869999999998981</v>
      </c>
      <c r="K14" s="59"/>
      <c r="L14" s="126"/>
      <c r="M14" s="20">
        <v>7</v>
      </c>
      <c r="N14" s="19">
        <v>922.1</v>
      </c>
      <c r="O14" s="339">
        <v>42278</v>
      </c>
      <c r="P14" s="226">
        <v>922.1</v>
      </c>
      <c r="Q14" s="340" t="s">
        <v>628</v>
      </c>
      <c r="R14" s="341">
        <v>30</v>
      </c>
      <c r="S14" s="16"/>
      <c r="T14" s="59"/>
      <c r="U14" s="126"/>
      <c r="V14" s="20">
        <v>7</v>
      </c>
      <c r="W14" s="19">
        <v>876.5</v>
      </c>
      <c r="X14" s="17">
        <v>42279</v>
      </c>
      <c r="Y14" s="19">
        <v>876.5</v>
      </c>
      <c r="Z14" s="72" t="s">
        <v>635</v>
      </c>
      <c r="AA14" s="24">
        <v>30</v>
      </c>
      <c r="AB14" s="16"/>
      <c r="AC14" s="59"/>
      <c r="AD14" s="126"/>
      <c r="AE14" s="20">
        <v>7</v>
      </c>
      <c r="AF14" s="19">
        <v>964</v>
      </c>
      <c r="AG14" s="17">
        <v>42280</v>
      </c>
      <c r="AH14" s="19">
        <v>964</v>
      </c>
      <c r="AI14" s="72" t="s">
        <v>641</v>
      </c>
      <c r="AJ14" s="24">
        <v>31</v>
      </c>
      <c r="AK14" s="16"/>
      <c r="AL14" s="59"/>
      <c r="AM14" s="126"/>
      <c r="AN14" s="20">
        <v>7</v>
      </c>
      <c r="AO14" s="19">
        <v>880.73</v>
      </c>
      <c r="AP14" s="156">
        <v>42280</v>
      </c>
      <c r="AQ14" s="19">
        <v>880.73</v>
      </c>
      <c r="AR14" s="309" t="s">
        <v>639</v>
      </c>
      <c r="AS14" s="116">
        <v>31</v>
      </c>
      <c r="AT14" s="16"/>
      <c r="AU14" s="59"/>
      <c r="AV14" s="175"/>
      <c r="AW14" s="20"/>
      <c r="AX14" s="19"/>
      <c r="AY14" s="110"/>
      <c r="AZ14" s="19"/>
      <c r="BA14" s="129"/>
      <c r="BB14" s="108"/>
      <c r="BC14" s="16"/>
      <c r="BD14" s="59"/>
      <c r="BE14" s="175"/>
      <c r="BF14" s="20">
        <v>7</v>
      </c>
      <c r="BG14" s="19">
        <v>920.8</v>
      </c>
      <c r="BH14" s="17">
        <v>42281</v>
      </c>
      <c r="BI14" s="19">
        <v>920.8</v>
      </c>
      <c r="BJ14" s="510" t="s">
        <v>643</v>
      </c>
      <c r="BK14" s="160">
        <v>31</v>
      </c>
      <c r="BL14" s="16"/>
      <c r="BM14" s="59"/>
      <c r="BN14" s="126"/>
      <c r="BO14" s="20">
        <v>7</v>
      </c>
      <c r="BP14" s="19">
        <v>945.12</v>
      </c>
      <c r="BQ14" s="17">
        <v>42283</v>
      </c>
      <c r="BR14" s="19">
        <v>945.12</v>
      </c>
      <c r="BS14" s="72" t="s">
        <v>655</v>
      </c>
      <c r="BT14" s="24">
        <v>31.5</v>
      </c>
      <c r="BU14" s="16"/>
      <c r="BV14" s="59"/>
      <c r="BW14" s="126"/>
      <c r="BX14" s="20">
        <v>7</v>
      </c>
      <c r="BY14" s="19">
        <v>932.43</v>
      </c>
      <c r="BZ14" s="17">
        <v>42283</v>
      </c>
      <c r="CA14" s="19">
        <v>932.43</v>
      </c>
      <c r="CB14" s="72" t="s">
        <v>651</v>
      </c>
      <c r="CC14" s="24">
        <v>31.5</v>
      </c>
      <c r="CD14" s="16"/>
      <c r="CE14" s="59"/>
      <c r="CF14" s="126"/>
      <c r="CG14" s="20">
        <v>7</v>
      </c>
      <c r="CH14" s="19">
        <v>969.61</v>
      </c>
      <c r="CI14" s="17">
        <v>42284</v>
      </c>
      <c r="CJ14" s="19">
        <v>969.61</v>
      </c>
      <c r="CK14" s="437" t="s">
        <v>660</v>
      </c>
      <c r="CL14" s="24">
        <v>31.5</v>
      </c>
      <c r="CM14" s="16"/>
      <c r="CN14" s="59"/>
      <c r="CO14" s="126"/>
      <c r="CP14" s="20">
        <v>7</v>
      </c>
      <c r="CQ14" s="19">
        <v>918.1</v>
      </c>
      <c r="CR14" s="17">
        <v>42285</v>
      </c>
      <c r="CS14" s="19">
        <v>918.1</v>
      </c>
      <c r="CT14" s="326" t="s">
        <v>663</v>
      </c>
      <c r="CU14" s="24">
        <v>31.5</v>
      </c>
      <c r="CV14" s="16"/>
      <c r="CW14" s="59"/>
      <c r="CX14" s="126"/>
      <c r="CY14" s="20">
        <v>7</v>
      </c>
      <c r="CZ14" s="202">
        <v>978</v>
      </c>
      <c r="DA14" s="17">
        <v>42287</v>
      </c>
      <c r="DB14" s="202">
        <v>978</v>
      </c>
      <c r="DC14" s="43" t="s">
        <v>670</v>
      </c>
      <c r="DD14" s="24">
        <v>32</v>
      </c>
      <c r="DE14" s="16"/>
      <c r="DF14" s="59"/>
      <c r="DG14" s="126"/>
      <c r="DH14" s="20">
        <v>7</v>
      </c>
      <c r="DI14" s="19">
        <v>907.2</v>
      </c>
      <c r="DJ14" s="17">
        <v>42286</v>
      </c>
      <c r="DK14" s="19">
        <v>907.2</v>
      </c>
      <c r="DL14" s="43" t="s">
        <v>667</v>
      </c>
      <c r="DM14" s="24">
        <v>32</v>
      </c>
      <c r="DN14" s="16"/>
      <c r="DO14" s="59"/>
      <c r="DP14" s="126"/>
      <c r="DQ14" s="20">
        <v>7</v>
      </c>
      <c r="DR14" s="30">
        <v>908.1</v>
      </c>
      <c r="DS14" s="58">
        <v>42287</v>
      </c>
      <c r="DT14" s="30">
        <v>908.1</v>
      </c>
      <c r="DU14" s="79" t="s">
        <v>672</v>
      </c>
      <c r="DV14" s="24">
        <v>32</v>
      </c>
      <c r="DW14" s="16"/>
      <c r="DX14" s="59"/>
      <c r="DY14" s="126"/>
      <c r="DZ14" s="20">
        <v>7</v>
      </c>
      <c r="EA14" s="30">
        <v>939.23</v>
      </c>
      <c r="EB14" s="58">
        <v>42290</v>
      </c>
      <c r="EC14" s="30">
        <v>939.23</v>
      </c>
      <c r="ED14" s="79" t="s">
        <v>685</v>
      </c>
      <c r="EE14" s="24">
        <v>30.3</v>
      </c>
      <c r="EF14" s="16"/>
      <c r="EG14" s="59"/>
      <c r="EH14" s="175"/>
      <c r="EI14" s="20">
        <v>7</v>
      </c>
      <c r="EJ14" s="19">
        <v>1019</v>
      </c>
      <c r="EK14" s="17">
        <v>42289</v>
      </c>
      <c r="EL14" s="19">
        <v>1019</v>
      </c>
      <c r="EM14" s="43" t="s">
        <v>677</v>
      </c>
      <c r="EN14" s="24">
        <v>32</v>
      </c>
      <c r="EO14" s="16"/>
      <c r="EP14" s="59"/>
      <c r="EQ14" s="126"/>
      <c r="ER14" s="20">
        <v>7</v>
      </c>
      <c r="ES14" s="19">
        <v>915.8</v>
      </c>
      <c r="ET14" s="17">
        <v>42289</v>
      </c>
      <c r="EU14" s="19">
        <v>915.8</v>
      </c>
      <c r="EV14" s="79" t="s">
        <v>679</v>
      </c>
      <c r="EW14" s="24">
        <v>32</v>
      </c>
      <c r="EX14" s="16"/>
      <c r="EY14" s="59"/>
      <c r="EZ14" s="126"/>
      <c r="FA14" s="20">
        <v>7</v>
      </c>
      <c r="FB14" s="19">
        <v>920.63</v>
      </c>
      <c r="FC14" s="17">
        <v>42290</v>
      </c>
      <c r="FD14" s="19">
        <v>920.63</v>
      </c>
      <c r="FE14" s="43" t="s">
        <v>688</v>
      </c>
      <c r="FF14" s="24">
        <v>32.5</v>
      </c>
      <c r="FG14" s="16"/>
      <c r="FH14" s="59"/>
      <c r="FI14" s="126"/>
      <c r="FJ14" s="20">
        <v>7</v>
      </c>
      <c r="FK14" s="30">
        <v>931.07</v>
      </c>
      <c r="FL14" s="58">
        <v>42290</v>
      </c>
      <c r="FM14" s="30">
        <v>931.07</v>
      </c>
      <c r="FN14" s="79" t="s">
        <v>690</v>
      </c>
      <c r="FO14" s="24">
        <v>32.5</v>
      </c>
      <c r="FP14" s="16"/>
      <c r="FQ14" s="59"/>
      <c r="FR14" s="126"/>
      <c r="FS14" s="20">
        <v>7</v>
      </c>
      <c r="FT14" s="30">
        <v>929.71</v>
      </c>
      <c r="FU14" s="58">
        <v>42291</v>
      </c>
      <c r="FV14" s="30">
        <v>929.71</v>
      </c>
      <c r="FW14" s="79" t="s">
        <v>696</v>
      </c>
      <c r="FX14" s="24">
        <v>32.5</v>
      </c>
      <c r="FY14" s="16"/>
      <c r="FZ14" s="59"/>
      <c r="GA14" s="175"/>
      <c r="GB14" s="20">
        <v>7</v>
      </c>
      <c r="GC14" s="19">
        <v>957</v>
      </c>
      <c r="GD14" s="17">
        <v>42291</v>
      </c>
      <c r="GE14" s="19">
        <v>957</v>
      </c>
      <c r="GF14" s="360" t="s">
        <v>694</v>
      </c>
      <c r="GG14" s="24">
        <v>32.5</v>
      </c>
      <c r="GH14" s="16"/>
      <c r="GI14" s="59"/>
      <c r="GJ14" s="126"/>
      <c r="GK14" s="20">
        <v>7</v>
      </c>
      <c r="GL14" s="19">
        <v>909.4</v>
      </c>
      <c r="GM14" s="17">
        <v>42292</v>
      </c>
      <c r="GN14" s="19">
        <v>909.4</v>
      </c>
      <c r="GO14" s="72" t="s">
        <v>701</v>
      </c>
      <c r="GP14" s="24">
        <v>32.5</v>
      </c>
      <c r="GQ14" s="16"/>
      <c r="GR14" s="7"/>
      <c r="GS14" s="126"/>
      <c r="GT14" s="20">
        <v>7</v>
      </c>
      <c r="GU14" s="19">
        <v>914.4</v>
      </c>
      <c r="GV14" s="17">
        <v>42293</v>
      </c>
      <c r="GW14" s="19">
        <v>914.4</v>
      </c>
      <c r="GX14" s="72" t="s">
        <v>705</v>
      </c>
      <c r="GY14" s="24">
        <v>32.5</v>
      </c>
      <c r="GZ14" s="16"/>
      <c r="HA14" s="7"/>
      <c r="HB14" s="126"/>
      <c r="HC14" s="20">
        <v>7</v>
      </c>
      <c r="HD14" s="19">
        <v>918.5</v>
      </c>
      <c r="HE14" s="17">
        <v>42293</v>
      </c>
      <c r="HF14" s="19">
        <v>918.5</v>
      </c>
      <c r="HG14" s="72" t="s">
        <v>713</v>
      </c>
      <c r="HH14" s="24">
        <v>33</v>
      </c>
      <c r="HI14" s="16"/>
      <c r="HJ14" s="7"/>
      <c r="HK14" s="126"/>
      <c r="HL14" s="20">
        <v>7</v>
      </c>
      <c r="HM14" s="19">
        <v>938.5</v>
      </c>
      <c r="HN14" s="17">
        <v>42293</v>
      </c>
      <c r="HO14" s="19">
        <v>938.5</v>
      </c>
      <c r="HP14" s="72" t="s">
        <v>715</v>
      </c>
      <c r="HQ14" s="24">
        <v>33</v>
      </c>
      <c r="HR14" s="16"/>
      <c r="HS14" s="7"/>
      <c r="HT14" s="126"/>
      <c r="HU14" s="20">
        <v>7</v>
      </c>
      <c r="HV14" s="19">
        <v>913</v>
      </c>
      <c r="HW14" s="17">
        <v>42294</v>
      </c>
      <c r="HX14" s="19">
        <v>913</v>
      </c>
      <c r="HY14" s="72" t="s">
        <v>719</v>
      </c>
      <c r="HZ14" s="24">
        <v>33</v>
      </c>
      <c r="IA14" s="16"/>
      <c r="IB14" s="7"/>
      <c r="IC14" s="126"/>
      <c r="ID14" s="20">
        <v>7</v>
      </c>
      <c r="IE14" s="19">
        <v>928.5</v>
      </c>
      <c r="IF14" s="17">
        <v>42294</v>
      </c>
      <c r="IG14" s="19">
        <v>928.5</v>
      </c>
      <c r="IH14" s="72" t="s">
        <v>721</v>
      </c>
      <c r="II14" s="24">
        <v>33</v>
      </c>
      <c r="IJ14" s="16"/>
      <c r="IK14" s="7"/>
      <c r="IL14" s="126"/>
      <c r="IM14" s="20">
        <v>7</v>
      </c>
      <c r="IN14" s="19">
        <v>923.81</v>
      </c>
      <c r="IO14" s="17">
        <v>42297</v>
      </c>
      <c r="IP14" s="19">
        <v>923.81</v>
      </c>
      <c r="IQ14" s="72" t="s">
        <v>726</v>
      </c>
      <c r="IR14" s="24">
        <v>32.07</v>
      </c>
      <c r="IS14" s="16"/>
      <c r="IT14" s="7"/>
      <c r="IU14" s="126"/>
      <c r="IV14" s="20">
        <v>7</v>
      </c>
      <c r="IW14" s="19">
        <v>820.1</v>
      </c>
      <c r="IX14" s="110">
        <v>42296</v>
      </c>
      <c r="IY14" s="19">
        <v>820.1</v>
      </c>
      <c r="IZ14" s="129" t="s">
        <v>722</v>
      </c>
      <c r="JA14" s="108">
        <v>33.5</v>
      </c>
      <c r="JB14" s="16"/>
      <c r="JC14" s="7"/>
      <c r="JD14" s="126"/>
      <c r="JE14" s="20">
        <v>7</v>
      </c>
      <c r="JF14" s="19">
        <v>988</v>
      </c>
      <c r="JG14" s="17">
        <v>42297</v>
      </c>
      <c r="JH14" s="19">
        <v>988</v>
      </c>
      <c r="JI14" s="510" t="s">
        <v>731</v>
      </c>
      <c r="JJ14" s="24">
        <v>33.5</v>
      </c>
      <c r="JK14" s="16"/>
      <c r="JL14" s="7"/>
      <c r="JM14" s="126"/>
      <c r="JN14" s="20">
        <v>7</v>
      </c>
      <c r="JO14" s="19">
        <v>978</v>
      </c>
      <c r="JP14" s="17">
        <v>42299</v>
      </c>
      <c r="JQ14" s="19">
        <v>978</v>
      </c>
      <c r="JR14" s="72" t="s">
        <v>737</v>
      </c>
      <c r="JS14" s="24">
        <v>33.5</v>
      </c>
      <c r="JT14" s="16"/>
      <c r="JU14" s="59"/>
      <c r="JV14" s="276"/>
      <c r="JW14" s="20">
        <v>7</v>
      </c>
      <c r="JX14" s="19">
        <v>920.63</v>
      </c>
      <c r="JY14" s="17">
        <v>42297</v>
      </c>
      <c r="JZ14" s="19">
        <v>920.63</v>
      </c>
      <c r="KA14" s="72" t="s">
        <v>729</v>
      </c>
      <c r="KB14" s="24">
        <v>33.5</v>
      </c>
      <c r="KC14" s="16"/>
      <c r="KD14" s="59"/>
      <c r="KE14" s="126"/>
      <c r="KF14" s="20">
        <v>7</v>
      </c>
      <c r="KG14" s="202">
        <v>932.88</v>
      </c>
      <c r="KH14" s="110">
        <v>42299</v>
      </c>
      <c r="KI14" s="202">
        <v>932.88</v>
      </c>
      <c r="KJ14" s="129" t="s">
        <v>739</v>
      </c>
      <c r="KK14" s="108">
        <v>33.5</v>
      </c>
      <c r="KL14" s="358"/>
      <c r="KM14" s="59"/>
      <c r="KN14" s="126"/>
      <c r="KO14" s="20">
        <v>7</v>
      </c>
      <c r="KP14" s="202">
        <v>915.65</v>
      </c>
      <c r="KQ14" s="17">
        <v>42299</v>
      </c>
      <c r="KR14" s="202">
        <v>915.65</v>
      </c>
      <c r="KS14" s="72" t="s">
        <v>740</v>
      </c>
      <c r="KT14" s="24">
        <v>33.5</v>
      </c>
      <c r="KU14" s="16"/>
      <c r="KV14" s="59"/>
      <c r="KW14" s="126"/>
      <c r="KX14" s="20">
        <v>7</v>
      </c>
      <c r="KY14" s="19">
        <v>938.5</v>
      </c>
      <c r="KZ14" s="17">
        <v>42300</v>
      </c>
      <c r="LA14" s="19">
        <v>938.5</v>
      </c>
      <c r="LB14" s="72" t="s">
        <v>747</v>
      </c>
      <c r="LC14" s="24">
        <v>33.5</v>
      </c>
      <c r="LD14" s="16"/>
      <c r="LE14" s="59"/>
      <c r="LF14" s="126"/>
      <c r="LG14" s="20">
        <v>7</v>
      </c>
      <c r="LH14" s="202">
        <v>917.2</v>
      </c>
      <c r="LI14" s="17">
        <v>42301</v>
      </c>
      <c r="LJ14" s="202">
        <v>917.2</v>
      </c>
      <c r="LK14" s="72" t="s">
        <v>755</v>
      </c>
      <c r="LL14" s="24">
        <v>33.5</v>
      </c>
      <c r="LM14" s="16"/>
      <c r="LN14" s="59"/>
      <c r="LO14" s="126"/>
      <c r="LP14" s="20">
        <v>7</v>
      </c>
      <c r="LQ14" s="19">
        <v>941.5</v>
      </c>
      <c r="LR14" s="17">
        <v>42303</v>
      </c>
      <c r="LS14" s="19">
        <v>941.5</v>
      </c>
      <c r="LT14" s="72" t="s">
        <v>762</v>
      </c>
      <c r="LU14" s="24">
        <v>32.5</v>
      </c>
      <c r="LV14" s="16"/>
      <c r="LW14" s="59"/>
      <c r="LX14" s="126"/>
      <c r="LY14" s="20">
        <v>7</v>
      </c>
      <c r="LZ14" s="179">
        <v>931.2</v>
      </c>
      <c r="MA14" s="17">
        <v>42303</v>
      </c>
      <c r="MB14" s="19">
        <v>931.2</v>
      </c>
      <c r="MC14" s="510" t="s">
        <v>765</v>
      </c>
      <c r="MD14" s="24">
        <v>32.5</v>
      </c>
      <c r="ME14" s="16"/>
      <c r="MF14" s="59"/>
      <c r="MG14" s="126"/>
      <c r="MH14" s="20">
        <v>7</v>
      </c>
      <c r="MI14" s="19">
        <v>959.18</v>
      </c>
      <c r="MJ14" s="17">
        <v>42304</v>
      </c>
      <c r="MK14" s="19">
        <v>959.18</v>
      </c>
      <c r="ML14" s="72" t="s">
        <v>767</v>
      </c>
      <c r="MM14" s="24">
        <v>31</v>
      </c>
      <c r="MN14" s="16"/>
      <c r="MO14" s="59"/>
      <c r="MP14" s="126"/>
      <c r="MQ14" s="20">
        <v>7</v>
      </c>
      <c r="MR14" s="19">
        <v>908.84</v>
      </c>
      <c r="MS14" s="17">
        <v>42305</v>
      </c>
      <c r="MT14" s="19">
        <v>908.84</v>
      </c>
      <c r="MU14" s="72" t="s">
        <v>771</v>
      </c>
      <c r="MV14" s="24">
        <v>31</v>
      </c>
      <c r="MW14" s="16"/>
      <c r="MX14" s="59"/>
      <c r="MY14" s="126"/>
      <c r="MZ14" s="20">
        <v>7</v>
      </c>
      <c r="NA14" s="19">
        <v>904.76</v>
      </c>
      <c r="NB14" s="17">
        <v>42305</v>
      </c>
      <c r="NC14" s="19">
        <v>904.76</v>
      </c>
      <c r="ND14" s="72" t="s">
        <v>772</v>
      </c>
      <c r="NE14" s="24">
        <v>31</v>
      </c>
      <c r="NF14" s="16"/>
      <c r="NG14" s="59"/>
      <c r="NH14" s="126"/>
      <c r="NI14" s="20">
        <v>7</v>
      </c>
      <c r="NJ14" s="19">
        <v>920.8</v>
      </c>
      <c r="NK14" s="17">
        <v>42306</v>
      </c>
      <c r="NL14" s="19">
        <v>920.8</v>
      </c>
      <c r="NM14" s="309" t="s">
        <v>778</v>
      </c>
      <c r="NN14" s="24">
        <v>30</v>
      </c>
      <c r="NO14" s="16"/>
      <c r="NP14" s="59"/>
      <c r="NQ14" s="126"/>
      <c r="NR14" s="20">
        <v>7</v>
      </c>
      <c r="NS14" s="19">
        <v>923.5</v>
      </c>
      <c r="NT14" s="17">
        <v>42307</v>
      </c>
      <c r="NU14" s="19">
        <v>923.5</v>
      </c>
      <c r="NV14" s="72" t="s">
        <v>785</v>
      </c>
      <c r="NW14" s="24">
        <v>30</v>
      </c>
      <c r="NX14" s="16"/>
      <c r="NY14" s="59"/>
      <c r="NZ14" s="126"/>
      <c r="OA14" s="20">
        <v>7</v>
      </c>
      <c r="OB14" s="19">
        <v>915.19</v>
      </c>
      <c r="OC14" s="17">
        <v>42307</v>
      </c>
      <c r="OD14" s="19">
        <v>915.19</v>
      </c>
      <c r="OE14" s="617" t="s">
        <v>781</v>
      </c>
      <c r="OF14" s="24">
        <v>30</v>
      </c>
      <c r="OG14" s="16"/>
      <c r="OH14" s="59"/>
      <c r="OI14" s="126"/>
      <c r="OJ14" s="20">
        <v>7</v>
      </c>
      <c r="OK14" s="19">
        <v>952.38</v>
      </c>
      <c r="OL14" s="17"/>
      <c r="OM14" s="19"/>
      <c r="ON14" s="72"/>
      <c r="OO14" s="24"/>
      <c r="OP14" s="16"/>
      <c r="OQ14" s="59"/>
      <c r="OR14" s="126"/>
      <c r="OS14" s="20">
        <v>7</v>
      </c>
      <c r="OT14" s="19">
        <v>970</v>
      </c>
      <c r="OU14" s="17">
        <v>42308</v>
      </c>
      <c r="OV14" s="19">
        <v>970</v>
      </c>
      <c r="OW14" s="309" t="s">
        <v>790</v>
      </c>
      <c r="OX14" s="24">
        <v>29</v>
      </c>
      <c r="OY14" s="16"/>
      <c r="OZ14" s="59"/>
      <c r="PA14" s="126"/>
      <c r="PB14" s="20">
        <v>7</v>
      </c>
      <c r="PC14" s="19">
        <v>917.6</v>
      </c>
      <c r="PD14" s="17">
        <v>42308</v>
      </c>
      <c r="PE14" s="19">
        <v>917.6</v>
      </c>
      <c r="PF14" s="72" t="s">
        <v>792</v>
      </c>
      <c r="PG14" s="24">
        <v>29</v>
      </c>
      <c r="PH14" s="16"/>
      <c r="PI14" s="59"/>
      <c r="PJ14" s="126"/>
      <c r="PK14" s="20"/>
      <c r="PL14" s="19"/>
      <c r="PM14" s="17"/>
      <c r="PN14" s="19"/>
      <c r="PO14" s="72"/>
      <c r="PP14" s="24"/>
      <c r="PQ14" s="16"/>
      <c r="PR14" s="59"/>
      <c r="PS14" s="126"/>
      <c r="PT14" s="20"/>
      <c r="PU14" s="19"/>
      <c r="PV14" s="17"/>
      <c r="PW14" s="19"/>
      <c r="PX14" s="72"/>
      <c r="PY14" s="24"/>
      <c r="PZ14" s="16"/>
      <c r="QA14" s="59"/>
      <c r="QB14" s="126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>
        <v>7</v>
      </c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4" t="str">
        <f t="shared" si="11"/>
        <v>PED. 5004029</v>
      </c>
      <c r="E15" s="162">
        <f t="shared" si="11"/>
        <v>42286</v>
      </c>
      <c r="F15" s="77">
        <f t="shared" si="11"/>
        <v>18429.23</v>
      </c>
      <c r="G15" s="15">
        <f t="shared" si="11"/>
        <v>20</v>
      </c>
      <c r="H15" s="65">
        <f t="shared" si="11"/>
        <v>18383.099999999999</v>
      </c>
      <c r="I15" s="18">
        <f t="shared" si="11"/>
        <v>46.130000000001019</v>
      </c>
      <c r="K15" s="59"/>
      <c r="L15" s="126"/>
      <c r="M15" s="20">
        <v>8</v>
      </c>
      <c r="N15" s="19">
        <v>935.8</v>
      </c>
      <c r="O15" s="339">
        <v>42278</v>
      </c>
      <c r="P15" s="226">
        <v>935.8</v>
      </c>
      <c r="Q15" s="340" t="s">
        <v>628</v>
      </c>
      <c r="R15" s="341">
        <v>30</v>
      </c>
      <c r="S15" s="16"/>
      <c r="T15" s="59"/>
      <c r="U15" s="126"/>
      <c r="V15" s="20">
        <v>8</v>
      </c>
      <c r="W15" s="19">
        <v>918.1</v>
      </c>
      <c r="X15" s="17">
        <v>42279</v>
      </c>
      <c r="Y15" s="19">
        <v>918.1</v>
      </c>
      <c r="Z15" s="72" t="s">
        <v>635</v>
      </c>
      <c r="AA15" s="24">
        <v>30</v>
      </c>
      <c r="AB15" s="16"/>
      <c r="AC15" s="59"/>
      <c r="AD15" s="126"/>
      <c r="AE15" s="20">
        <v>8</v>
      </c>
      <c r="AF15" s="19">
        <v>1001</v>
      </c>
      <c r="AG15" s="17">
        <v>42280</v>
      </c>
      <c r="AH15" s="19">
        <v>1001</v>
      </c>
      <c r="AI15" s="72" t="s">
        <v>641</v>
      </c>
      <c r="AJ15" s="24">
        <v>31</v>
      </c>
      <c r="AK15" s="16"/>
      <c r="AL15" s="59"/>
      <c r="AM15" s="126"/>
      <c r="AN15" s="20">
        <v>8</v>
      </c>
      <c r="AO15" s="19">
        <v>918.37</v>
      </c>
      <c r="AP15" s="156">
        <v>42280</v>
      </c>
      <c r="AQ15" s="19">
        <v>918.37</v>
      </c>
      <c r="AR15" s="309" t="s">
        <v>639</v>
      </c>
      <c r="AS15" s="116">
        <v>31</v>
      </c>
      <c r="AT15" s="16"/>
      <c r="AU15" s="59"/>
      <c r="AV15" s="175"/>
      <c r="AW15" s="20"/>
      <c r="AX15" s="19"/>
      <c r="AY15" s="110"/>
      <c r="AZ15" s="19"/>
      <c r="BA15" s="129"/>
      <c r="BB15" s="108"/>
      <c r="BC15" s="16"/>
      <c r="BD15" s="59"/>
      <c r="BE15" s="175"/>
      <c r="BF15" s="20">
        <v>8</v>
      </c>
      <c r="BG15" s="19">
        <v>929.9</v>
      </c>
      <c r="BH15" s="17">
        <v>42281</v>
      </c>
      <c r="BI15" s="19">
        <v>929.9</v>
      </c>
      <c r="BJ15" s="510" t="s">
        <v>643</v>
      </c>
      <c r="BK15" s="160">
        <v>31</v>
      </c>
      <c r="BL15" s="16"/>
      <c r="BM15" s="59"/>
      <c r="BN15" s="126"/>
      <c r="BO15" s="20">
        <v>8</v>
      </c>
      <c r="BP15" s="19">
        <v>957.37</v>
      </c>
      <c r="BQ15" s="17">
        <v>42283</v>
      </c>
      <c r="BR15" s="19">
        <v>957.37</v>
      </c>
      <c r="BS15" s="72" t="s">
        <v>655</v>
      </c>
      <c r="BT15" s="24">
        <v>31.5</v>
      </c>
      <c r="BU15" s="16"/>
      <c r="BV15" s="59"/>
      <c r="BW15" s="126"/>
      <c r="BX15" s="20">
        <v>8</v>
      </c>
      <c r="BY15" s="19">
        <v>946.03</v>
      </c>
      <c r="BZ15" s="17">
        <v>42283</v>
      </c>
      <c r="CA15" s="19">
        <v>946.03</v>
      </c>
      <c r="CB15" s="72" t="s">
        <v>651</v>
      </c>
      <c r="CC15" s="24">
        <v>31.5</v>
      </c>
      <c r="CD15" s="16"/>
      <c r="CE15" s="59"/>
      <c r="CF15" s="126"/>
      <c r="CG15" s="20">
        <v>8</v>
      </c>
      <c r="CH15" s="19">
        <v>966.44</v>
      </c>
      <c r="CI15" s="17">
        <v>42284</v>
      </c>
      <c r="CJ15" s="19">
        <v>966.44</v>
      </c>
      <c r="CK15" s="437" t="s">
        <v>660</v>
      </c>
      <c r="CL15" s="24">
        <v>31.5</v>
      </c>
      <c r="CM15" s="16"/>
      <c r="CN15" s="59"/>
      <c r="CO15" s="126"/>
      <c r="CP15" s="20">
        <v>8</v>
      </c>
      <c r="CQ15" s="19">
        <v>911.3</v>
      </c>
      <c r="CR15" s="17">
        <v>42285</v>
      </c>
      <c r="CS15" s="19">
        <v>911.3</v>
      </c>
      <c r="CT15" s="326" t="s">
        <v>663</v>
      </c>
      <c r="CU15" s="24">
        <v>31.5</v>
      </c>
      <c r="CV15" s="16"/>
      <c r="CW15" s="59"/>
      <c r="CX15" s="126"/>
      <c r="CY15" s="20">
        <v>8</v>
      </c>
      <c r="CZ15" s="202">
        <v>1026</v>
      </c>
      <c r="DA15" s="17">
        <v>42287</v>
      </c>
      <c r="DB15" s="202">
        <v>1026</v>
      </c>
      <c r="DC15" s="43" t="s">
        <v>670</v>
      </c>
      <c r="DD15" s="24">
        <v>32</v>
      </c>
      <c r="DE15" s="16"/>
      <c r="DF15" s="59"/>
      <c r="DG15" s="126"/>
      <c r="DH15" s="20">
        <v>8</v>
      </c>
      <c r="DI15" s="19">
        <v>909.9</v>
      </c>
      <c r="DJ15" s="17">
        <v>42286</v>
      </c>
      <c r="DK15" s="19">
        <v>909.9</v>
      </c>
      <c r="DL15" s="43" t="s">
        <v>667</v>
      </c>
      <c r="DM15" s="24">
        <v>32</v>
      </c>
      <c r="DN15" s="16"/>
      <c r="DO15" s="59"/>
      <c r="DP15" s="126"/>
      <c r="DQ15" s="20">
        <v>8</v>
      </c>
      <c r="DR15" s="30">
        <v>908.1</v>
      </c>
      <c r="DS15" s="58">
        <v>42287</v>
      </c>
      <c r="DT15" s="30">
        <v>908.1</v>
      </c>
      <c r="DU15" s="79" t="s">
        <v>672</v>
      </c>
      <c r="DV15" s="24">
        <v>32</v>
      </c>
      <c r="DW15" s="16"/>
      <c r="DX15" s="59"/>
      <c r="DY15" s="126"/>
      <c r="DZ15" s="20">
        <v>8</v>
      </c>
      <c r="EA15" s="30">
        <v>919.73</v>
      </c>
      <c r="EB15" s="58">
        <v>42290</v>
      </c>
      <c r="EC15" s="30">
        <v>919.73</v>
      </c>
      <c r="ED15" s="79" t="s">
        <v>685</v>
      </c>
      <c r="EE15" s="24">
        <v>30.3</v>
      </c>
      <c r="EF15" s="16"/>
      <c r="EG15" s="59"/>
      <c r="EH15" s="175"/>
      <c r="EI15" s="20">
        <v>8</v>
      </c>
      <c r="EJ15" s="19">
        <v>955</v>
      </c>
      <c r="EK15" s="17">
        <v>42289</v>
      </c>
      <c r="EL15" s="19">
        <v>955</v>
      </c>
      <c r="EM15" s="43" t="s">
        <v>677</v>
      </c>
      <c r="EN15" s="24">
        <v>32</v>
      </c>
      <c r="EO15" s="16"/>
      <c r="EP15" s="59"/>
      <c r="EQ15" s="126"/>
      <c r="ER15" s="20">
        <v>8</v>
      </c>
      <c r="ES15" s="19">
        <v>883.1</v>
      </c>
      <c r="ET15" s="17">
        <v>42289</v>
      </c>
      <c r="EU15" s="19">
        <v>883.1</v>
      </c>
      <c r="EV15" s="79" t="s">
        <v>679</v>
      </c>
      <c r="EW15" s="24">
        <v>32</v>
      </c>
      <c r="EX15" s="16"/>
      <c r="EY15" s="59"/>
      <c r="EZ15" s="126"/>
      <c r="FA15" s="20">
        <v>8</v>
      </c>
      <c r="FB15" s="19">
        <v>939.23</v>
      </c>
      <c r="FC15" s="17">
        <v>42290</v>
      </c>
      <c r="FD15" s="19">
        <v>939.23</v>
      </c>
      <c r="FE15" s="43" t="s">
        <v>688</v>
      </c>
      <c r="FF15" s="24">
        <v>32.5</v>
      </c>
      <c r="FG15" s="16"/>
      <c r="FH15" s="59"/>
      <c r="FI15" s="126"/>
      <c r="FJ15" s="20">
        <v>8</v>
      </c>
      <c r="FK15" s="30">
        <v>927.89</v>
      </c>
      <c r="FL15" s="58">
        <v>42290</v>
      </c>
      <c r="FM15" s="30">
        <v>927.89</v>
      </c>
      <c r="FN15" s="79" t="s">
        <v>690</v>
      </c>
      <c r="FO15" s="24">
        <v>32.5</v>
      </c>
      <c r="FP15" s="16"/>
      <c r="FQ15" s="59"/>
      <c r="FR15" s="126"/>
      <c r="FS15" s="20">
        <v>8</v>
      </c>
      <c r="FT15" s="30">
        <v>964.63</v>
      </c>
      <c r="FU15" s="58">
        <v>42291</v>
      </c>
      <c r="FV15" s="30">
        <v>964.63</v>
      </c>
      <c r="FW15" s="79" t="s">
        <v>696</v>
      </c>
      <c r="FX15" s="24">
        <v>32.5</v>
      </c>
      <c r="FY15" s="16"/>
      <c r="FZ15" s="59"/>
      <c r="GA15" s="175"/>
      <c r="GB15" s="20">
        <v>8</v>
      </c>
      <c r="GC15" s="19">
        <v>943.4</v>
      </c>
      <c r="GD15" s="17">
        <v>42291</v>
      </c>
      <c r="GE15" s="19">
        <v>943.4</v>
      </c>
      <c r="GF15" s="360" t="s">
        <v>694</v>
      </c>
      <c r="GG15" s="24">
        <v>32.5</v>
      </c>
      <c r="GH15" s="16"/>
      <c r="GI15" s="59"/>
      <c r="GJ15" s="126"/>
      <c r="GK15" s="20">
        <v>8</v>
      </c>
      <c r="GL15" s="19">
        <v>929.9</v>
      </c>
      <c r="GM15" s="17">
        <v>42292</v>
      </c>
      <c r="GN15" s="19">
        <v>929.9</v>
      </c>
      <c r="GO15" s="72" t="s">
        <v>701</v>
      </c>
      <c r="GP15" s="24">
        <v>32.5</v>
      </c>
      <c r="GQ15" s="16"/>
      <c r="GR15" s="7"/>
      <c r="GS15" s="126"/>
      <c r="GT15" s="20">
        <v>8</v>
      </c>
      <c r="GU15" s="19">
        <v>900.8</v>
      </c>
      <c r="GV15" s="17">
        <v>42293</v>
      </c>
      <c r="GW15" s="19">
        <v>900.8</v>
      </c>
      <c r="GX15" s="72" t="s">
        <v>705</v>
      </c>
      <c r="GY15" s="24">
        <v>32.5</v>
      </c>
      <c r="GZ15" s="16"/>
      <c r="HA15" s="7"/>
      <c r="HB15" s="126"/>
      <c r="HC15" s="20">
        <v>8</v>
      </c>
      <c r="HD15" s="19">
        <v>926.7</v>
      </c>
      <c r="HE15" s="17">
        <v>42293</v>
      </c>
      <c r="HF15" s="19">
        <v>926.7</v>
      </c>
      <c r="HG15" s="72" t="s">
        <v>713</v>
      </c>
      <c r="HH15" s="24">
        <v>33</v>
      </c>
      <c r="HI15" s="16"/>
      <c r="HJ15" s="7"/>
      <c r="HK15" s="126"/>
      <c r="HL15" s="20">
        <v>8</v>
      </c>
      <c r="HM15" s="19">
        <v>911.7</v>
      </c>
      <c r="HN15" s="17">
        <v>42293</v>
      </c>
      <c r="HO15" s="19">
        <v>911.7</v>
      </c>
      <c r="HP15" s="72" t="s">
        <v>715</v>
      </c>
      <c r="HQ15" s="24">
        <v>33</v>
      </c>
      <c r="HR15" s="16"/>
      <c r="HS15" s="7"/>
      <c r="HT15" s="126"/>
      <c r="HU15" s="20">
        <v>8</v>
      </c>
      <c r="HV15" s="19">
        <v>922</v>
      </c>
      <c r="HW15" s="17">
        <v>42294</v>
      </c>
      <c r="HX15" s="19">
        <v>922</v>
      </c>
      <c r="HY15" s="72" t="s">
        <v>719</v>
      </c>
      <c r="HZ15" s="24">
        <v>33</v>
      </c>
      <c r="IA15" s="16"/>
      <c r="IB15" s="7"/>
      <c r="IC15" s="126"/>
      <c r="ID15" s="20">
        <v>8</v>
      </c>
      <c r="IE15" s="19">
        <v>908.5</v>
      </c>
      <c r="IF15" s="17">
        <v>42296</v>
      </c>
      <c r="IG15" s="19">
        <v>908.5</v>
      </c>
      <c r="IH15" s="72" t="s">
        <v>724</v>
      </c>
      <c r="II15" s="24">
        <v>33.5</v>
      </c>
      <c r="IJ15" s="16"/>
      <c r="IK15" s="7"/>
      <c r="IL15" s="126"/>
      <c r="IM15" s="20">
        <v>8</v>
      </c>
      <c r="IN15" s="19">
        <v>960.09</v>
      </c>
      <c r="IO15" s="17">
        <v>42297</v>
      </c>
      <c r="IP15" s="19">
        <v>960.09</v>
      </c>
      <c r="IQ15" s="72" t="s">
        <v>726</v>
      </c>
      <c r="IR15" s="24">
        <v>32.07</v>
      </c>
      <c r="IS15" s="16"/>
      <c r="IT15" s="7"/>
      <c r="IU15" s="126"/>
      <c r="IV15" s="20">
        <v>8</v>
      </c>
      <c r="IW15" s="19">
        <v>829.1</v>
      </c>
      <c r="IX15" s="110">
        <v>42296</v>
      </c>
      <c r="IY15" s="19">
        <v>829.1</v>
      </c>
      <c r="IZ15" s="129" t="s">
        <v>722</v>
      </c>
      <c r="JA15" s="108">
        <v>33.5</v>
      </c>
      <c r="JB15" s="16"/>
      <c r="JC15" s="7"/>
      <c r="JD15" s="126"/>
      <c r="JE15" s="20">
        <v>8</v>
      </c>
      <c r="JF15" s="19">
        <v>1028</v>
      </c>
      <c r="JG15" s="17">
        <v>42297</v>
      </c>
      <c r="JH15" s="19">
        <v>1028</v>
      </c>
      <c r="JI15" s="510" t="s">
        <v>731</v>
      </c>
      <c r="JJ15" s="24">
        <v>33.5</v>
      </c>
      <c r="JK15" s="16"/>
      <c r="JL15" s="7"/>
      <c r="JM15" s="126"/>
      <c r="JN15" s="20">
        <v>8</v>
      </c>
      <c r="JO15" s="19">
        <v>1022</v>
      </c>
      <c r="JP15" s="17">
        <v>42298</v>
      </c>
      <c r="JQ15" s="19">
        <v>1022</v>
      </c>
      <c r="JR15" s="72" t="s">
        <v>734</v>
      </c>
      <c r="JS15" s="24">
        <v>33.5</v>
      </c>
      <c r="JT15" s="16"/>
      <c r="JU15" s="59"/>
      <c r="JV15" s="276"/>
      <c r="JW15" s="20">
        <v>8</v>
      </c>
      <c r="JX15" s="19">
        <v>913.83</v>
      </c>
      <c r="JY15" s="17">
        <v>42297</v>
      </c>
      <c r="JZ15" s="19">
        <v>913.83</v>
      </c>
      <c r="KA15" s="72" t="s">
        <v>729</v>
      </c>
      <c r="KB15" s="24">
        <v>33.5</v>
      </c>
      <c r="KC15" s="16"/>
      <c r="KD15" s="59"/>
      <c r="KE15" s="126"/>
      <c r="KF15" s="20">
        <v>8</v>
      </c>
      <c r="KG15" s="202">
        <v>885.71</v>
      </c>
      <c r="KH15" s="110">
        <v>42299</v>
      </c>
      <c r="KI15" s="202">
        <v>885.71</v>
      </c>
      <c r="KJ15" s="129" t="s">
        <v>742</v>
      </c>
      <c r="KK15" s="108">
        <v>33.5</v>
      </c>
      <c r="KL15" s="358"/>
      <c r="KM15" s="59"/>
      <c r="KN15" s="126"/>
      <c r="KO15" s="20">
        <v>8</v>
      </c>
      <c r="KP15" s="202">
        <v>914.74</v>
      </c>
      <c r="KQ15" s="17">
        <v>42300</v>
      </c>
      <c r="KR15" s="202">
        <v>914.74</v>
      </c>
      <c r="KS15" s="72" t="s">
        <v>746</v>
      </c>
      <c r="KT15" s="24">
        <v>33.5</v>
      </c>
      <c r="KU15" s="16"/>
      <c r="KV15" s="59"/>
      <c r="KW15" s="126"/>
      <c r="KX15" s="20">
        <v>8</v>
      </c>
      <c r="KY15" s="19">
        <v>931.7</v>
      </c>
      <c r="KZ15" s="17">
        <v>42301</v>
      </c>
      <c r="LA15" s="19">
        <v>931.7</v>
      </c>
      <c r="LB15" s="72" t="s">
        <v>750</v>
      </c>
      <c r="LC15" s="24">
        <v>33.5</v>
      </c>
      <c r="LD15" s="16"/>
      <c r="LE15" s="59"/>
      <c r="LF15" s="126"/>
      <c r="LG15" s="20">
        <v>8</v>
      </c>
      <c r="LH15" s="202">
        <v>921.7</v>
      </c>
      <c r="LI15" s="17">
        <v>42301</v>
      </c>
      <c r="LJ15" s="202">
        <v>921.7</v>
      </c>
      <c r="LK15" s="72" t="s">
        <v>755</v>
      </c>
      <c r="LL15" s="24">
        <v>33.5</v>
      </c>
      <c r="LM15" s="16"/>
      <c r="LN15" s="59"/>
      <c r="LO15" s="126"/>
      <c r="LP15" s="20">
        <v>8</v>
      </c>
      <c r="LQ15" s="19">
        <v>943.76</v>
      </c>
      <c r="LR15" s="17">
        <v>42303</v>
      </c>
      <c r="LS15" s="19">
        <v>943.76</v>
      </c>
      <c r="LT15" s="72" t="s">
        <v>762</v>
      </c>
      <c r="LU15" s="24">
        <v>32.5</v>
      </c>
      <c r="LV15" s="16"/>
      <c r="LW15" s="59"/>
      <c r="LX15" s="126"/>
      <c r="LY15" s="20">
        <v>8</v>
      </c>
      <c r="LZ15" s="179">
        <v>917.6</v>
      </c>
      <c r="MA15" s="17">
        <v>42303</v>
      </c>
      <c r="MB15" s="19">
        <v>917.6</v>
      </c>
      <c r="MC15" s="510" t="s">
        <v>764</v>
      </c>
      <c r="MD15" s="24">
        <v>32.5</v>
      </c>
      <c r="ME15" s="16"/>
      <c r="MF15" s="59"/>
      <c r="MG15" s="126"/>
      <c r="MH15" s="20">
        <v>8</v>
      </c>
      <c r="MI15" s="19">
        <v>925.17</v>
      </c>
      <c r="MJ15" s="17">
        <v>42304</v>
      </c>
      <c r="MK15" s="19">
        <v>925.17</v>
      </c>
      <c r="ML15" s="72" t="s">
        <v>767</v>
      </c>
      <c r="MM15" s="24">
        <v>31</v>
      </c>
      <c r="MN15" s="16"/>
      <c r="MO15" s="59"/>
      <c r="MP15" s="126"/>
      <c r="MQ15" s="20">
        <v>8</v>
      </c>
      <c r="MR15" s="19">
        <v>955.1</v>
      </c>
      <c r="MS15" s="17">
        <v>42305</v>
      </c>
      <c r="MT15" s="19">
        <v>955.1</v>
      </c>
      <c r="MU15" s="72" t="s">
        <v>771</v>
      </c>
      <c r="MV15" s="24">
        <v>31</v>
      </c>
      <c r="MW15" s="16"/>
      <c r="MX15" s="59"/>
      <c r="MY15" s="126"/>
      <c r="MZ15" s="20">
        <v>8</v>
      </c>
      <c r="NA15" s="19">
        <v>884.35</v>
      </c>
      <c r="NB15" s="17">
        <v>42305</v>
      </c>
      <c r="NC15" s="19">
        <v>884.35</v>
      </c>
      <c r="ND15" s="72" t="s">
        <v>772</v>
      </c>
      <c r="NE15" s="24">
        <v>31</v>
      </c>
      <c r="NF15" s="16"/>
      <c r="NG15" s="59"/>
      <c r="NH15" s="126"/>
      <c r="NI15" s="20">
        <v>8</v>
      </c>
      <c r="NJ15" s="19">
        <v>924.4</v>
      </c>
      <c r="NK15" s="17">
        <v>42306</v>
      </c>
      <c r="NL15" s="19">
        <v>924.4</v>
      </c>
      <c r="NM15" s="309" t="s">
        <v>778</v>
      </c>
      <c r="NN15" s="24">
        <v>30</v>
      </c>
      <c r="NO15" s="16"/>
      <c r="NP15" s="59"/>
      <c r="NQ15" s="126"/>
      <c r="NR15" s="20">
        <v>8</v>
      </c>
      <c r="NS15" s="19">
        <v>923.5</v>
      </c>
      <c r="NT15" s="17">
        <v>42307</v>
      </c>
      <c r="NU15" s="19">
        <v>923.5</v>
      </c>
      <c r="NV15" s="72" t="s">
        <v>785</v>
      </c>
      <c r="NW15" s="24">
        <v>30</v>
      </c>
      <c r="NX15" s="16"/>
      <c r="NY15" s="59"/>
      <c r="NZ15" s="126"/>
      <c r="OA15" s="20">
        <v>8</v>
      </c>
      <c r="OB15" s="19">
        <v>914.29</v>
      </c>
      <c r="OC15" s="17">
        <v>42307</v>
      </c>
      <c r="OD15" s="19">
        <v>914.29</v>
      </c>
      <c r="OE15" s="72" t="s">
        <v>781</v>
      </c>
      <c r="OF15" s="24">
        <v>30</v>
      </c>
      <c r="OG15" s="16"/>
      <c r="OH15" s="59"/>
      <c r="OI15" s="126"/>
      <c r="OJ15" s="20">
        <v>8</v>
      </c>
      <c r="OK15" s="19">
        <v>895.69</v>
      </c>
      <c r="OL15" s="17"/>
      <c r="OM15" s="19"/>
      <c r="ON15" s="72"/>
      <c r="OO15" s="24"/>
      <c r="OP15" s="16"/>
      <c r="OQ15" s="59"/>
      <c r="OR15" s="126"/>
      <c r="OS15" s="20">
        <v>8</v>
      </c>
      <c r="OT15" s="19">
        <v>999</v>
      </c>
      <c r="OU15" s="17">
        <v>42308</v>
      </c>
      <c r="OV15" s="19">
        <v>999</v>
      </c>
      <c r="OW15" s="309" t="s">
        <v>790</v>
      </c>
      <c r="OX15" s="24">
        <v>29</v>
      </c>
      <c r="OY15" s="16"/>
      <c r="OZ15" s="59"/>
      <c r="PA15" s="126"/>
      <c r="PB15" s="20">
        <v>8</v>
      </c>
      <c r="PC15" s="19">
        <v>909.9</v>
      </c>
      <c r="PD15" s="17">
        <v>42308</v>
      </c>
      <c r="PE15" s="19">
        <v>909.9</v>
      </c>
      <c r="PF15" s="72" t="s">
        <v>792</v>
      </c>
      <c r="PG15" s="24">
        <v>29</v>
      </c>
      <c r="PH15" s="16"/>
      <c r="PI15" s="59"/>
      <c r="PJ15" s="126"/>
      <c r="PK15" s="20"/>
      <c r="PL15" s="19"/>
      <c r="PM15" s="17"/>
      <c r="PN15" s="19"/>
      <c r="PO15" s="72"/>
      <c r="PP15" s="24"/>
      <c r="PQ15" s="16"/>
      <c r="PR15" s="59"/>
      <c r="PS15" s="126"/>
      <c r="PT15" s="20"/>
      <c r="PU15" s="19"/>
      <c r="PV15" s="17"/>
      <c r="PW15" s="19"/>
      <c r="PX15" s="72"/>
      <c r="PY15" s="24"/>
      <c r="PZ15" s="16"/>
      <c r="QA15" s="59"/>
      <c r="QB15" s="126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>
        <v>8</v>
      </c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4" t="str">
        <f t="shared" si="12"/>
        <v>PED. 5004036</v>
      </c>
      <c r="E16" s="162">
        <f t="shared" si="12"/>
        <v>42287</v>
      </c>
      <c r="F16" s="77">
        <f t="shared" si="12"/>
        <v>19185.830000000002</v>
      </c>
      <c r="G16" s="15">
        <f t="shared" si="12"/>
        <v>21</v>
      </c>
      <c r="H16" s="65">
        <f t="shared" si="12"/>
        <v>19305</v>
      </c>
      <c r="I16" s="18">
        <f t="shared" si="12"/>
        <v>-119.16999999999825</v>
      </c>
      <c r="K16" s="59"/>
      <c r="L16" s="126"/>
      <c r="M16" s="20">
        <v>9</v>
      </c>
      <c r="N16" s="19">
        <v>936.2</v>
      </c>
      <c r="O16" s="339">
        <v>42278</v>
      </c>
      <c r="P16" s="226">
        <v>936.2</v>
      </c>
      <c r="Q16" s="340" t="s">
        <v>628</v>
      </c>
      <c r="R16" s="341">
        <v>30</v>
      </c>
      <c r="S16" s="16"/>
      <c r="T16" s="59"/>
      <c r="U16" s="126"/>
      <c r="V16" s="20">
        <v>9</v>
      </c>
      <c r="W16" s="19">
        <v>922.1</v>
      </c>
      <c r="X16" s="17">
        <v>42279</v>
      </c>
      <c r="Y16" s="19">
        <v>922.1</v>
      </c>
      <c r="Z16" s="72" t="s">
        <v>635</v>
      </c>
      <c r="AA16" s="24">
        <v>30</v>
      </c>
      <c r="AB16" s="16"/>
      <c r="AC16" s="59"/>
      <c r="AD16" s="126"/>
      <c r="AE16" s="20">
        <v>9</v>
      </c>
      <c r="AF16" s="19">
        <v>990</v>
      </c>
      <c r="AG16" s="17">
        <v>42280</v>
      </c>
      <c r="AH16" s="19">
        <v>990</v>
      </c>
      <c r="AI16" s="72" t="s">
        <v>641</v>
      </c>
      <c r="AJ16" s="24">
        <v>31</v>
      </c>
      <c r="AK16" s="16"/>
      <c r="AL16" s="59"/>
      <c r="AM16" s="183" t="s">
        <v>448</v>
      </c>
      <c r="AN16" s="20">
        <v>9</v>
      </c>
      <c r="AO16" s="19">
        <v>829.48</v>
      </c>
      <c r="AP16" s="156">
        <v>42280</v>
      </c>
      <c r="AQ16" s="19">
        <v>829.48</v>
      </c>
      <c r="AR16" s="309" t="s">
        <v>639</v>
      </c>
      <c r="AS16" s="116">
        <v>18</v>
      </c>
      <c r="AT16" s="16"/>
      <c r="AU16" s="59"/>
      <c r="AV16" s="175"/>
      <c r="AW16" s="20"/>
      <c r="AX16" s="19"/>
      <c r="AY16" s="110"/>
      <c r="AZ16" s="19"/>
      <c r="BA16" s="129"/>
      <c r="BB16" s="108"/>
      <c r="BC16" s="16"/>
      <c r="BD16" s="59"/>
      <c r="BE16" s="175"/>
      <c r="BF16" s="20">
        <v>9</v>
      </c>
      <c r="BG16" s="19">
        <v>932.1</v>
      </c>
      <c r="BH16" s="17">
        <v>42281</v>
      </c>
      <c r="BI16" s="19">
        <v>932.1</v>
      </c>
      <c r="BJ16" s="510" t="s">
        <v>643</v>
      </c>
      <c r="BK16" s="160">
        <v>31</v>
      </c>
      <c r="BL16" s="16"/>
      <c r="BM16" s="59"/>
      <c r="BN16" s="126"/>
      <c r="BO16" s="20">
        <v>9</v>
      </c>
      <c r="BP16" s="19">
        <v>913.38</v>
      </c>
      <c r="BQ16" s="17">
        <v>42283</v>
      </c>
      <c r="BR16" s="19">
        <v>913.38</v>
      </c>
      <c r="BS16" s="72" t="s">
        <v>655</v>
      </c>
      <c r="BT16" s="24">
        <v>31.5</v>
      </c>
      <c r="BU16" s="16"/>
      <c r="BV16" s="59"/>
      <c r="BW16" s="126"/>
      <c r="BX16" s="20">
        <v>9</v>
      </c>
      <c r="BY16" s="19">
        <v>912.93</v>
      </c>
      <c r="BZ16" s="17">
        <v>42283</v>
      </c>
      <c r="CA16" s="19">
        <v>912.93</v>
      </c>
      <c r="CB16" s="72" t="s">
        <v>651</v>
      </c>
      <c r="CC16" s="24">
        <v>31.5</v>
      </c>
      <c r="CD16" s="16"/>
      <c r="CE16" s="59"/>
      <c r="CF16" s="126"/>
      <c r="CG16" s="20">
        <v>9</v>
      </c>
      <c r="CH16" s="19">
        <v>913.83</v>
      </c>
      <c r="CI16" s="17">
        <v>42284</v>
      </c>
      <c r="CJ16" s="19">
        <v>913.83</v>
      </c>
      <c r="CK16" s="437" t="s">
        <v>660</v>
      </c>
      <c r="CL16" s="24">
        <v>31.5</v>
      </c>
      <c r="CM16" s="16"/>
      <c r="CN16" s="59"/>
      <c r="CO16" s="126"/>
      <c r="CP16" s="20">
        <v>9</v>
      </c>
      <c r="CQ16" s="19">
        <v>922.6</v>
      </c>
      <c r="CR16" s="17">
        <v>42285</v>
      </c>
      <c r="CS16" s="19">
        <v>922.6</v>
      </c>
      <c r="CT16" s="326" t="s">
        <v>663</v>
      </c>
      <c r="CU16" s="24">
        <v>31.5</v>
      </c>
      <c r="CV16" s="16"/>
      <c r="CW16" s="59"/>
      <c r="CX16" s="126"/>
      <c r="CY16" s="20">
        <v>9</v>
      </c>
      <c r="CZ16" s="202">
        <v>1025</v>
      </c>
      <c r="DA16" s="17">
        <v>42287</v>
      </c>
      <c r="DB16" s="202">
        <v>1025</v>
      </c>
      <c r="DC16" s="43" t="s">
        <v>670</v>
      </c>
      <c r="DD16" s="24">
        <v>32</v>
      </c>
      <c r="DE16" s="16"/>
      <c r="DF16" s="59"/>
      <c r="DG16" s="126"/>
      <c r="DH16" s="20">
        <v>9</v>
      </c>
      <c r="DI16" s="19">
        <v>914.4</v>
      </c>
      <c r="DJ16" s="17">
        <v>42286</v>
      </c>
      <c r="DK16" s="19">
        <v>914.4</v>
      </c>
      <c r="DL16" s="43" t="s">
        <v>667</v>
      </c>
      <c r="DM16" s="24">
        <v>32</v>
      </c>
      <c r="DN16" s="16"/>
      <c r="DO16" s="59"/>
      <c r="DP16" s="126"/>
      <c r="DQ16" s="20">
        <v>9</v>
      </c>
      <c r="DR16" s="30">
        <v>919</v>
      </c>
      <c r="DS16" s="58">
        <v>42287</v>
      </c>
      <c r="DT16" s="30">
        <v>919</v>
      </c>
      <c r="DU16" s="79" t="s">
        <v>672</v>
      </c>
      <c r="DV16" s="24">
        <v>32</v>
      </c>
      <c r="DW16" s="16"/>
      <c r="DX16" s="59"/>
      <c r="DY16" s="126"/>
      <c r="DZ16" s="20">
        <v>9</v>
      </c>
      <c r="EA16" s="30">
        <v>936.05</v>
      </c>
      <c r="EB16" s="58">
        <v>42290</v>
      </c>
      <c r="EC16" s="30">
        <v>936.05</v>
      </c>
      <c r="ED16" s="79" t="s">
        <v>685</v>
      </c>
      <c r="EE16" s="24">
        <v>30.3</v>
      </c>
      <c r="EF16" s="16"/>
      <c r="EG16" s="59"/>
      <c r="EH16" s="175"/>
      <c r="EI16" s="20">
        <v>9</v>
      </c>
      <c r="EJ16" s="19">
        <v>957</v>
      </c>
      <c r="EK16" s="17">
        <v>42289</v>
      </c>
      <c r="EL16" s="19">
        <v>957</v>
      </c>
      <c r="EM16" s="43" t="s">
        <v>677</v>
      </c>
      <c r="EN16" s="24">
        <v>32</v>
      </c>
      <c r="EO16" s="16"/>
      <c r="EP16" s="59"/>
      <c r="EQ16" s="126"/>
      <c r="ER16" s="20">
        <v>9</v>
      </c>
      <c r="ES16" s="19">
        <v>899.9</v>
      </c>
      <c r="ET16" s="17">
        <v>42289</v>
      </c>
      <c r="EU16" s="19">
        <v>899.9</v>
      </c>
      <c r="EV16" s="79" t="s">
        <v>679</v>
      </c>
      <c r="EW16" s="24">
        <v>32</v>
      </c>
      <c r="EX16" s="16"/>
      <c r="EY16" s="59"/>
      <c r="EZ16" s="126"/>
      <c r="FA16" s="20">
        <v>9</v>
      </c>
      <c r="FB16" s="19">
        <v>934.24</v>
      </c>
      <c r="FC16" s="17">
        <v>42290</v>
      </c>
      <c r="FD16" s="19">
        <v>934.24</v>
      </c>
      <c r="FE16" s="43" t="s">
        <v>688</v>
      </c>
      <c r="FF16" s="24">
        <v>32.5</v>
      </c>
      <c r="FG16" s="16"/>
      <c r="FH16" s="59"/>
      <c r="FI16" s="126"/>
      <c r="FJ16" s="20">
        <v>9</v>
      </c>
      <c r="FK16" s="30">
        <v>930.16</v>
      </c>
      <c r="FL16" s="58">
        <v>42290</v>
      </c>
      <c r="FM16" s="30">
        <v>930.16</v>
      </c>
      <c r="FN16" s="79" t="s">
        <v>690</v>
      </c>
      <c r="FO16" s="24">
        <v>32.5</v>
      </c>
      <c r="FP16" s="16"/>
      <c r="FQ16" s="59"/>
      <c r="FR16" s="126"/>
      <c r="FS16" s="20">
        <v>9</v>
      </c>
      <c r="FT16" s="30">
        <v>895.24</v>
      </c>
      <c r="FU16" s="58">
        <v>42291</v>
      </c>
      <c r="FV16" s="30">
        <v>895.24</v>
      </c>
      <c r="FW16" s="79" t="s">
        <v>696</v>
      </c>
      <c r="FX16" s="24">
        <v>32.5</v>
      </c>
      <c r="FY16" s="16"/>
      <c r="FZ16" s="59"/>
      <c r="GA16" s="175"/>
      <c r="GB16" s="20">
        <v>9</v>
      </c>
      <c r="GC16" s="19">
        <v>939.3</v>
      </c>
      <c r="GD16" s="17">
        <v>42291</v>
      </c>
      <c r="GE16" s="19">
        <v>939.3</v>
      </c>
      <c r="GF16" s="360" t="s">
        <v>694</v>
      </c>
      <c r="GG16" s="24">
        <v>32.5</v>
      </c>
      <c r="GH16" s="16"/>
      <c r="GI16" s="59"/>
      <c r="GJ16" s="126"/>
      <c r="GK16" s="20">
        <v>9</v>
      </c>
      <c r="GL16" s="19">
        <v>913.5</v>
      </c>
      <c r="GM16" s="17">
        <v>42292</v>
      </c>
      <c r="GN16" s="19">
        <v>913.5</v>
      </c>
      <c r="GO16" s="72" t="s">
        <v>701</v>
      </c>
      <c r="GP16" s="24">
        <v>32.5</v>
      </c>
      <c r="GQ16" s="16"/>
      <c r="GR16" s="7"/>
      <c r="GS16" s="126"/>
      <c r="GT16" s="20">
        <v>9</v>
      </c>
      <c r="GU16" s="19">
        <v>926.2</v>
      </c>
      <c r="GV16" s="17">
        <v>42293</v>
      </c>
      <c r="GW16" s="19">
        <v>926.2</v>
      </c>
      <c r="GX16" s="72" t="s">
        <v>705</v>
      </c>
      <c r="GY16" s="24">
        <v>32.5</v>
      </c>
      <c r="GZ16" s="16"/>
      <c r="HA16" s="7"/>
      <c r="HB16" s="126"/>
      <c r="HC16" s="20">
        <v>9</v>
      </c>
      <c r="HD16" s="19">
        <v>915.3</v>
      </c>
      <c r="HE16" s="17">
        <v>42293</v>
      </c>
      <c r="HF16" s="19">
        <v>915.3</v>
      </c>
      <c r="HG16" s="72" t="s">
        <v>713</v>
      </c>
      <c r="HH16" s="24">
        <v>33</v>
      </c>
      <c r="HI16" s="16"/>
      <c r="HJ16" s="7"/>
      <c r="HK16" s="126"/>
      <c r="HL16" s="20">
        <v>9</v>
      </c>
      <c r="HM16" s="19">
        <v>938.9</v>
      </c>
      <c r="HN16" s="17">
        <v>42293</v>
      </c>
      <c r="HO16" s="19">
        <v>938.9</v>
      </c>
      <c r="HP16" s="72" t="s">
        <v>715</v>
      </c>
      <c r="HQ16" s="24">
        <v>33</v>
      </c>
      <c r="HR16" s="16"/>
      <c r="HS16" s="7"/>
      <c r="HT16" s="126"/>
      <c r="HU16" s="20">
        <v>9</v>
      </c>
      <c r="HV16" s="19">
        <v>970</v>
      </c>
      <c r="HW16" s="17">
        <v>42294</v>
      </c>
      <c r="HX16" s="19">
        <v>970</v>
      </c>
      <c r="HY16" s="72" t="s">
        <v>719</v>
      </c>
      <c r="HZ16" s="24">
        <v>33</v>
      </c>
      <c r="IA16" s="16"/>
      <c r="IB16" s="7"/>
      <c r="IC16" s="126"/>
      <c r="ID16" s="20">
        <v>9</v>
      </c>
      <c r="IE16" s="19">
        <v>922.1</v>
      </c>
      <c r="IF16" s="17">
        <v>42294</v>
      </c>
      <c r="IG16" s="19">
        <v>922.1</v>
      </c>
      <c r="IH16" s="72" t="s">
        <v>721</v>
      </c>
      <c r="II16" s="24">
        <v>33</v>
      </c>
      <c r="IJ16" s="16"/>
      <c r="IK16" s="7"/>
      <c r="IL16" s="126"/>
      <c r="IM16" s="20">
        <v>9</v>
      </c>
      <c r="IN16" s="19">
        <v>915.19</v>
      </c>
      <c r="IO16" s="17">
        <v>42297</v>
      </c>
      <c r="IP16" s="19">
        <v>915.19</v>
      </c>
      <c r="IQ16" s="72" t="s">
        <v>726</v>
      </c>
      <c r="IR16" s="24">
        <v>32.07</v>
      </c>
      <c r="IS16" s="16"/>
      <c r="IT16" s="7"/>
      <c r="IU16" s="126"/>
      <c r="IV16" s="20">
        <v>9</v>
      </c>
      <c r="IW16" s="19">
        <v>920.8</v>
      </c>
      <c r="IX16" s="110">
        <v>42296</v>
      </c>
      <c r="IY16" s="19">
        <v>920.8</v>
      </c>
      <c r="IZ16" s="129" t="s">
        <v>722</v>
      </c>
      <c r="JA16" s="108">
        <v>33.5</v>
      </c>
      <c r="JB16" s="16"/>
      <c r="JC16" s="7"/>
      <c r="JD16" s="126"/>
      <c r="JE16" s="20">
        <v>9</v>
      </c>
      <c r="JF16" s="19">
        <v>963</v>
      </c>
      <c r="JG16" s="17">
        <v>42297</v>
      </c>
      <c r="JH16" s="19">
        <v>963</v>
      </c>
      <c r="JI16" s="510" t="s">
        <v>731</v>
      </c>
      <c r="JJ16" s="24">
        <v>33.5</v>
      </c>
      <c r="JK16" s="16"/>
      <c r="JL16" s="7"/>
      <c r="JM16" s="126"/>
      <c r="JN16" s="20">
        <v>9</v>
      </c>
      <c r="JO16" s="19">
        <v>1026</v>
      </c>
      <c r="JP16" s="17">
        <v>42299</v>
      </c>
      <c r="JQ16" s="19">
        <v>1026</v>
      </c>
      <c r="JR16" s="72" t="s">
        <v>735</v>
      </c>
      <c r="JS16" s="24">
        <v>33.5</v>
      </c>
      <c r="JT16" s="16"/>
      <c r="JU16" s="59"/>
      <c r="JV16" s="276"/>
      <c r="JW16" s="20">
        <v>9</v>
      </c>
      <c r="JX16" s="19">
        <v>914.29</v>
      </c>
      <c r="JY16" s="17">
        <v>42297</v>
      </c>
      <c r="JZ16" s="19">
        <v>914.29</v>
      </c>
      <c r="KA16" s="72" t="s">
        <v>729</v>
      </c>
      <c r="KB16" s="24">
        <v>33.5</v>
      </c>
      <c r="KC16" s="16"/>
      <c r="KD16" s="59"/>
      <c r="KE16" s="126"/>
      <c r="KF16" s="20">
        <v>9</v>
      </c>
      <c r="KG16" s="202">
        <v>926.98</v>
      </c>
      <c r="KH16" s="110">
        <v>42299</v>
      </c>
      <c r="KI16" s="202">
        <v>926.98</v>
      </c>
      <c r="KJ16" s="129" t="s">
        <v>739</v>
      </c>
      <c r="KK16" s="108">
        <v>33.5</v>
      </c>
      <c r="KL16" s="358"/>
      <c r="KM16" s="59"/>
      <c r="KN16" s="126"/>
      <c r="KO16" s="20">
        <v>9</v>
      </c>
      <c r="KP16" s="202">
        <v>919.73</v>
      </c>
      <c r="KQ16" s="17">
        <v>42299</v>
      </c>
      <c r="KR16" s="202">
        <v>919.73</v>
      </c>
      <c r="KS16" s="72" t="s">
        <v>740</v>
      </c>
      <c r="KT16" s="24">
        <v>33.5</v>
      </c>
      <c r="KU16" s="16"/>
      <c r="KV16" s="59"/>
      <c r="KW16" s="126"/>
      <c r="KX16" s="20">
        <v>9</v>
      </c>
      <c r="KY16" s="19">
        <v>930.3</v>
      </c>
      <c r="KZ16" s="17">
        <v>42300</v>
      </c>
      <c r="LA16" s="19">
        <v>930.3</v>
      </c>
      <c r="LB16" s="72" t="s">
        <v>745</v>
      </c>
      <c r="LC16" s="24">
        <v>33.5</v>
      </c>
      <c r="LD16" s="16"/>
      <c r="LE16" s="59"/>
      <c r="LF16" s="126"/>
      <c r="LG16" s="20">
        <v>9</v>
      </c>
      <c r="LH16" s="202">
        <v>927.1</v>
      </c>
      <c r="LI16" s="17">
        <v>42301</v>
      </c>
      <c r="LJ16" s="202">
        <v>927.1</v>
      </c>
      <c r="LK16" s="72" t="s">
        <v>754</v>
      </c>
      <c r="LL16" s="24">
        <v>33.5</v>
      </c>
      <c r="LM16" s="16"/>
      <c r="LN16" s="59"/>
      <c r="LO16" s="126"/>
      <c r="LP16" s="20">
        <v>9</v>
      </c>
      <c r="LQ16" s="19">
        <v>931.97</v>
      </c>
      <c r="LR16" s="17">
        <v>42303</v>
      </c>
      <c r="LS16" s="19">
        <v>931.97</v>
      </c>
      <c r="LT16" s="72" t="s">
        <v>762</v>
      </c>
      <c r="LU16" s="24">
        <v>32.5</v>
      </c>
      <c r="LV16" s="16"/>
      <c r="LW16" s="59"/>
      <c r="LX16" s="126"/>
      <c r="LY16" s="20">
        <v>9</v>
      </c>
      <c r="LZ16" s="179">
        <v>918.5</v>
      </c>
      <c r="MA16" s="17">
        <v>42303</v>
      </c>
      <c r="MB16" s="19">
        <v>918.5</v>
      </c>
      <c r="MC16" s="510" t="s">
        <v>764</v>
      </c>
      <c r="MD16" s="24">
        <v>32.5</v>
      </c>
      <c r="ME16" s="16"/>
      <c r="MF16" s="59"/>
      <c r="MG16" s="126"/>
      <c r="MH16" s="20">
        <v>9</v>
      </c>
      <c r="MI16" s="19">
        <v>931.52</v>
      </c>
      <c r="MJ16" s="17">
        <v>42304</v>
      </c>
      <c r="MK16" s="19">
        <v>931.52</v>
      </c>
      <c r="ML16" s="72" t="s">
        <v>767</v>
      </c>
      <c r="MM16" s="24">
        <v>31</v>
      </c>
      <c r="MN16" s="16"/>
      <c r="MO16" s="59"/>
      <c r="MP16" s="126"/>
      <c r="MQ16" s="20">
        <v>9</v>
      </c>
      <c r="MR16" s="19">
        <v>922</v>
      </c>
      <c r="MS16" s="17">
        <v>42305</v>
      </c>
      <c r="MT16" s="19">
        <v>922</v>
      </c>
      <c r="MU16" s="72" t="s">
        <v>771</v>
      </c>
      <c r="MV16" s="24">
        <v>31</v>
      </c>
      <c r="MW16" s="16"/>
      <c r="MX16" s="59"/>
      <c r="MY16" s="126"/>
      <c r="MZ16" s="20">
        <v>9</v>
      </c>
      <c r="NA16" s="19">
        <v>936.51</v>
      </c>
      <c r="NB16" s="17">
        <v>42305</v>
      </c>
      <c r="NC16" s="19">
        <v>936.51</v>
      </c>
      <c r="ND16" s="72" t="s">
        <v>772</v>
      </c>
      <c r="NE16" s="24">
        <v>31</v>
      </c>
      <c r="NF16" s="16"/>
      <c r="NG16" s="59"/>
      <c r="NH16" s="126"/>
      <c r="NI16" s="20">
        <v>9</v>
      </c>
      <c r="NJ16" s="19">
        <v>926.2</v>
      </c>
      <c r="NK16" s="17">
        <v>42306</v>
      </c>
      <c r="NL16" s="19">
        <v>926.2</v>
      </c>
      <c r="NM16" s="309" t="s">
        <v>778</v>
      </c>
      <c r="NN16" s="24">
        <v>30</v>
      </c>
      <c r="NO16" s="16"/>
      <c r="NP16" s="59"/>
      <c r="NQ16" s="126"/>
      <c r="NR16" s="20">
        <v>9</v>
      </c>
      <c r="NS16" s="19">
        <v>921.7</v>
      </c>
      <c r="NT16" s="17">
        <v>42307</v>
      </c>
      <c r="NU16" s="19">
        <v>921.7</v>
      </c>
      <c r="NV16" s="72" t="s">
        <v>785</v>
      </c>
      <c r="NW16" s="24">
        <v>30</v>
      </c>
      <c r="NX16" s="16"/>
      <c r="NY16" s="59"/>
      <c r="NZ16" s="126"/>
      <c r="OA16" s="20">
        <v>9</v>
      </c>
      <c r="OB16" s="19">
        <v>962.81</v>
      </c>
      <c r="OC16" s="17">
        <v>42307</v>
      </c>
      <c r="OD16" s="19">
        <v>962.81</v>
      </c>
      <c r="OE16" s="617" t="s">
        <v>781</v>
      </c>
      <c r="OF16" s="24">
        <v>30</v>
      </c>
      <c r="OG16" s="16"/>
      <c r="OH16" s="59"/>
      <c r="OI16" s="126"/>
      <c r="OJ16" s="20">
        <v>9</v>
      </c>
      <c r="OK16" s="19">
        <v>931.07</v>
      </c>
      <c r="OL16" s="17"/>
      <c r="OM16" s="19"/>
      <c r="ON16" s="72"/>
      <c r="OO16" s="24"/>
      <c r="OP16" s="16"/>
      <c r="OQ16" s="59"/>
      <c r="OR16" s="126"/>
      <c r="OS16" s="20">
        <v>9</v>
      </c>
      <c r="OT16" s="19">
        <v>969</v>
      </c>
      <c r="OU16" s="17">
        <v>42308</v>
      </c>
      <c r="OV16" s="19">
        <v>969</v>
      </c>
      <c r="OW16" s="309" t="s">
        <v>790</v>
      </c>
      <c r="OX16" s="24">
        <v>30</v>
      </c>
      <c r="OY16" s="16"/>
      <c r="OZ16" s="59"/>
      <c r="PA16" s="126"/>
      <c r="PB16" s="20">
        <v>9</v>
      </c>
      <c r="PC16" s="19">
        <v>922.6</v>
      </c>
      <c r="PD16" s="17">
        <v>42308</v>
      </c>
      <c r="PE16" s="19">
        <v>922.6</v>
      </c>
      <c r="PF16" s="72" t="s">
        <v>792</v>
      </c>
      <c r="PG16" s="24">
        <v>29</v>
      </c>
      <c r="PH16" s="16"/>
      <c r="PI16" s="59"/>
      <c r="PJ16" s="126"/>
      <c r="PK16" s="20"/>
      <c r="PL16" s="19"/>
      <c r="PM16" s="17"/>
      <c r="PN16" s="19"/>
      <c r="PO16" s="72"/>
      <c r="PP16" s="24"/>
      <c r="PQ16" s="16"/>
      <c r="PR16" s="59"/>
      <c r="PS16" s="126"/>
      <c r="PT16" s="20"/>
      <c r="PU16" s="19"/>
      <c r="PV16" s="17"/>
      <c r="PW16" s="19"/>
      <c r="PX16" s="72"/>
      <c r="PY16" s="24"/>
      <c r="PZ16" s="16"/>
      <c r="QA16" s="59"/>
      <c r="QB16" s="126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>
        <v>9</v>
      </c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SMTHFIELD FARMLAND</v>
      </c>
      <c r="C17" s="16" t="str">
        <f t="shared" si="13"/>
        <v>Smithfield</v>
      </c>
      <c r="D17" s="74" t="str">
        <f t="shared" si="13"/>
        <v>PED. 5004035</v>
      </c>
      <c r="E17" s="162">
        <f t="shared" si="13"/>
        <v>42287</v>
      </c>
      <c r="F17" s="77">
        <f t="shared" si="13"/>
        <v>18920.61</v>
      </c>
      <c r="G17" s="15">
        <f t="shared" si="13"/>
        <v>20</v>
      </c>
      <c r="H17" s="65">
        <f t="shared" si="13"/>
        <v>18999.55</v>
      </c>
      <c r="I17" s="18">
        <f t="shared" si="13"/>
        <v>-78.93999999999869</v>
      </c>
      <c r="K17" s="59"/>
      <c r="L17" s="126"/>
      <c r="M17" s="20">
        <v>10</v>
      </c>
      <c r="N17" s="30">
        <v>876.8</v>
      </c>
      <c r="O17" s="339">
        <v>42278</v>
      </c>
      <c r="P17" s="683">
        <v>876.8</v>
      </c>
      <c r="Q17" s="340" t="s">
        <v>628</v>
      </c>
      <c r="R17" s="341">
        <v>30</v>
      </c>
      <c r="S17" s="16"/>
      <c r="T17" s="59"/>
      <c r="U17" s="126"/>
      <c r="V17" s="20">
        <v>10</v>
      </c>
      <c r="W17" s="19">
        <v>925.3</v>
      </c>
      <c r="X17" s="17">
        <v>42279</v>
      </c>
      <c r="Y17" s="19">
        <v>925.3</v>
      </c>
      <c r="Z17" s="72" t="s">
        <v>635</v>
      </c>
      <c r="AA17" s="24">
        <v>30</v>
      </c>
      <c r="AB17" s="16"/>
      <c r="AC17" s="59"/>
      <c r="AD17" s="126"/>
      <c r="AE17" s="20">
        <v>10</v>
      </c>
      <c r="AF17" s="30">
        <v>970</v>
      </c>
      <c r="AG17" s="17">
        <v>42280</v>
      </c>
      <c r="AH17" s="30">
        <v>970</v>
      </c>
      <c r="AI17" s="72" t="s">
        <v>641</v>
      </c>
      <c r="AJ17" s="24">
        <v>31</v>
      </c>
      <c r="AK17" s="16"/>
      <c r="AL17" s="59"/>
      <c r="AM17" s="126"/>
      <c r="AN17" s="20">
        <v>10</v>
      </c>
      <c r="AO17" s="30">
        <v>935.6</v>
      </c>
      <c r="AP17" s="156">
        <v>42280</v>
      </c>
      <c r="AQ17" s="30">
        <v>935.6</v>
      </c>
      <c r="AR17" s="309" t="s">
        <v>639</v>
      </c>
      <c r="AS17" s="116">
        <v>31</v>
      </c>
      <c r="AT17" s="16"/>
      <c r="AU17" s="59"/>
      <c r="AV17" s="175"/>
      <c r="AW17" s="20"/>
      <c r="AX17" s="19"/>
      <c r="AY17" s="110"/>
      <c r="AZ17" s="19"/>
      <c r="BA17" s="129"/>
      <c r="BB17" s="108"/>
      <c r="BC17" s="16"/>
      <c r="BD17" s="59"/>
      <c r="BE17" s="175"/>
      <c r="BF17" s="20">
        <v>10</v>
      </c>
      <c r="BG17" s="19">
        <v>902.2</v>
      </c>
      <c r="BH17" s="17">
        <v>42281</v>
      </c>
      <c r="BI17" s="19">
        <v>902.2</v>
      </c>
      <c r="BJ17" s="510" t="s">
        <v>643</v>
      </c>
      <c r="BK17" s="160">
        <v>31</v>
      </c>
      <c r="BL17" s="16"/>
      <c r="BM17" s="59"/>
      <c r="BN17" s="126"/>
      <c r="BO17" s="20">
        <v>10</v>
      </c>
      <c r="BP17" s="30">
        <v>926.98</v>
      </c>
      <c r="BQ17" s="17">
        <v>42283</v>
      </c>
      <c r="BR17" s="19">
        <v>926.98</v>
      </c>
      <c r="BS17" s="72" t="s">
        <v>655</v>
      </c>
      <c r="BT17" s="24">
        <v>31.5</v>
      </c>
      <c r="BU17" s="16"/>
      <c r="BV17" s="59"/>
      <c r="BW17" s="126"/>
      <c r="BX17" s="20">
        <v>10</v>
      </c>
      <c r="BY17" s="30">
        <v>919.27</v>
      </c>
      <c r="BZ17" s="17">
        <v>42283</v>
      </c>
      <c r="CA17" s="30">
        <v>919.27</v>
      </c>
      <c r="CB17" s="72" t="s">
        <v>651</v>
      </c>
      <c r="CC17" s="24">
        <v>31.5</v>
      </c>
      <c r="CD17" s="16"/>
      <c r="CE17" s="59"/>
      <c r="CF17" s="126"/>
      <c r="CG17" s="20">
        <v>10</v>
      </c>
      <c r="CH17" s="30">
        <v>916.55</v>
      </c>
      <c r="CI17" s="17">
        <v>42284</v>
      </c>
      <c r="CJ17" s="30">
        <v>916.55</v>
      </c>
      <c r="CK17" s="437" t="s">
        <v>660</v>
      </c>
      <c r="CL17" s="24">
        <v>31.5</v>
      </c>
      <c r="CM17" s="16"/>
      <c r="CN17" s="59"/>
      <c r="CO17" s="126"/>
      <c r="CP17" s="20">
        <v>10</v>
      </c>
      <c r="CQ17" s="30">
        <v>907.2</v>
      </c>
      <c r="CR17" s="17">
        <v>42285</v>
      </c>
      <c r="CS17" s="30">
        <v>907.2</v>
      </c>
      <c r="CT17" s="326" t="s">
        <v>663</v>
      </c>
      <c r="CU17" s="24">
        <v>31.5</v>
      </c>
      <c r="CV17" s="16"/>
      <c r="CW17" s="59"/>
      <c r="CX17" s="126"/>
      <c r="CY17" s="20">
        <v>10</v>
      </c>
      <c r="CZ17" s="202">
        <v>993</v>
      </c>
      <c r="DA17" s="17">
        <v>42287</v>
      </c>
      <c r="DB17" s="202">
        <v>993</v>
      </c>
      <c r="DC17" s="43" t="s">
        <v>670</v>
      </c>
      <c r="DD17" s="24">
        <v>32</v>
      </c>
      <c r="DE17" s="16"/>
      <c r="DF17" s="59"/>
      <c r="DG17" s="126"/>
      <c r="DH17" s="20">
        <v>10</v>
      </c>
      <c r="DI17" s="19">
        <v>913.5</v>
      </c>
      <c r="DJ17" s="17">
        <v>42286</v>
      </c>
      <c r="DK17" s="19">
        <v>913.5</v>
      </c>
      <c r="DL17" s="43" t="s">
        <v>667</v>
      </c>
      <c r="DM17" s="24">
        <v>32</v>
      </c>
      <c r="DN17" s="16"/>
      <c r="DO17" s="59"/>
      <c r="DP17" s="126"/>
      <c r="DQ17" s="20">
        <v>10</v>
      </c>
      <c r="DR17" s="30">
        <v>915.8</v>
      </c>
      <c r="DS17" s="58">
        <v>42287</v>
      </c>
      <c r="DT17" s="30">
        <v>915.8</v>
      </c>
      <c r="DU17" s="79" t="s">
        <v>672</v>
      </c>
      <c r="DV17" s="24">
        <v>32</v>
      </c>
      <c r="DW17" s="16"/>
      <c r="DX17" s="59"/>
      <c r="DY17" s="126"/>
      <c r="DZ17" s="20">
        <v>10</v>
      </c>
      <c r="EA17" s="30">
        <v>985.94</v>
      </c>
      <c r="EB17" s="58">
        <v>42290</v>
      </c>
      <c r="EC17" s="30">
        <v>985.94</v>
      </c>
      <c r="ED17" s="79" t="s">
        <v>685</v>
      </c>
      <c r="EE17" s="24">
        <v>30.3</v>
      </c>
      <c r="EF17" s="16"/>
      <c r="EG17" s="59"/>
      <c r="EH17" s="175"/>
      <c r="EI17" s="20">
        <v>10</v>
      </c>
      <c r="EJ17" s="19">
        <v>1016</v>
      </c>
      <c r="EK17" s="17">
        <v>42289</v>
      </c>
      <c r="EL17" s="19">
        <v>1016</v>
      </c>
      <c r="EM17" s="43" t="s">
        <v>677</v>
      </c>
      <c r="EN17" s="24">
        <v>32</v>
      </c>
      <c r="EO17" s="16"/>
      <c r="EP17" s="59"/>
      <c r="EQ17" s="126"/>
      <c r="ER17" s="20">
        <v>10</v>
      </c>
      <c r="ES17" s="30">
        <v>855.9</v>
      </c>
      <c r="ET17" s="17">
        <v>42289</v>
      </c>
      <c r="EU17" s="30">
        <v>855.9</v>
      </c>
      <c r="EV17" s="79" t="s">
        <v>679</v>
      </c>
      <c r="EW17" s="24">
        <v>32</v>
      </c>
      <c r="EX17" s="16"/>
      <c r="EY17" s="59"/>
      <c r="EZ17" s="126"/>
      <c r="FA17" s="20">
        <v>10</v>
      </c>
      <c r="FB17" s="19">
        <v>955.56</v>
      </c>
      <c r="FC17" s="17">
        <v>42290</v>
      </c>
      <c r="FD17" s="19">
        <v>955.56</v>
      </c>
      <c r="FE17" s="43" t="s">
        <v>688</v>
      </c>
      <c r="FF17" s="24">
        <v>32.5</v>
      </c>
      <c r="FG17" s="16"/>
      <c r="FH17" s="59"/>
      <c r="FI17" s="126"/>
      <c r="FJ17" s="20">
        <v>10</v>
      </c>
      <c r="FK17" s="30">
        <v>942.4</v>
      </c>
      <c r="FL17" s="58">
        <v>42290</v>
      </c>
      <c r="FM17" s="30">
        <v>942.4</v>
      </c>
      <c r="FN17" s="79" t="s">
        <v>691</v>
      </c>
      <c r="FO17" s="24">
        <v>32.5</v>
      </c>
      <c r="FP17" s="16"/>
      <c r="FQ17" s="59"/>
      <c r="FR17" s="126"/>
      <c r="FS17" s="20">
        <v>10</v>
      </c>
      <c r="FT17" s="30">
        <v>945.58</v>
      </c>
      <c r="FU17" s="58">
        <v>42291</v>
      </c>
      <c r="FV17" s="30">
        <v>945.58</v>
      </c>
      <c r="FW17" s="79" t="s">
        <v>696</v>
      </c>
      <c r="FX17" s="24">
        <v>32.5</v>
      </c>
      <c r="FY17" s="16"/>
      <c r="FZ17" s="59"/>
      <c r="GA17" s="175"/>
      <c r="GB17" s="20">
        <v>10</v>
      </c>
      <c r="GC17" s="19">
        <v>923.9</v>
      </c>
      <c r="GD17" s="17">
        <v>42291</v>
      </c>
      <c r="GE17" s="19">
        <v>923.9</v>
      </c>
      <c r="GF17" s="360" t="s">
        <v>694</v>
      </c>
      <c r="GG17" s="24">
        <v>32.5</v>
      </c>
      <c r="GH17" s="16"/>
      <c r="GI17" s="59"/>
      <c r="GJ17" s="126"/>
      <c r="GK17" s="20">
        <v>10</v>
      </c>
      <c r="GL17" s="30">
        <v>965.7</v>
      </c>
      <c r="GM17" s="17">
        <v>42292</v>
      </c>
      <c r="GN17" s="30">
        <v>965.7</v>
      </c>
      <c r="GO17" s="72" t="s">
        <v>701</v>
      </c>
      <c r="GP17" s="24">
        <v>32.5</v>
      </c>
      <c r="GQ17" s="16"/>
      <c r="GR17" s="59"/>
      <c r="GS17" s="126"/>
      <c r="GT17" s="20">
        <v>10</v>
      </c>
      <c r="GU17" s="30">
        <v>915.3</v>
      </c>
      <c r="GV17" s="17">
        <v>42293</v>
      </c>
      <c r="GW17" s="30">
        <v>915.3</v>
      </c>
      <c r="GX17" s="72" t="s">
        <v>705</v>
      </c>
      <c r="GY17" s="24">
        <v>32.5</v>
      </c>
      <c r="GZ17" s="16"/>
      <c r="HA17" s="59"/>
      <c r="HB17" s="126"/>
      <c r="HC17" s="20">
        <v>10</v>
      </c>
      <c r="HD17" s="30">
        <v>917.2</v>
      </c>
      <c r="HE17" s="17">
        <v>42293</v>
      </c>
      <c r="HF17" s="30">
        <v>917.2</v>
      </c>
      <c r="HG17" s="72" t="s">
        <v>713</v>
      </c>
      <c r="HH17" s="24">
        <v>33</v>
      </c>
      <c r="HI17" s="16"/>
      <c r="HJ17" s="59"/>
      <c r="HK17" s="126"/>
      <c r="HL17" s="20">
        <v>10</v>
      </c>
      <c r="HM17" s="30">
        <v>936.7</v>
      </c>
      <c r="HN17" s="17">
        <v>42293</v>
      </c>
      <c r="HO17" s="30">
        <v>936.7</v>
      </c>
      <c r="HP17" s="72" t="s">
        <v>715</v>
      </c>
      <c r="HQ17" s="24">
        <v>33</v>
      </c>
      <c r="HR17" s="16"/>
      <c r="HS17" s="59"/>
      <c r="HT17" s="126"/>
      <c r="HU17" s="20">
        <v>10</v>
      </c>
      <c r="HV17" s="30">
        <v>958</v>
      </c>
      <c r="HW17" s="17">
        <v>42294</v>
      </c>
      <c r="HX17" s="30">
        <v>958</v>
      </c>
      <c r="HY17" s="72" t="s">
        <v>719</v>
      </c>
      <c r="HZ17" s="24">
        <v>33</v>
      </c>
      <c r="IA17" s="16"/>
      <c r="IB17" s="59"/>
      <c r="IC17" s="126"/>
      <c r="ID17" s="20">
        <v>10</v>
      </c>
      <c r="IE17" s="30">
        <v>955.3</v>
      </c>
      <c r="IF17" s="17">
        <v>42294</v>
      </c>
      <c r="IG17" s="30">
        <v>955.3</v>
      </c>
      <c r="IH17" s="72" t="s">
        <v>721</v>
      </c>
      <c r="II17" s="24">
        <v>33</v>
      </c>
      <c r="IJ17" s="16"/>
      <c r="IK17" s="59"/>
      <c r="IL17" s="126"/>
      <c r="IM17" s="20">
        <v>10</v>
      </c>
      <c r="IN17" s="19">
        <v>911.56</v>
      </c>
      <c r="IO17" s="17">
        <v>42297</v>
      </c>
      <c r="IP17" s="19">
        <v>911.56</v>
      </c>
      <c r="IQ17" s="72" t="s">
        <v>726</v>
      </c>
      <c r="IR17" s="24">
        <v>32.07</v>
      </c>
      <c r="IS17" s="16"/>
      <c r="IT17" s="59"/>
      <c r="IU17" s="126"/>
      <c r="IV17" s="20">
        <v>10</v>
      </c>
      <c r="IW17" s="19">
        <v>910.3</v>
      </c>
      <c r="IX17" s="110">
        <v>42296</v>
      </c>
      <c r="IY17" s="19">
        <v>910.3</v>
      </c>
      <c r="IZ17" s="129" t="s">
        <v>722</v>
      </c>
      <c r="JA17" s="108">
        <v>33.5</v>
      </c>
      <c r="JB17" s="16"/>
      <c r="JC17" s="59"/>
      <c r="JD17" s="126"/>
      <c r="JE17" s="20">
        <v>10</v>
      </c>
      <c r="JF17" s="30">
        <v>1004</v>
      </c>
      <c r="JG17" s="17">
        <v>42297</v>
      </c>
      <c r="JH17" s="30">
        <v>1004</v>
      </c>
      <c r="JI17" s="510" t="s">
        <v>731</v>
      </c>
      <c r="JJ17" s="24">
        <v>33.5</v>
      </c>
      <c r="JK17" s="16"/>
      <c r="JL17" s="59"/>
      <c r="JM17" s="126"/>
      <c r="JN17" s="20">
        <v>10</v>
      </c>
      <c r="JO17" s="19">
        <v>970</v>
      </c>
      <c r="JP17" s="17">
        <v>42299</v>
      </c>
      <c r="JQ17" s="19">
        <v>970</v>
      </c>
      <c r="JR17" s="72" t="s">
        <v>737</v>
      </c>
      <c r="JS17" s="24">
        <v>33.5</v>
      </c>
      <c r="JT17" s="16"/>
      <c r="JU17" s="59"/>
      <c r="JV17" s="276"/>
      <c r="JW17" s="20">
        <v>10</v>
      </c>
      <c r="JX17" s="30">
        <v>891.61</v>
      </c>
      <c r="JY17" s="17">
        <v>42297</v>
      </c>
      <c r="JZ17" s="19">
        <v>891.61</v>
      </c>
      <c r="KA17" s="72" t="s">
        <v>729</v>
      </c>
      <c r="KB17" s="24">
        <v>33.5</v>
      </c>
      <c r="KC17" s="16"/>
      <c r="KD17" s="59"/>
      <c r="KE17" s="126"/>
      <c r="KF17" s="20">
        <v>10</v>
      </c>
      <c r="KG17" s="202">
        <v>889.8</v>
      </c>
      <c r="KH17" s="110">
        <v>42299</v>
      </c>
      <c r="KI17" s="202">
        <v>889.8</v>
      </c>
      <c r="KJ17" s="129" t="s">
        <v>739</v>
      </c>
      <c r="KK17" s="108">
        <v>33.5</v>
      </c>
      <c r="KL17" s="358"/>
      <c r="KM17" s="59"/>
      <c r="KN17" s="126"/>
      <c r="KO17" s="20">
        <v>10</v>
      </c>
      <c r="KP17" s="202">
        <v>913.38</v>
      </c>
      <c r="KQ17" s="17">
        <v>42300</v>
      </c>
      <c r="KR17" s="202">
        <v>913.38</v>
      </c>
      <c r="KS17" s="72" t="s">
        <v>746</v>
      </c>
      <c r="KT17" s="24">
        <v>33.5</v>
      </c>
      <c r="KU17" s="16"/>
      <c r="KV17" s="59"/>
      <c r="KW17" s="126"/>
      <c r="KX17" s="20">
        <v>10</v>
      </c>
      <c r="KY17" s="30">
        <v>925.8</v>
      </c>
      <c r="KZ17" s="17">
        <v>42301</v>
      </c>
      <c r="LA17" s="30">
        <v>925.8</v>
      </c>
      <c r="LB17" s="72" t="s">
        <v>749</v>
      </c>
      <c r="LC17" s="24">
        <v>33.5</v>
      </c>
      <c r="LD17" s="16"/>
      <c r="LE17" s="59"/>
      <c r="LF17" s="126"/>
      <c r="LG17" s="20">
        <v>10</v>
      </c>
      <c r="LH17" s="202">
        <v>918.5</v>
      </c>
      <c r="LI17" s="17">
        <v>42301</v>
      </c>
      <c r="LJ17" s="202">
        <v>918.5</v>
      </c>
      <c r="LK17" s="72" t="s">
        <v>753</v>
      </c>
      <c r="LL17" s="24">
        <v>33.5</v>
      </c>
      <c r="LM17" s="16"/>
      <c r="LN17" s="59"/>
      <c r="LO17" s="126"/>
      <c r="LP17" s="20">
        <v>10</v>
      </c>
      <c r="LQ17" s="19">
        <v>905.22</v>
      </c>
      <c r="LR17" s="17">
        <v>42303</v>
      </c>
      <c r="LS17" s="19">
        <v>905.22</v>
      </c>
      <c r="LT17" s="72" t="s">
        <v>762</v>
      </c>
      <c r="LU17" s="24">
        <v>32.5</v>
      </c>
      <c r="LV17" s="16"/>
      <c r="LW17" s="59"/>
      <c r="LX17" s="126"/>
      <c r="LY17" s="20">
        <v>10</v>
      </c>
      <c r="LZ17" s="114">
        <v>920.8</v>
      </c>
      <c r="MA17" s="17">
        <v>42303</v>
      </c>
      <c r="MB17" s="30">
        <v>920.8</v>
      </c>
      <c r="MC17" s="510" t="s">
        <v>760</v>
      </c>
      <c r="MD17" s="24">
        <v>32.5</v>
      </c>
      <c r="ME17" s="16"/>
      <c r="MF17" s="59"/>
      <c r="MG17" s="126"/>
      <c r="MH17" s="20">
        <v>10</v>
      </c>
      <c r="MI17" s="19">
        <v>936.96</v>
      </c>
      <c r="MJ17" s="17">
        <v>42304</v>
      </c>
      <c r="MK17" s="19">
        <v>936.96</v>
      </c>
      <c r="ML17" s="72" t="s">
        <v>767</v>
      </c>
      <c r="MM17" s="24">
        <v>31</v>
      </c>
      <c r="MN17" s="16"/>
      <c r="MO17" s="59"/>
      <c r="MP17" s="126"/>
      <c r="MQ17" s="20">
        <v>10</v>
      </c>
      <c r="MR17" s="30">
        <v>931.52</v>
      </c>
      <c r="MS17" s="17">
        <v>42305</v>
      </c>
      <c r="MT17" s="30">
        <v>931.52</v>
      </c>
      <c r="MU17" s="72" t="s">
        <v>771</v>
      </c>
      <c r="MV17" s="24">
        <v>31</v>
      </c>
      <c r="MW17" s="16"/>
      <c r="MX17" s="59"/>
      <c r="MY17" s="126"/>
      <c r="MZ17" s="20">
        <v>10</v>
      </c>
      <c r="NA17" s="30">
        <v>920.63</v>
      </c>
      <c r="NB17" s="17">
        <v>42305</v>
      </c>
      <c r="NC17" s="30">
        <v>920.63</v>
      </c>
      <c r="ND17" s="72" t="s">
        <v>772</v>
      </c>
      <c r="NE17" s="24">
        <v>31</v>
      </c>
      <c r="NF17" s="16"/>
      <c r="NG17" s="59"/>
      <c r="NH17" s="126"/>
      <c r="NI17" s="20">
        <v>10</v>
      </c>
      <c r="NJ17" s="30">
        <v>933.9</v>
      </c>
      <c r="NK17" s="17">
        <v>42306</v>
      </c>
      <c r="NL17" s="30">
        <v>933.9</v>
      </c>
      <c r="NM17" s="309" t="s">
        <v>778</v>
      </c>
      <c r="NN17" s="24">
        <v>30</v>
      </c>
      <c r="NO17" s="16"/>
      <c r="NP17" s="59"/>
      <c r="NQ17" s="126"/>
      <c r="NR17" s="20">
        <v>10</v>
      </c>
      <c r="NS17" s="30">
        <v>907.2</v>
      </c>
      <c r="NT17" s="17">
        <v>42307</v>
      </c>
      <c r="NU17" s="30">
        <v>907.2</v>
      </c>
      <c r="NV17" s="72" t="s">
        <v>785</v>
      </c>
      <c r="NW17" s="24">
        <v>30</v>
      </c>
      <c r="NX17" s="16"/>
      <c r="NY17" s="59"/>
      <c r="NZ17" s="126"/>
      <c r="OA17" s="20">
        <v>10</v>
      </c>
      <c r="OB17" s="30">
        <v>939.68</v>
      </c>
      <c r="OC17" s="17">
        <v>42307</v>
      </c>
      <c r="OD17" s="30">
        <v>939.68</v>
      </c>
      <c r="OE17" s="72" t="s">
        <v>781</v>
      </c>
      <c r="OF17" s="24">
        <v>30</v>
      </c>
      <c r="OG17" s="16"/>
      <c r="OH17" s="59"/>
      <c r="OI17" s="126"/>
      <c r="OJ17" s="20">
        <v>10</v>
      </c>
      <c r="OK17" s="30">
        <v>913.83</v>
      </c>
      <c r="OL17" s="17"/>
      <c r="OM17" s="30"/>
      <c r="ON17" s="72"/>
      <c r="OO17" s="24"/>
      <c r="OP17" s="16"/>
      <c r="OQ17" s="59"/>
      <c r="OR17" s="126"/>
      <c r="OS17" s="20">
        <v>10</v>
      </c>
      <c r="OT17" s="30">
        <v>954</v>
      </c>
      <c r="OU17" s="17"/>
      <c r="OV17" s="30"/>
      <c r="OW17" s="309"/>
      <c r="OX17" s="24"/>
      <c r="OY17" s="16"/>
      <c r="OZ17" s="59"/>
      <c r="PA17" s="126"/>
      <c r="PB17" s="20">
        <v>10</v>
      </c>
      <c r="PC17" s="30">
        <v>918.5</v>
      </c>
      <c r="PD17" s="17">
        <v>42308</v>
      </c>
      <c r="PE17" s="30">
        <v>918.5</v>
      </c>
      <c r="PF17" s="72" t="s">
        <v>792</v>
      </c>
      <c r="PG17" s="24">
        <v>29</v>
      </c>
      <c r="PH17" s="16"/>
      <c r="PI17" s="59"/>
      <c r="PJ17" s="126"/>
      <c r="PK17" s="20"/>
      <c r="PL17" s="30"/>
      <c r="PM17" s="17"/>
      <c r="PN17" s="30"/>
      <c r="PO17" s="72"/>
      <c r="PP17" s="24"/>
      <c r="PQ17" s="16"/>
      <c r="PR17" s="59"/>
      <c r="PS17" s="126"/>
      <c r="PT17" s="20"/>
      <c r="PU17" s="30"/>
      <c r="PV17" s="17"/>
      <c r="PW17" s="30"/>
      <c r="PX17" s="72"/>
      <c r="PY17" s="24"/>
      <c r="PZ17" s="16"/>
      <c r="QA17" s="59"/>
      <c r="QB17" s="126"/>
      <c r="QC17" s="20"/>
      <c r="QD17" s="30"/>
      <c r="QE17" s="17"/>
      <c r="QF17" s="30"/>
      <c r="QG17" s="72"/>
      <c r="QH17" s="24"/>
      <c r="QJ17" s="7"/>
      <c r="QK17" s="2"/>
      <c r="QL17" s="20"/>
      <c r="QM17" s="30"/>
      <c r="QN17" s="17"/>
      <c r="QO17" s="30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>
        <v>10</v>
      </c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 xml:space="preserve">INDIANA PACKERS Co </v>
      </c>
      <c r="C18" s="16" t="str">
        <f t="shared" si="14"/>
        <v>INDIANA</v>
      </c>
      <c r="D18" s="74" t="str">
        <f t="shared" si="14"/>
        <v>PED. 5004037</v>
      </c>
      <c r="E18" s="162">
        <f t="shared" si="14"/>
        <v>42288</v>
      </c>
      <c r="F18" s="77">
        <f t="shared" si="14"/>
        <v>18668.669999999998</v>
      </c>
      <c r="G18" s="15">
        <f t="shared" si="14"/>
        <v>19</v>
      </c>
      <c r="H18" s="65">
        <f t="shared" si="14"/>
        <v>18771</v>
      </c>
      <c r="I18" s="18">
        <f t="shared" si="14"/>
        <v>-102.33000000000175</v>
      </c>
      <c r="K18" s="59"/>
      <c r="L18" s="126"/>
      <c r="M18" s="20">
        <v>11</v>
      </c>
      <c r="N18" s="19">
        <v>923.1</v>
      </c>
      <c r="O18" s="339">
        <v>42278</v>
      </c>
      <c r="P18" s="226">
        <v>923.1</v>
      </c>
      <c r="Q18" s="340" t="s">
        <v>628</v>
      </c>
      <c r="R18" s="341">
        <v>30</v>
      </c>
      <c r="S18" s="16"/>
      <c r="T18" s="59"/>
      <c r="U18" s="126"/>
      <c r="V18" s="20">
        <v>11</v>
      </c>
      <c r="W18" s="19">
        <v>926.2</v>
      </c>
      <c r="X18" s="17">
        <v>42279</v>
      </c>
      <c r="Y18" s="19">
        <v>926.2</v>
      </c>
      <c r="Z18" s="72" t="s">
        <v>636</v>
      </c>
      <c r="AA18" s="24">
        <v>30</v>
      </c>
      <c r="AB18" s="16"/>
      <c r="AC18" s="59"/>
      <c r="AD18" s="126"/>
      <c r="AE18" s="20">
        <v>11</v>
      </c>
      <c r="AF18" s="19">
        <v>985</v>
      </c>
      <c r="AG18" s="17">
        <v>42280</v>
      </c>
      <c r="AH18" s="19">
        <v>985</v>
      </c>
      <c r="AI18" s="72" t="s">
        <v>642</v>
      </c>
      <c r="AJ18" s="24">
        <v>31</v>
      </c>
      <c r="AK18" s="16"/>
      <c r="AL18" s="59"/>
      <c r="AM18" s="126"/>
      <c r="AN18" s="20">
        <v>11</v>
      </c>
      <c r="AO18" s="19">
        <v>893.88</v>
      </c>
      <c r="AP18" s="17">
        <v>42280</v>
      </c>
      <c r="AQ18" s="19">
        <v>893.88</v>
      </c>
      <c r="AR18" s="72" t="s">
        <v>639</v>
      </c>
      <c r="AS18" s="24">
        <v>31</v>
      </c>
      <c r="AT18" s="16"/>
      <c r="AU18" s="59"/>
      <c r="AV18" s="175"/>
      <c r="AW18" s="20"/>
      <c r="AX18" s="19"/>
      <c r="AY18" s="110"/>
      <c r="AZ18" s="19"/>
      <c r="BA18" s="129"/>
      <c r="BB18" s="108"/>
      <c r="BC18" s="16"/>
      <c r="BD18" s="59"/>
      <c r="BE18" s="175"/>
      <c r="BF18" s="20">
        <v>11</v>
      </c>
      <c r="BG18" s="19">
        <v>942.6</v>
      </c>
      <c r="BH18" s="17">
        <v>42281</v>
      </c>
      <c r="BI18" s="19">
        <v>942.6</v>
      </c>
      <c r="BJ18" s="510" t="s">
        <v>643</v>
      </c>
      <c r="BK18" s="160">
        <v>31</v>
      </c>
      <c r="BL18" s="16"/>
      <c r="BM18" s="59"/>
      <c r="BN18" s="183"/>
      <c r="BO18" s="20">
        <v>11</v>
      </c>
      <c r="BP18" s="19">
        <v>928.34</v>
      </c>
      <c r="BQ18" s="17">
        <v>42283</v>
      </c>
      <c r="BR18" s="19">
        <v>928.34</v>
      </c>
      <c r="BS18" s="72" t="s">
        <v>655</v>
      </c>
      <c r="BT18" s="24">
        <v>31.5</v>
      </c>
      <c r="BU18" s="16"/>
      <c r="BV18" s="59"/>
      <c r="BW18" s="183"/>
      <c r="BX18" s="20">
        <v>11</v>
      </c>
      <c r="BY18" s="19">
        <v>908.84</v>
      </c>
      <c r="BZ18" s="17">
        <v>42283</v>
      </c>
      <c r="CA18" s="19">
        <v>908.84</v>
      </c>
      <c r="CB18" s="72" t="s">
        <v>652</v>
      </c>
      <c r="CC18" s="24">
        <v>31.5</v>
      </c>
      <c r="CD18" s="16"/>
      <c r="CE18" s="59"/>
      <c r="CF18" s="183"/>
      <c r="CG18" s="20">
        <v>11</v>
      </c>
      <c r="CH18" s="19">
        <v>947.39</v>
      </c>
      <c r="CI18" s="17">
        <v>42284</v>
      </c>
      <c r="CJ18" s="19">
        <v>947.39</v>
      </c>
      <c r="CK18" s="437" t="s">
        <v>660</v>
      </c>
      <c r="CL18" s="24">
        <v>31.5</v>
      </c>
      <c r="CM18" s="16"/>
      <c r="CN18" s="59"/>
      <c r="CO18" s="126"/>
      <c r="CP18" s="20">
        <v>11</v>
      </c>
      <c r="CQ18" s="19">
        <v>922.1</v>
      </c>
      <c r="CR18" s="17">
        <v>42285</v>
      </c>
      <c r="CS18" s="19">
        <v>922.1</v>
      </c>
      <c r="CT18" s="326" t="s">
        <v>664</v>
      </c>
      <c r="CU18" s="24">
        <v>31.5</v>
      </c>
      <c r="CV18" s="16"/>
      <c r="CW18" s="59"/>
      <c r="CX18" s="126"/>
      <c r="CY18" s="20">
        <v>11</v>
      </c>
      <c r="CZ18" s="202">
        <v>1019</v>
      </c>
      <c r="DA18" s="17">
        <v>42287</v>
      </c>
      <c r="DB18" s="202">
        <v>1019</v>
      </c>
      <c r="DC18" s="43" t="s">
        <v>671</v>
      </c>
      <c r="DD18" s="24">
        <v>32</v>
      </c>
      <c r="DE18" s="16"/>
      <c r="DF18" s="59"/>
      <c r="DG18" s="126"/>
      <c r="DH18" s="20">
        <v>11</v>
      </c>
      <c r="DI18" s="19">
        <v>919</v>
      </c>
      <c r="DJ18" s="17">
        <v>42286</v>
      </c>
      <c r="DK18" s="19">
        <v>919</v>
      </c>
      <c r="DL18" s="43" t="s">
        <v>668</v>
      </c>
      <c r="DM18" s="24">
        <v>32</v>
      </c>
      <c r="DN18" s="16"/>
      <c r="DO18" s="59"/>
      <c r="DP18" s="126"/>
      <c r="DQ18" s="20">
        <v>11</v>
      </c>
      <c r="DR18" s="30">
        <v>927.6</v>
      </c>
      <c r="DS18" s="58">
        <v>42287</v>
      </c>
      <c r="DT18" s="30">
        <v>927.6</v>
      </c>
      <c r="DU18" s="79" t="s">
        <v>672</v>
      </c>
      <c r="DV18" s="24">
        <v>32</v>
      </c>
      <c r="DW18" s="16"/>
      <c r="DX18" s="59"/>
      <c r="DY18" s="126"/>
      <c r="DZ18" s="20">
        <v>11</v>
      </c>
      <c r="EA18" s="30">
        <v>952.38</v>
      </c>
      <c r="EB18" s="58">
        <v>42290</v>
      </c>
      <c r="EC18" s="30">
        <v>952.38</v>
      </c>
      <c r="ED18" s="79" t="s">
        <v>685</v>
      </c>
      <c r="EE18" s="24">
        <v>30.3</v>
      </c>
      <c r="EF18" s="16"/>
      <c r="EG18" s="59"/>
      <c r="EH18" s="175"/>
      <c r="EI18" s="20">
        <v>11</v>
      </c>
      <c r="EJ18" s="19">
        <v>1002</v>
      </c>
      <c r="EK18" s="17">
        <v>42289</v>
      </c>
      <c r="EL18" s="19">
        <v>1002</v>
      </c>
      <c r="EM18" s="43" t="s">
        <v>676</v>
      </c>
      <c r="EN18" s="24">
        <v>32</v>
      </c>
      <c r="EO18" s="16"/>
      <c r="EP18" s="59"/>
      <c r="EQ18" s="126"/>
      <c r="ER18" s="20">
        <v>11</v>
      </c>
      <c r="ES18" s="19">
        <v>897.2</v>
      </c>
      <c r="ET18" s="17">
        <v>42289</v>
      </c>
      <c r="EU18" s="19">
        <v>897.2</v>
      </c>
      <c r="EV18" s="79" t="s">
        <v>678</v>
      </c>
      <c r="EW18" s="24">
        <v>32</v>
      </c>
      <c r="EX18" s="16"/>
      <c r="EY18" s="59"/>
      <c r="EZ18" s="126"/>
      <c r="FA18" s="20">
        <v>11</v>
      </c>
      <c r="FB18" s="19">
        <v>924.26</v>
      </c>
      <c r="FC18" s="17">
        <v>42290</v>
      </c>
      <c r="FD18" s="19">
        <v>924.26</v>
      </c>
      <c r="FE18" s="43" t="s">
        <v>689</v>
      </c>
      <c r="FF18" s="24">
        <v>32.5</v>
      </c>
      <c r="FG18" s="16"/>
      <c r="FH18" s="59"/>
      <c r="FI18" s="126"/>
      <c r="FJ18" s="20">
        <v>11</v>
      </c>
      <c r="FK18" s="30">
        <v>932.88</v>
      </c>
      <c r="FL18" s="58">
        <v>42290</v>
      </c>
      <c r="FM18" s="30">
        <v>932.88</v>
      </c>
      <c r="FN18" s="79" t="s">
        <v>690</v>
      </c>
      <c r="FO18" s="24">
        <v>32.5</v>
      </c>
      <c r="FP18" s="16"/>
      <c r="FQ18" s="59"/>
      <c r="FR18" s="126"/>
      <c r="FS18" s="20">
        <v>11</v>
      </c>
      <c r="FT18" s="30">
        <v>942.86</v>
      </c>
      <c r="FU18" s="58">
        <v>42291</v>
      </c>
      <c r="FV18" s="30">
        <v>942.86</v>
      </c>
      <c r="FW18" s="79" t="s">
        <v>696</v>
      </c>
      <c r="FX18" s="24">
        <v>32.5</v>
      </c>
      <c r="FY18" s="16"/>
      <c r="FZ18" s="59"/>
      <c r="GA18" s="175"/>
      <c r="GB18" s="20">
        <v>11</v>
      </c>
      <c r="GC18" s="19">
        <v>860.4</v>
      </c>
      <c r="GD18" s="17">
        <v>42291</v>
      </c>
      <c r="GE18" s="19">
        <v>860.4</v>
      </c>
      <c r="GF18" s="360" t="s">
        <v>694</v>
      </c>
      <c r="GG18" s="24">
        <v>32.5</v>
      </c>
      <c r="GH18" s="16"/>
      <c r="GI18" s="59"/>
      <c r="GJ18" s="126"/>
      <c r="GK18" s="20">
        <v>11</v>
      </c>
      <c r="GL18" s="19">
        <v>919.9</v>
      </c>
      <c r="GM18" s="17">
        <v>42292</v>
      </c>
      <c r="GN18" s="19">
        <v>919.9</v>
      </c>
      <c r="GO18" s="72" t="s">
        <v>702</v>
      </c>
      <c r="GP18" s="24">
        <v>32.5</v>
      </c>
      <c r="GQ18" s="16"/>
      <c r="GR18" s="59"/>
      <c r="GS18" s="126"/>
      <c r="GT18" s="20">
        <v>11</v>
      </c>
      <c r="GU18" s="19">
        <v>930.8</v>
      </c>
      <c r="GV18" s="17">
        <v>42293</v>
      </c>
      <c r="GW18" s="19">
        <v>930.8</v>
      </c>
      <c r="GX18" s="72" t="s">
        <v>704</v>
      </c>
      <c r="GY18" s="24">
        <v>32.5</v>
      </c>
      <c r="GZ18" s="16"/>
      <c r="HA18" s="59"/>
      <c r="HB18" s="126"/>
      <c r="HC18" s="20">
        <v>11</v>
      </c>
      <c r="HD18" s="19">
        <v>922.1</v>
      </c>
      <c r="HE18" s="17">
        <v>42293</v>
      </c>
      <c r="HF18" s="19">
        <v>922.1</v>
      </c>
      <c r="HG18" s="72" t="s">
        <v>714</v>
      </c>
      <c r="HH18" s="24">
        <v>33</v>
      </c>
      <c r="HI18" s="16"/>
      <c r="HJ18" s="59"/>
      <c r="HK18" s="126"/>
      <c r="HL18" s="20">
        <v>11</v>
      </c>
      <c r="HM18" s="30">
        <v>910.8</v>
      </c>
      <c r="HN18" s="17">
        <v>42293</v>
      </c>
      <c r="HO18" s="30">
        <v>910.8</v>
      </c>
      <c r="HP18" s="72" t="s">
        <v>716</v>
      </c>
      <c r="HQ18" s="24">
        <v>33</v>
      </c>
      <c r="HR18" s="16"/>
      <c r="HS18" s="59"/>
      <c r="HT18" s="126"/>
      <c r="HU18" s="20">
        <v>11</v>
      </c>
      <c r="HV18" s="30">
        <v>933</v>
      </c>
      <c r="HW18" s="17">
        <v>42294</v>
      </c>
      <c r="HX18" s="30">
        <v>933</v>
      </c>
      <c r="HY18" s="72" t="s">
        <v>720</v>
      </c>
      <c r="HZ18" s="24">
        <v>33</v>
      </c>
      <c r="IA18" s="16"/>
      <c r="IB18" s="59"/>
      <c r="IC18" s="126"/>
      <c r="ID18" s="20">
        <v>11</v>
      </c>
      <c r="IE18" s="30">
        <v>891.3</v>
      </c>
      <c r="IF18" s="17">
        <v>42296</v>
      </c>
      <c r="IG18" s="30">
        <v>891.3</v>
      </c>
      <c r="IH18" s="72" t="s">
        <v>724</v>
      </c>
      <c r="II18" s="24">
        <v>33.5</v>
      </c>
      <c r="IJ18" s="16"/>
      <c r="IK18" s="59"/>
      <c r="IL18" s="126"/>
      <c r="IM18" s="20">
        <v>11</v>
      </c>
      <c r="IN18" s="30">
        <v>917.46</v>
      </c>
      <c r="IO18" s="17">
        <v>42297</v>
      </c>
      <c r="IP18" s="30">
        <v>917.46</v>
      </c>
      <c r="IQ18" s="72" t="s">
        <v>726</v>
      </c>
      <c r="IR18" s="24">
        <v>32.07</v>
      </c>
      <c r="IS18" s="16"/>
      <c r="IT18" s="59"/>
      <c r="IU18" s="126"/>
      <c r="IV18" s="20">
        <v>11</v>
      </c>
      <c r="IW18" s="30">
        <v>898.5</v>
      </c>
      <c r="IX18" s="110">
        <v>42296</v>
      </c>
      <c r="IY18" s="30">
        <v>898.5</v>
      </c>
      <c r="IZ18" s="129" t="s">
        <v>722</v>
      </c>
      <c r="JA18" s="108">
        <v>33.5</v>
      </c>
      <c r="JB18" s="16"/>
      <c r="JC18" s="59"/>
      <c r="JD18" s="126"/>
      <c r="JE18" s="20">
        <v>11</v>
      </c>
      <c r="JF18" s="19">
        <v>1029</v>
      </c>
      <c r="JG18" s="17">
        <v>42298</v>
      </c>
      <c r="JH18" s="19">
        <v>1029</v>
      </c>
      <c r="JI18" s="510" t="s">
        <v>734</v>
      </c>
      <c r="JJ18" s="24">
        <v>33.5</v>
      </c>
      <c r="JK18" s="16"/>
      <c r="JL18" s="59"/>
      <c r="JM18" s="207"/>
      <c r="JN18" s="20">
        <v>11</v>
      </c>
      <c r="JO18" s="19">
        <v>1018</v>
      </c>
      <c r="JP18" s="17">
        <v>42299</v>
      </c>
      <c r="JQ18" s="19">
        <v>1018</v>
      </c>
      <c r="JR18" s="72" t="s">
        <v>735</v>
      </c>
      <c r="JS18" s="24">
        <v>33.5</v>
      </c>
      <c r="JT18" s="16"/>
      <c r="JU18" s="59"/>
      <c r="JV18" s="276"/>
      <c r="JW18" s="20">
        <v>11</v>
      </c>
      <c r="JX18" s="19">
        <v>904.76</v>
      </c>
      <c r="JY18" s="17">
        <v>42297</v>
      </c>
      <c r="JZ18" s="19">
        <v>904.76</v>
      </c>
      <c r="KA18" s="72" t="s">
        <v>729</v>
      </c>
      <c r="KB18" s="24">
        <v>33.5</v>
      </c>
      <c r="KC18" s="16"/>
      <c r="KD18" s="59"/>
      <c r="KE18" s="126"/>
      <c r="KF18" s="20">
        <v>11</v>
      </c>
      <c r="KG18" s="202">
        <v>889.8</v>
      </c>
      <c r="KH18" s="110">
        <v>42299</v>
      </c>
      <c r="KI18" s="202">
        <v>889.8</v>
      </c>
      <c r="KJ18" s="129" t="s">
        <v>742</v>
      </c>
      <c r="KK18" s="108">
        <v>33.5</v>
      </c>
      <c r="KL18" s="358"/>
      <c r="KM18" s="59"/>
      <c r="KN18" s="126"/>
      <c r="KO18" s="20">
        <v>11</v>
      </c>
      <c r="KP18" s="202">
        <v>895.69</v>
      </c>
      <c r="KQ18" s="17">
        <v>42300</v>
      </c>
      <c r="KR18" s="202">
        <v>895.69</v>
      </c>
      <c r="KS18" s="72" t="s">
        <v>746</v>
      </c>
      <c r="KT18" s="24">
        <v>33.5</v>
      </c>
      <c r="KU18" s="16"/>
      <c r="KV18" s="59"/>
      <c r="KW18" s="126"/>
      <c r="KX18" s="20">
        <v>11</v>
      </c>
      <c r="KY18" s="19">
        <v>929.9</v>
      </c>
      <c r="KZ18" s="17">
        <v>42301</v>
      </c>
      <c r="LA18" s="19">
        <v>929.9</v>
      </c>
      <c r="LB18" s="72" t="s">
        <v>750</v>
      </c>
      <c r="LC18" s="24">
        <v>33.5</v>
      </c>
      <c r="LD18" s="16"/>
      <c r="LE18" s="59"/>
      <c r="LF18" s="126"/>
      <c r="LG18" s="20">
        <v>11</v>
      </c>
      <c r="LH18" s="202">
        <v>927.6</v>
      </c>
      <c r="LI18" s="17">
        <v>42301</v>
      </c>
      <c r="LJ18" s="202">
        <v>927.6</v>
      </c>
      <c r="LK18" s="72" t="s">
        <v>755</v>
      </c>
      <c r="LL18" s="24">
        <v>33.5</v>
      </c>
      <c r="LM18" s="16"/>
      <c r="LN18" s="59"/>
      <c r="LO18" s="126"/>
      <c r="LP18" s="20">
        <v>11</v>
      </c>
      <c r="LQ18" s="19">
        <v>915.65</v>
      </c>
      <c r="LR18" s="17">
        <v>42303</v>
      </c>
      <c r="LS18" s="19">
        <v>915.65</v>
      </c>
      <c r="LT18" s="72" t="s">
        <v>762</v>
      </c>
      <c r="LU18" s="24">
        <v>32.5</v>
      </c>
      <c r="LV18" s="16"/>
      <c r="LW18" s="59"/>
      <c r="LX18" s="126"/>
      <c r="LY18" s="20">
        <v>11</v>
      </c>
      <c r="LZ18" s="179">
        <v>920.3</v>
      </c>
      <c r="MA18" s="17">
        <v>42303</v>
      </c>
      <c r="MB18" s="19">
        <v>920.3</v>
      </c>
      <c r="MC18" s="510" t="s">
        <v>760</v>
      </c>
      <c r="MD18" s="24">
        <v>32.5</v>
      </c>
      <c r="ME18" s="16"/>
      <c r="MF18" s="59"/>
      <c r="MG18" s="126"/>
      <c r="MH18" s="20">
        <v>11</v>
      </c>
      <c r="MI18" s="19">
        <v>929.71</v>
      </c>
      <c r="MJ18" s="17">
        <v>42304</v>
      </c>
      <c r="MK18" s="19">
        <v>929.71</v>
      </c>
      <c r="ML18" s="72" t="s">
        <v>767</v>
      </c>
      <c r="MM18" s="24">
        <v>31</v>
      </c>
      <c r="MN18" s="16"/>
      <c r="MO18" s="59"/>
      <c r="MP18" s="126"/>
      <c r="MQ18" s="20">
        <v>11</v>
      </c>
      <c r="MR18" s="19">
        <v>920.63</v>
      </c>
      <c r="MS18" s="17">
        <v>42305</v>
      </c>
      <c r="MT18" s="19">
        <v>920.63</v>
      </c>
      <c r="MU18" s="72" t="s">
        <v>769</v>
      </c>
      <c r="MV18" s="24">
        <v>31</v>
      </c>
      <c r="MW18" s="16"/>
      <c r="MX18" s="59"/>
      <c r="MY18" s="126"/>
      <c r="MZ18" s="20">
        <v>11</v>
      </c>
      <c r="NA18" s="19">
        <v>907.03</v>
      </c>
      <c r="NB18" s="17">
        <v>42305</v>
      </c>
      <c r="NC18" s="19">
        <v>907.03</v>
      </c>
      <c r="ND18" s="72" t="s">
        <v>772</v>
      </c>
      <c r="NE18" s="24">
        <v>31</v>
      </c>
      <c r="NF18" s="16"/>
      <c r="NG18" s="59"/>
      <c r="NH18" s="126"/>
      <c r="NI18" s="20">
        <v>11</v>
      </c>
      <c r="NJ18" s="19">
        <v>927.1</v>
      </c>
      <c r="NK18" s="17">
        <v>42306</v>
      </c>
      <c r="NL18" s="19">
        <v>927.1</v>
      </c>
      <c r="NM18" s="309" t="s">
        <v>778</v>
      </c>
      <c r="NN18" s="24">
        <v>30</v>
      </c>
      <c r="NO18" s="16"/>
      <c r="NP18" s="59"/>
      <c r="NQ18" s="126"/>
      <c r="NR18" s="20">
        <v>11</v>
      </c>
      <c r="NS18" s="19">
        <v>907.2</v>
      </c>
      <c r="NT18" s="17">
        <v>42307</v>
      </c>
      <c r="NU18" s="19">
        <v>907.2</v>
      </c>
      <c r="NV18" s="72" t="s">
        <v>785</v>
      </c>
      <c r="NW18" s="24">
        <v>30</v>
      </c>
      <c r="NX18" s="16"/>
      <c r="NY18" s="59"/>
      <c r="NZ18" s="126"/>
      <c r="OA18" s="20">
        <v>11</v>
      </c>
      <c r="OB18" s="19">
        <v>912.93</v>
      </c>
      <c r="OC18" s="17">
        <v>42307</v>
      </c>
      <c r="OD18" s="19">
        <v>912.93</v>
      </c>
      <c r="OE18" s="617" t="s">
        <v>782</v>
      </c>
      <c r="OF18" s="24">
        <v>30</v>
      </c>
      <c r="OG18" s="16"/>
      <c r="OH18" s="59"/>
      <c r="OI18" s="126"/>
      <c r="OJ18" s="20">
        <v>11</v>
      </c>
      <c r="OK18" s="19">
        <v>943.76</v>
      </c>
      <c r="OL18" s="17"/>
      <c r="OM18" s="19"/>
      <c r="ON18" s="72"/>
      <c r="OO18" s="24"/>
      <c r="OP18" s="16"/>
      <c r="OQ18" s="59"/>
      <c r="OR18" s="126"/>
      <c r="OS18" s="20">
        <v>11</v>
      </c>
      <c r="OT18" s="19">
        <v>956</v>
      </c>
      <c r="OU18" s="17"/>
      <c r="OV18" s="19"/>
      <c r="OW18" s="309"/>
      <c r="OX18" s="24"/>
      <c r="OY18" s="16"/>
      <c r="OZ18" s="59"/>
      <c r="PA18" s="126"/>
      <c r="PB18" s="20">
        <v>11</v>
      </c>
      <c r="PC18" s="19">
        <v>929</v>
      </c>
      <c r="PD18" s="17">
        <v>42308</v>
      </c>
      <c r="PE18" s="19">
        <v>929</v>
      </c>
      <c r="PF18" s="72" t="s">
        <v>792</v>
      </c>
      <c r="PG18" s="24">
        <v>29</v>
      </c>
      <c r="PH18" s="16"/>
      <c r="PI18" s="59"/>
      <c r="PJ18" s="126"/>
      <c r="PK18" s="20"/>
      <c r="PL18" s="19"/>
      <c r="PM18" s="17"/>
      <c r="PN18" s="19"/>
      <c r="PO18" s="72"/>
      <c r="PP18" s="24"/>
      <c r="PQ18" s="16"/>
      <c r="PR18" s="59"/>
      <c r="PS18" s="126"/>
      <c r="PT18" s="20"/>
      <c r="PU18" s="19"/>
      <c r="PV18" s="17"/>
      <c r="PW18" s="19"/>
      <c r="PX18" s="72"/>
      <c r="PY18" s="24"/>
      <c r="PZ18" s="16"/>
      <c r="QA18" s="59"/>
      <c r="QB18" s="126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>
        <v>11</v>
      </c>
      <c r="RN18" s="19"/>
      <c r="RO18" s="403"/>
      <c r="RP18" s="406"/>
      <c r="RQ18" s="404"/>
      <c r="RR18" s="405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GRANJERO FELIZ</v>
      </c>
      <c r="C19" s="16" t="str">
        <f t="shared" si="15"/>
        <v>Jhon Morrell</v>
      </c>
      <c r="D19" s="74" t="str">
        <f t="shared" si="15"/>
        <v>PED. 5009902</v>
      </c>
      <c r="E19" s="162">
        <f t="shared" si="15"/>
        <v>42289</v>
      </c>
      <c r="F19" s="77">
        <f t="shared" si="15"/>
        <v>18848.34</v>
      </c>
      <c r="G19" s="15">
        <f t="shared" si="15"/>
        <v>21</v>
      </c>
      <c r="H19" s="65">
        <f t="shared" si="15"/>
        <v>18819.400000000001</v>
      </c>
      <c r="I19" s="18">
        <f t="shared" si="15"/>
        <v>28.93999999999869</v>
      </c>
      <c r="K19" s="59"/>
      <c r="L19" s="126"/>
      <c r="M19" s="20">
        <v>12</v>
      </c>
      <c r="N19" s="19">
        <v>919</v>
      </c>
      <c r="O19" s="339">
        <v>42278</v>
      </c>
      <c r="P19" s="226">
        <v>919</v>
      </c>
      <c r="Q19" s="340" t="s">
        <v>628</v>
      </c>
      <c r="R19" s="341">
        <v>30</v>
      </c>
      <c r="S19" s="16"/>
      <c r="T19" s="59"/>
      <c r="U19" s="126"/>
      <c r="V19" s="20">
        <v>12</v>
      </c>
      <c r="W19" s="19">
        <v>909</v>
      </c>
      <c r="X19" s="17">
        <v>42279</v>
      </c>
      <c r="Y19" s="19">
        <v>909</v>
      </c>
      <c r="Z19" s="72" t="s">
        <v>636</v>
      </c>
      <c r="AA19" s="24">
        <v>30</v>
      </c>
      <c r="AB19" s="16"/>
      <c r="AC19" s="59"/>
      <c r="AD19" s="126"/>
      <c r="AE19" s="20">
        <v>12</v>
      </c>
      <c r="AF19" s="19">
        <v>1017</v>
      </c>
      <c r="AG19" s="17">
        <v>42280</v>
      </c>
      <c r="AH19" s="19">
        <v>1017</v>
      </c>
      <c r="AI19" s="72" t="s">
        <v>642</v>
      </c>
      <c r="AJ19" s="24">
        <v>31</v>
      </c>
      <c r="AK19" s="16"/>
      <c r="AL19" s="59"/>
      <c r="AM19" s="126"/>
      <c r="AN19" s="20">
        <v>12</v>
      </c>
      <c r="AO19" s="19">
        <v>945.58</v>
      </c>
      <c r="AP19" s="17">
        <v>42280</v>
      </c>
      <c r="AQ19" s="19">
        <v>945.58</v>
      </c>
      <c r="AR19" s="72" t="s">
        <v>639</v>
      </c>
      <c r="AS19" s="24">
        <v>31</v>
      </c>
      <c r="AT19" s="16"/>
      <c r="AU19" s="59"/>
      <c r="AV19" s="175"/>
      <c r="AW19" s="20"/>
      <c r="AX19" s="19"/>
      <c r="AY19" s="110"/>
      <c r="AZ19" s="19"/>
      <c r="BA19" s="129"/>
      <c r="BB19" s="108"/>
      <c r="BC19" s="16"/>
      <c r="BD19" s="59"/>
      <c r="BE19" s="175"/>
      <c r="BF19" s="20">
        <v>12</v>
      </c>
      <c r="BG19" s="176">
        <v>917.2</v>
      </c>
      <c r="BH19" s="17">
        <v>42281</v>
      </c>
      <c r="BI19" s="176">
        <v>917.2</v>
      </c>
      <c r="BJ19" s="510" t="s">
        <v>644</v>
      </c>
      <c r="BK19" s="160">
        <v>31</v>
      </c>
      <c r="BL19" s="16"/>
      <c r="BM19" s="59"/>
      <c r="BN19" s="183"/>
      <c r="BO19" s="20">
        <v>12</v>
      </c>
      <c r="BP19" s="19">
        <v>926.08</v>
      </c>
      <c r="BQ19" s="17">
        <v>42283</v>
      </c>
      <c r="BR19" s="19">
        <v>926.08</v>
      </c>
      <c r="BS19" s="72" t="s">
        <v>655</v>
      </c>
      <c r="BT19" s="24">
        <v>31.5</v>
      </c>
      <c r="BU19" s="16"/>
      <c r="BV19" s="59"/>
      <c r="BW19" s="183"/>
      <c r="BX19" s="20">
        <v>12</v>
      </c>
      <c r="BY19" s="19">
        <v>924.72</v>
      </c>
      <c r="BZ19" s="17">
        <v>42283</v>
      </c>
      <c r="CA19" s="19">
        <v>924.72</v>
      </c>
      <c r="CB19" s="72" t="s">
        <v>652</v>
      </c>
      <c r="CC19" s="24">
        <v>31.5</v>
      </c>
      <c r="CD19" s="16"/>
      <c r="CE19" s="59"/>
      <c r="CF19" s="183"/>
      <c r="CG19" s="20">
        <v>12</v>
      </c>
      <c r="CH19" s="19">
        <v>950.11</v>
      </c>
      <c r="CI19" s="17">
        <v>42284</v>
      </c>
      <c r="CJ19" s="19">
        <v>950.11</v>
      </c>
      <c r="CK19" s="437" t="s">
        <v>660</v>
      </c>
      <c r="CL19" s="24">
        <v>31.5</v>
      </c>
      <c r="CM19" s="16"/>
      <c r="CN19" s="59"/>
      <c r="CO19" s="126"/>
      <c r="CP19" s="20">
        <v>12</v>
      </c>
      <c r="CQ19" s="19">
        <v>919.4</v>
      </c>
      <c r="CR19" s="17">
        <v>42285</v>
      </c>
      <c r="CS19" s="19">
        <v>919.4</v>
      </c>
      <c r="CT19" s="326" t="s">
        <v>664</v>
      </c>
      <c r="CU19" s="24">
        <v>31.5</v>
      </c>
      <c r="CV19" s="16"/>
      <c r="CW19" s="59"/>
      <c r="CX19" s="126"/>
      <c r="CY19" s="20">
        <v>12</v>
      </c>
      <c r="CZ19" s="202">
        <v>1017</v>
      </c>
      <c r="DA19" s="17">
        <v>42287</v>
      </c>
      <c r="DB19" s="202">
        <v>1017</v>
      </c>
      <c r="DC19" s="43" t="s">
        <v>671</v>
      </c>
      <c r="DD19" s="24">
        <v>32</v>
      </c>
      <c r="DE19" s="16"/>
      <c r="DF19" s="59"/>
      <c r="DG19" s="126"/>
      <c r="DH19" s="20">
        <v>12</v>
      </c>
      <c r="DI19" s="19">
        <v>917.2</v>
      </c>
      <c r="DJ19" s="17">
        <v>42286</v>
      </c>
      <c r="DK19" s="19">
        <v>917.2</v>
      </c>
      <c r="DL19" s="43" t="s">
        <v>668</v>
      </c>
      <c r="DM19" s="24">
        <v>32</v>
      </c>
      <c r="DN19" s="16"/>
      <c r="DO19" s="59"/>
      <c r="DP19" s="126"/>
      <c r="DQ19" s="20">
        <v>12</v>
      </c>
      <c r="DR19" s="30">
        <v>924</v>
      </c>
      <c r="DS19" s="58">
        <v>42287</v>
      </c>
      <c r="DT19" s="30">
        <v>924</v>
      </c>
      <c r="DU19" s="79" t="s">
        <v>672</v>
      </c>
      <c r="DV19" s="24">
        <v>32</v>
      </c>
      <c r="DW19" s="16"/>
      <c r="DX19" s="59"/>
      <c r="DY19" s="126"/>
      <c r="DZ19" s="20">
        <v>12</v>
      </c>
      <c r="EA19" s="30">
        <v>911.56</v>
      </c>
      <c r="EB19" s="58">
        <v>42290</v>
      </c>
      <c r="EC19" s="30">
        <v>911.56</v>
      </c>
      <c r="ED19" s="79" t="s">
        <v>685</v>
      </c>
      <c r="EE19" s="24">
        <v>30.3</v>
      </c>
      <c r="EF19" s="16"/>
      <c r="EG19" s="59"/>
      <c r="EH19" s="126"/>
      <c r="EI19" s="20">
        <v>12</v>
      </c>
      <c r="EJ19" s="19">
        <v>1043</v>
      </c>
      <c r="EK19" s="17">
        <v>42289</v>
      </c>
      <c r="EL19" s="19">
        <v>1043</v>
      </c>
      <c r="EM19" s="43" t="s">
        <v>676</v>
      </c>
      <c r="EN19" s="24">
        <v>32</v>
      </c>
      <c r="EO19" s="16"/>
      <c r="EP19" s="59"/>
      <c r="EQ19" s="126"/>
      <c r="ER19" s="20">
        <v>12</v>
      </c>
      <c r="ES19" s="19">
        <v>916.7</v>
      </c>
      <c r="ET19" s="17">
        <v>42289</v>
      </c>
      <c r="EU19" s="19">
        <v>916.7</v>
      </c>
      <c r="EV19" s="79" t="s">
        <v>678</v>
      </c>
      <c r="EW19" s="24">
        <v>32</v>
      </c>
      <c r="EX19" s="16"/>
      <c r="EY19" s="59"/>
      <c r="EZ19" s="126"/>
      <c r="FA19" s="20">
        <v>12</v>
      </c>
      <c r="FB19" s="19">
        <v>922.9</v>
      </c>
      <c r="FC19" s="17">
        <v>42290</v>
      </c>
      <c r="FD19" s="19">
        <v>922.9</v>
      </c>
      <c r="FE19" s="43" t="s">
        <v>689</v>
      </c>
      <c r="FF19" s="24">
        <v>32.5</v>
      </c>
      <c r="FG19" s="16"/>
      <c r="FH19" s="59"/>
      <c r="FI19" s="126"/>
      <c r="FJ19" s="20">
        <v>12</v>
      </c>
      <c r="FK19" s="30">
        <v>961</v>
      </c>
      <c r="FL19" s="58">
        <v>42290</v>
      </c>
      <c r="FM19" s="30">
        <v>961</v>
      </c>
      <c r="FN19" s="79" t="s">
        <v>691</v>
      </c>
      <c r="FO19" s="24">
        <v>32.5</v>
      </c>
      <c r="FP19" s="16"/>
      <c r="FQ19" s="59"/>
      <c r="FR19" s="183" t="s">
        <v>448</v>
      </c>
      <c r="FS19" s="20">
        <v>12</v>
      </c>
      <c r="FT19" s="30">
        <v>834.92</v>
      </c>
      <c r="FU19" s="58">
        <v>42291</v>
      </c>
      <c r="FV19" s="30">
        <v>834.92</v>
      </c>
      <c r="FW19" s="79" t="s">
        <v>697</v>
      </c>
      <c r="FX19" s="24">
        <v>18</v>
      </c>
      <c r="FY19" s="16"/>
      <c r="FZ19" s="59"/>
      <c r="GA19" s="126"/>
      <c r="GB19" s="20">
        <v>12</v>
      </c>
      <c r="GC19" s="19">
        <v>964.8</v>
      </c>
      <c r="GD19" s="17">
        <v>42291</v>
      </c>
      <c r="GE19" s="19">
        <v>964.8</v>
      </c>
      <c r="GF19" s="360" t="s">
        <v>693</v>
      </c>
      <c r="GG19" s="24">
        <v>32.5</v>
      </c>
      <c r="GH19" s="16"/>
      <c r="GI19" s="135"/>
      <c r="GJ19" s="126"/>
      <c r="GK19" s="20">
        <v>12</v>
      </c>
      <c r="GL19" s="19">
        <v>923.1</v>
      </c>
      <c r="GM19" s="17">
        <v>42292</v>
      </c>
      <c r="GN19" s="19">
        <v>923.1</v>
      </c>
      <c r="GO19" s="72" t="s">
        <v>702</v>
      </c>
      <c r="GP19" s="24">
        <v>32.5</v>
      </c>
      <c r="GQ19" s="16"/>
      <c r="GR19" s="59"/>
      <c r="GS19" s="126"/>
      <c r="GT19" s="20">
        <v>12</v>
      </c>
      <c r="GU19" s="19">
        <v>928</v>
      </c>
      <c r="GV19" s="17">
        <v>42293</v>
      </c>
      <c r="GW19" s="19">
        <v>928</v>
      </c>
      <c r="GX19" s="72" t="s">
        <v>704</v>
      </c>
      <c r="GY19" s="24">
        <v>32.5</v>
      </c>
      <c r="GZ19" s="16"/>
      <c r="HA19" s="59"/>
      <c r="HB19" s="126"/>
      <c r="HC19" s="20">
        <v>12</v>
      </c>
      <c r="HD19" s="19">
        <v>923.5</v>
      </c>
      <c r="HE19" s="17">
        <v>42293</v>
      </c>
      <c r="HF19" s="19">
        <v>923.5</v>
      </c>
      <c r="HG19" s="72" t="s">
        <v>714</v>
      </c>
      <c r="HH19" s="24">
        <v>33</v>
      </c>
      <c r="HI19" s="16"/>
      <c r="HJ19" s="135"/>
      <c r="HK19" s="126"/>
      <c r="HL19" s="20">
        <v>12</v>
      </c>
      <c r="HM19" s="19">
        <v>938.5</v>
      </c>
      <c r="HN19" s="17">
        <v>42293</v>
      </c>
      <c r="HO19" s="19">
        <v>938.5</v>
      </c>
      <c r="HP19" s="72" t="s">
        <v>716</v>
      </c>
      <c r="HQ19" s="24">
        <v>33</v>
      </c>
      <c r="HR19" s="16"/>
      <c r="HS19" s="135"/>
      <c r="HT19" s="126"/>
      <c r="HU19" s="20">
        <v>12</v>
      </c>
      <c r="HV19" s="19">
        <v>948</v>
      </c>
      <c r="HW19" s="17">
        <v>42294</v>
      </c>
      <c r="HX19" s="19">
        <v>948</v>
      </c>
      <c r="HY19" s="72" t="s">
        <v>720</v>
      </c>
      <c r="HZ19" s="24">
        <v>33</v>
      </c>
      <c r="IA19" s="16"/>
      <c r="IB19" s="135"/>
      <c r="IC19" s="126"/>
      <c r="ID19" s="20">
        <v>12</v>
      </c>
      <c r="IE19" s="19">
        <v>929.9</v>
      </c>
      <c r="IF19" s="17">
        <v>42296</v>
      </c>
      <c r="IG19" s="19">
        <v>929.9</v>
      </c>
      <c r="IH19" s="72" t="s">
        <v>724</v>
      </c>
      <c r="II19" s="24">
        <v>33.5</v>
      </c>
      <c r="IJ19" s="16"/>
      <c r="IK19" s="59"/>
      <c r="IL19" s="126"/>
      <c r="IM19" s="20">
        <v>12</v>
      </c>
      <c r="IN19" s="19">
        <v>897.51</v>
      </c>
      <c r="IO19" s="17">
        <v>42297</v>
      </c>
      <c r="IP19" s="19">
        <v>897.51</v>
      </c>
      <c r="IQ19" s="72" t="s">
        <v>726</v>
      </c>
      <c r="IR19" s="24">
        <v>32.07</v>
      </c>
      <c r="IS19" s="16"/>
      <c r="IT19" s="59"/>
      <c r="IU19" s="126"/>
      <c r="IV19" s="20">
        <v>12</v>
      </c>
      <c r="IW19" s="19">
        <v>875.8</v>
      </c>
      <c r="IX19" s="110">
        <v>42296</v>
      </c>
      <c r="IY19" s="19">
        <v>875.8</v>
      </c>
      <c r="IZ19" s="129" t="s">
        <v>723</v>
      </c>
      <c r="JA19" s="108">
        <v>33.5</v>
      </c>
      <c r="JB19" s="16"/>
      <c r="JC19" s="59"/>
      <c r="JD19" s="126"/>
      <c r="JE19" s="20">
        <v>12</v>
      </c>
      <c r="JF19" s="19">
        <v>1020</v>
      </c>
      <c r="JG19" s="17">
        <v>42298</v>
      </c>
      <c r="JH19" s="19">
        <v>1020</v>
      </c>
      <c r="JI19" s="510" t="s">
        <v>734</v>
      </c>
      <c r="JJ19" s="24">
        <v>33.5</v>
      </c>
      <c r="JK19" s="16"/>
      <c r="JL19" s="59"/>
      <c r="JM19" s="207"/>
      <c r="JN19" s="20">
        <v>12</v>
      </c>
      <c r="JO19" s="19">
        <v>1002</v>
      </c>
      <c r="JP19" s="17">
        <v>42299</v>
      </c>
      <c r="JQ19" s="19">
        <v>1002</v>
      </c>
      <c r="JR19" s="72" t="s">
        <v>737</v>
      </c>
      <c r="JS19" s="24">
        <v>33.5</v>
      </c>
      <c r="JT19" s="16"/>
      <c r="JU19" s="59"/>
      <c r="JV19" s="276"/>
      <c r="JW19" s="20">
        <v>12</v>
      </c>
      <c r="JX19" s="19">
        <v>915.65</v>
      </c>
      <c r="JY19" s="17">
        <v>42297</v>
      </c>
      <c r="JZ19" s="19">
        <v>915.65</v>
      </c>
      <c r="KA19" s="72" t="s">
        <v>730</v>
      </c>
      <c r="KB19" s="24">
        <v>33.5</v>
      </c>
      <c r="KC19" s="16"/>
      <c r="KD19" s="59"/>
      <c r="KE19" s="126"/>
      <c r="KF19" s="20">
        <v>12</v>
      </c>
      <c r="KG19" s="202">
        <v>906.58</v>
      </c>
      <c r="KH19" s="110">
        <v>42299</v>
      </c>
      <c r="KI19" s="202">
        <v>906.58</v>
      </c>
      <c r="KJ19" s="129" t="s">
        <v>739</v>
      </c>
      <c r="KK19" s="108">
        <v>33.5</v>
      </c>
      <c r="KL19" s="16"/>
      <c r="KM19" s="59"/>
      <c r="KN19" s="126"/>
      <c r="KO19" s="20">
        <v>12</v>
      </c>
      <c r="KP19" s="202">
        <v>938.78</v>
      </c>
      <c r="KQ19" s="17">
        <v>42299</v>
      </c>
      <c r="KR19" s="202">
        <v>938.78</v>
      </c>
      <c r="KS19" s="72" t="s">
        <v>740</v>
      </c>
      <c r="KT19" s="24">
        <v>33.5</v>
      </c>
      <c r="KU19" s="16"/>
      <c r="KV19" s="59"/>
      <c r="KW19" s="126"/>
      <c r="KX19" s="20">
        <v>12</v>
      </c>
      <c r="KY19" s="19">
        <v>909</v>
      </c>
      <c r="KZ19" s="17">
        <v>42301</v>
      </c>
      <c r="LA19" s="19">
        <v>909</v>
      </c>
      <c r="LB19" s="72" t="s">
        <v>749</v>
      </c>
      <c r="LC19" s="24">
        <v>33.5</v>
      </c>
      <c r="LD19" s="16"/>
      <c r="LE19" s="59"/>
      <c r="LF19" s="126"/>
      <c r="LG19" s="20">
        <v>12</v>
      </c>
      <c r="LH19" s="202">
        <v>920.8</v>
      </c>
      <c r="LI19" s="17">
        <v>42301</v>
      </c>
      <c r="LJ19" s="202">
        <v>920.8</v>
      </c>
      <c r="LK19" s="72" t="s">
        <v>753</v>
      </c>
      <c r="LL19" s="24">
        <v>33.5</v>
      </c>
      <c r="LM19" s="16"/>
      <c r="LN19" s="59"/>
      <c r="LO19" s="126"/>
      <c r="LP19" s="20">
        <v>12</v>
      </c>
      <c r="LQ19" s="19">
        <v>926.98</v>
      </c>
      <c r="LR19" s="17">
        <v>42303</v>
      </c>
      <c r="LS19" s="19">
        <v>926.98</v>
      </c>
      <c r="LT19" s="72" t="s">
        <v>762</v>
      </c>
      <c r="LU19" s="24">
        <v>32.5</v>
      </c>
      <c r="LV19" s="16"/>
      <c r="LW19" s="59"/>
      <c r="LX19" s="126"/>
      <c r="LY19" s="20">
        <v>12</v>
      </c>
      <c r="LZ19" s="179">
        <v>925.3</v>
      </c>
      <c r="MA19" s="17">
        <v>42303</v>
      </c>
      <c r="MB19" s="19">
        <v>925.3</v>
      </c>
      <c r="MC19" s="510" t="s">
        <v>765</v>
      </c>
      <c r="MD19" s="24">
        <v>32.5</v>
      </c>
      <c r="ME19" s="16"/>
      <c r="MF19" s="59"/>
      <c r="MG19" s="126"/>
      <c r="MH19" s="20">
        <v>12</v>
      </c>
      <c r="MI19" s="19">
        <v>927.44</v>
      </c>
      <c r="MJ19" s="17">
        <v>42304</v>
      </c>
      <c r="MK19" s="19">
        <v>927.44</v>
      </c>
      <c r="ML19" s="72" t="s">
        <v>767</v>
      </c>
      <c r="MM19" s="24">
        <v>31</v>
      </c>
      <c r="MN19" s="16"/>
      <c r="MO19" s="59"/>
      <c r="MP19" s="126"/>
      <c r="MQ19" s="20">
        <v>12</v>
      </c>
      <c r="MR19" s="19">
        <v>915.65</v>
      </c>
      <c r="MS19" s="17">
        <v>42305</v>
      </c>
      <c r="MT19" s="19">
        <v>915.65</v>
      </c>
      <c r="MU19" s="72" t="s">
        <v>769</v>
      </c>
      <c r="MV19" s="24">
        <v>312</v>
      </c>
      <c r="MW19" s="16"/>
      <c r="MX19" s="59"/>
      <c r="MY19" s="126"/>
      <c r="MZ19" s="20">
        <v>12</v>
      </c>
      <c r="NA19" s="19">
        <v>947.85</v>
      </c>
      <c r="NB19" s="17">
        <v>42305</v>
      </c>
      <c r="NC19" s="19">
        <v>947.85</v>
      </c>
      <c r="ND19" s="72" t="s">
        <v>772</v>
      </c>
      <c r="NE19" s="24">
        <v>31</v>
      </c>
      <c r="NF19" s="16"/>
      <c r="NG19" s="59"/>
      <c r="NH19" s="126"/>
      <c r="NI19" s="20">
        <v>12</v>
      </c>
      <c r="NJ19" s="19">
        <v>928</v>
      </c>
      <c r="NK19" s="17">
        <v>42306</v>
      </c>
      <c r="NL19" s="19">
        <v>928</v>
      </c>
      <c r="NM19" s="309" t="s">
        <v>779</v>
      </c>
      <c r="NN19" s="24">
        <v>30</v>
      </c>
      <c r="NO19" s="16"/>
      <c r="NP19" s="59"/>
      <c r="NQ19" s="126"/>
      <c r="NR19" s="20">
        <v>12</v>
      </c>
      <c r="NS19" s="19">
        <v>919</v>
      </c>
      <c r="NT19" s="17">
        <v>42307</v>
      </c>
      <c r="NU19" s="19">
        <v>919</v>
      </c>
      <c r="NV19" s="72" t="s">
        <v>784</v>
      </c>
      <c r="NW19" s="24">
        <v>30</v>
      </c>
      <c r="NX19" s="16"/>
      <c r="NY19" s="59"/>
      <c r="NZ19" s="126"/>
      <c r="OA19" s="20">
        <v>12</v>
      </c>
      <c r="OB19" s="19">
        <v>915.19</v>
      </c>
      <c r="OC19" s="17">
        <v>42307</v>
      </c>
      <c r="OD19" s="19">
        <v>915.19</v>
      </c>
      <c r="OE19" s="72" t="s">
        <v>782</v>
      </c>
      <c r="OF19" s="24">
        <v>30</v>
      </c>
      <c r="OG19" s="16"/>
      <c r="OH19" s="59"/>
      <c r="OI19" s="126"/>
      <c r="OJ19" s="20">
        <v>12</v>
      </c>
      <c r="OK19" s="19">
        <v>885.26</v>
      </c>
      <c r="OL19" s="17"/>
      <c r="OM19" s="19"/>
      <c r="ON19" s="72"/>
      <c r="OO19" s="24"/>
      <c r="OP19" s="16"/>
      <c r="OQ19" s="59"/>
      <c r="OR19" s="126"/>
      <c r="OS19" s="20">
        <v>12</v>
      </c>
      <c r="OT19" s="19">
        <v>947</v>
      </c>
      <c r="OU19" s="17"/>
      <c r="OV19" s="19"/>
      <c r="OW19" s="309"/>
      <c r="OX19" s="24"/>
      <c r="OY19" s="16"/>
      <c r="OZ19" s="59"/>
      <c r="PA19" s="126"/>
      <c r="PB19" s="20">
        <v>12</v>
      </c>
      <c r="PC19" s="19">
        <v>917.2</v>
      </c>
      <c r="PD19" s="17">
        <v>42308</v>
      </c>
      <c r="PE19" s="19">
        <v>917.2</v>
      </c>
      <c r="PF19" s="72" t="s">
        <v>793</v>
      </c>
      <c r="PG19" s="24">
        <v>29</v>
      </c>
      <c r="PH19" s="16"/>
      <c r="PI19" s="59"/>
      <c r="PJ19" s="126"/>
      <c r="PK19" s="20"/>
      <c r="PL19" s="19"/>
      <c r="PM19" s="17"/>
      <c r="PN19" s="19"/>
      <c r="PO19" s="72"/>
      <c r="PP19" s="24"/>
      <c r="PQ19" s="16"/>
      <c r="PR19" s="59"/>
      <c r="PS19" s="126"/>
      <c r="PT19" s="20"/>
      <c r="PU19" s="19"/>
      <c r="PV19" s="17"/>
      <c r="PW19" s="19"/>
      <c r="PX19" s="72"/>
      <c r="PY19" s="24"/>
      <c r="PZ19" s="16"/>
      <c r="QA19" s="59"/>
      <c r="QB19" s="126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>
        <v>12</v>
      </c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SMITHFIELD FARMLAND</v>
      </c>
      <c r="C20" s="16" t="str">
        <f t="shared" si="16"/>
        <v>Smithfield</v>
      </c>
      <c r="D20" s="74" t="str">
        <f t="shared" si="16"/>
        <v>PED. 5004046</v>
      </c>
      <c r="E20" s="162">
        <f t="shared" si="16"/>
        <v>42290</v>
      </c>
      <c r="F20" s="77">
        <f t="shared" si="16"/>
        <v>18368.28</v>
      </c>
      <c r="G20" s="15">
        <f t="shared" si="16"/>
        <v>20</v>
      </c>
      <c r="H20" s="65">
        <f t="shared" si="16"/>
        <v>18323.8</v>
      </c>
      <c r="I20" s="18">
        <f t="shared" si="16"/>
        <v>44.479999999999563</v>
      </c>
      <c r="K20" s="59"/>
      <c r="L20" s="126"/>
      <c r="M20" s="20">
        <v>13</v>
      </c>
      <c r="N20" s="19">
        <v>906.7</v>
      </c>
      <c r="O20" s="339">
        <v>42278</v>
      </c>
      <c r="P20" s="226">
        <v>906.7</v>
      </c>
      <c r="Q20" s="340" t="s">
        <v>628</v>
      </c>
      <c r="R20" s="341">
        <v>30</v>
      </c>
      <c r="S20" s="16"/>
      <c r="T20" s="59"/>
      <c r="U20" s="126"/>
      <c r="V20" s="20">
        <v>13</v>
      </c>
      <c r="W20" s="19">
        <v>908.1</v>
      </c>
      <c r="X20" s="17">
        <v>42279</v>
      </c>
      <c r="Y20" s="19">
        <v>908.1</v>
      </c>
      <c r="Z20" s="72" t="s">
        <v>636</v>
      </c>
      <c r="AA20" s="24">
        <v>30</v>
      </c>
      <c r="AB20" s="16"/>
      <c r="AC20" s="59"/>
      <c r="AD20" s="126"/>
      <c r="AE20" s="20">
        <v>13</v>
      </c>
      <c r="AF20" s="19">
        <v>1029</v>
      </c>
      <c r="AG20" s="17">
        <v>42280</v>
      </c>
      <c r="AH20" s="19">
        <v>1029</v>
      </c>
      <c r="AI20" s="72" t="s">
        <v>642</v>
      </c>
      <c r="AJ20" s="24">
        <v>31</v>
      </c>
      <c r="AK20" s="16"/>
      <c r="AL20" s="59"/>
      <c r="AM20" s="126"/>
      <c r="AN20" s="20">
        <v>13</v>
      </c>
      <c r="AO20" s="19">
        <v>947.39</v>
      </c>
      <c r="AP20" s="17">
        <v>42280</v>
      </c>
      <c r="AQ20" s="19">
        <v>947.39</v>
      </c>
      <c r="AR20" s="72" t="s">
        <v>639</v>
      </c>
      <c r="AS20" s="24">
        <v>31</v>
      </c>
      <c r="AT20" s="16"/>
      <c r="AU20" s="59"/>
      <c r="AV20" s="175"/>
      <c r="AW20" s="20"/>
      <c r="AX20" s="19"/>
      <c r="AY20" s="110"/>
      <c r="AZ20" s="19"/>
      <c r="BA20" s="129"/>
      <c r="BB20" s="108"/>
      <c r="BC20" s="16"/>
      <c r="BD20" s="59"/>
      <c r="BE20" s="126"/>
      <c r="BF20" s="20">
        <v>13</v>
      </c>
      <c r="BG20" s="19">
        <v>914.9</v>
      </c>
      <c r="BH20" s="17">
        <v>42281</v>
      </c>
      <c r="BI20" s="19">
        <v>914.9</v>
      </c>
      <c r="BJ20" s="510" t="s">
        <v>644</v>
      </c>
      <c r="BK20" s="160">
        <v>31</v>
      </c>
      <c r="BL20" s="16"/>
      <c r="BM20" s="59"/>
      <c r="BN20" s="183"/>
      <c r="BO20" s="20">
        <v>13</v>
      </c>
      <c r="BP20" s="19">
        <v>952.38</v>
      </c>
      <c r="BQ20" s="17">
        <v>42283</v>
      </c>
      <c r="BR20" s="19">
        <v>952.38</v>
      </c>
      <c r="BS20" s="72" t="s">
        <v>655</v>
      </c>
      <c r="BT20" s="24">
        <v>31.5</v>
      </c>
      <c r="BU20" s="16"/>
      <c r="BV20" s="59"/>
      <c r="BW20" s="183"/>
      <c r="BX20" s="20">
        <v>13</v>
      </c>
      <c r="BY20" s="19">
        <v>912.02</v>
      </c>
      <c r="BZ20" s="17">
        <v>42283</v>
      </c>
      <c r="CA20" s="19">
        <v>912.02</v>
      </c>
      <c r="CB20" s="72" t="s">
        <v>652</v>
      </c>
      <c r="CC20" s="24">
        <v>31.5</v>
      </c>
      <c r="CD20" s="16"/>
      <c r="CE20" s="59"/>
      <c r="CF20" s="183"/>
      <c r="CG20" s="20">
        <v>13</v>
      </c>
      <c r="CH20" s="19">
        <v>942.4</v>
      </c>
      <c r="CI20" s="17">
        <v>42284</v>
      </c>
      <c r="CJ20" s="19">
        <v>942.4</v>
      </c>
      <c r="CK20" s="437" t="s">
        <v>660</v>
      </c>
      <c r="CL20" s="24">
        <v>31.5</v>
      </c>
      <c r="CM20" s="16"/>
      <c r="CN20" s="59"/>
      <c r="CO20" s="126"/>
      <c r="CP20" s="20">
        <v>13</v>
      </c>
      <c r="CQ20" s="19">
        <v>922.1</v>
      </c>
      <c r="CR20" s="17">
        <v>42285</v>
      </c>
      <c r="CS20" s="19">
        <v>922.1</v>
      </c>
      <c r="CT20" s="326" t="s">
        <v>664</v>
      </c>
      <c r="CU20" s="24">
        <v>31.5</v>
      </c>
      <c r="CV20" s="16"/>
      <c r="CW20" s="59"/>
      <c r="CX20" s="126"/>
      <c r="CY20" s="20">
        <v>13</v>
      </c>
      <c r="CZ20" s="202">
        <v>1014</v>
      </c>
      <c r="DA20" s="17">
        <v>42287</v>
      </c>
      <c r="DB20" s="202">
        <v>1014</v>
      </c>
      <c r="DC20" s="43" t="s">
        <v>671</v>
      </c>
      <c r="DD20" s="24">
        <v>32</v>
      </c>
      <c r="DE20" s="16"/>
      <c r="DF20" s="59"/>
      <c r="DG20" s="126"/>
      <c r="DH20" s="20">
        <v>13</v>
      </c>
      <c r="DI20" s="19">
        <v>910.8</v>
      </c>
      <c r="DJ20" s="17">
        <v>42286</v>
      </c>
      <c r="DK20" s="19">
        <v>910.8</v>
      </c>
      <c r="DL20" s="43" t="s">
        <v>668</v>
      </c>
      <c r="DM20" s="24">
        <v>32</v>
      </c>
      <c r="DN20" s="16"/>
      <c r="DO20" s="59"/>
      <c r="DP20" s="126"/>
      <c r="DQ20" s="20">
        <v>13</v>
      </c>
      <c r="DR20" s="30">
        <v>921.7</v>
      </c>
      <c r="DS20" s="58">
        <v>42287</v>
      </c>
      <c r="DT20" s="30">
        <v>921.7</v>
      </c>
      <c r="DU20" s="79" t="s">
        <v>672</v>
      </c>
      <c r="DV20" s="24">
        <v>32</v>
      </c>
      <c r="DW20" s="16"/>
      <c r="DX20" s="59"/>
      <c r="DY20" s="126"/>
      <c r="DZ20" s="20">
        <v>13</v>
      </c>
      <c r="EA20" s="30">
        <v>938.32</v>
      </c>
      <c r="EB20" s="58">
        <v>42290</v>
      </c>
      <c r="EC20" s="30">
        <v>938.32</v>
      </c>
      <c r="ED20" s="79" t="s">
        <v>685</v>
      </c>
      <c r="EE20" s="24">
        <v>30.3</v>
      </c>
      <c r="EF20" s="16"/>
      <c r="EG20" s="59"/>
      <c r="EH20" s="126"/>
      <c r="EI20" s="20">
        <v>13</v>
      </c>
      <c r="EJ20" s="19">
        <v>911</v>
      </c>
      <c r="EK20" s="17">
        <v>42289</v>
      </c>
      <c r="EL20" s="19">
        <v>911</v>
      </c>
      <c r="EM20" s="43" t="s">
        <v>676</v>
      </c>
      <c r="EN20" s="24">
        <v>32</v>
      </c>
      <c r="EO20" s="16"/>
      <c r="EP20" s="59"/>
      <c r="EQ20" s="126"/>
      <c r="ER20" s="20">
        <v>13</v>
      </c>
      <c r="ES20" s="19">
        <v>909.9</v>
      </c>
      <c r="ET20" s="17">
        <v>42289</v>
      </c>
      <c r="EU20" s="19">
        <v>909.9</v>
      </c>
      <c r="EV20" s="79" t="s">
        <v>678</v>
      </c>
      <c r="EW20" s="24">
        <v>32</v>
      </c>
      <c r="EX20" s="16"/>
      <c r="EY20" s="59"/>
      <c r="EZ20" s="126"/>
      <c r="FA20" s="20">
        <v>13</v>
      </c>
      <c r="FB20" s="19">
        <v>946.94</v>
      </c>
      <c r="FC20" s="17">
        <v>42290</v>
      </c>
      <c r="FD20" s="19">
        <v>946.94</v>
      </c>
      <c r="FE20" s="43" t="s">
        <v>689</v>
      </c>
      <c r="FF20" s="24">
        <v>32.5</v>
      </c>
      <c r="FG20" s="16"/>
      <c r="FH20" s="59"/>
      <c r="FI20" s="126"/>
      <c r="FJ20" s="20">
        <v>13</v>
      </c>
      <c r="FK20" s="30">
        <v>919.27</v>
      </c>
      <c r="FL20" s="58">
        <v>42290</v>
      </c>
      <c r="FM20" s="30">
        <v>919.27</v>
      </c>
      <c r="FN20" s="79" t="s">
        <v>691</v>
      </c>
      <c r="FO20" s="24">
        <v>32.5</v>
      </c>
      <c r="FP20" s="16"/>
      <c r="FQ20" s="59"/>
      <c r="FR20" s="126"/>
      <c r="FS20" s="20">
        <v>13</v>
      </c>
      <c r="FT20" s="30">
        <v>897.05</v>
      </c>
      <c r="FU20" s="58">
        <v>42291</v>
      </c>
      <c r="FV20" s="30">
        <v>897.05</v>
      </c>
      <c r="FW20" s="79" t="s">
        <v>697</v>
      </c>
      <c r="FX20" s="24">
        <v>32.5</v>
      </c>
      <c r="FY20" s="16"/>
      <c r="FZ20" s="59"/>
      <c r="GA20" s="126"/>
      <c r="GB20" s="20">
        <v>13</v>
      </c>
      <c r="GC20" s="19">
        <v>893.5</v>
      </c>
      <c r="GD20" s="17">
        <v>42291</v>
      </c>
      <c r="GE20" s="19">
        <v>893.5</v>
      </c>
      <c r="GF20" s="360" t="s">
        <v>693</v>
      </c>
      <c r="GG20" s="24">
        <v>32.5</v>
      </c>
      <c r="GH20" s="16"/>
      <c r="GI20" s="135"/>
      <c r="GJ20" s="126"/>
      <c r="GK20" s="20">
        <v>13</v>
      </c>
      <c r="GL20" s="19">
        <v>922.1</v>
      </c>
      <c r="GM20" s="17">
        <v>42292</v>
      </c>
      <c r="GN20" s="19">
        <v>922.1</v>
      </c>
      <c r="GO20" s="72" t="s">
        <v>702</v>
      </c>
      <c r="GP20" s="24">
        <v>32.5</v>
      </c>
      <c r="GQ20" s="16"/>
      <c r="GR20" s="59"/>
      <c r="GS20" s="126"/>
      <c r="GT20" s="20">
        <v>13</v>
      </c>
      <c r="GU20" s="19">
        <v>911.7</v>
      </c>
      <c r="GV20" s="17">
        <v>42293</v>
      </c>
      <c r="GW20" s="19">
        <v>911.7</v>
      </c>
      <c r="GX20" s="72" t="s">
        <v>704</v>
      </c>
      <c r="GY20" s="24">
        <v>32.5</v>
      </c>
      <c r="GZ20" s="16"/>
      <c r="HA20" s="59"/>
      <c r="HB20" s="126"/>
      <c r="HC20" s="20">
        <v>13</v>
      </c>
      <c r="HD20" s="19">
        <v>918.5</v>
      </c>
      <c r="HE20" s="17">
        <v>42293</v>
      </c>
      <c r="HF20" s="19">
        <v>918.5</v>
      </c>
      <c r="HG20" s="72" t="s">
        <v>714</v>
      </c>
      <c r="HH20" s="24">
        <v>33</v>
      </c>
      <c r="HI20" s="16"/>
      <c r="HJ20" s="135"/>
      <c r="HK20" s="126"/>
      <c r="HL20" s="20">
        <v>13</v>
      </c>
      <c r="HM20" s="19">
        <v>965.2</v>
      </c>
      <c r="HN20" s="17">
        <v>42293</v>
      </c>
      <c r="HO20" s="19">
        <v>965.2</v>
      </c>
      <c r="HP20" s="72" t="s">
        <v>716</v>
      </c>
      <c r="HQ20" s="24">
        <v>33</v>
      </c>
      <c r="HR20" s="16"/>
      <c r="HS20" s="135"/>
      <c r="HT20" s="126"/>
      <c r="HU20" s="20">
        <v>13</v>
      </c>
      <c r="HV20" s="19">
        <v>978</v>
      </c>
      <c r="HW20" s="17">
        <v>42294</v>
      </c>
      <c r="HX20" s="19">
        <v>978</v>
      </c>
      <c r="HY20" s="72" t="s">
        <v>720</v>
      </c>
      <c r="HZ20" s="24">
        <v>33</v>
      </c>
      <c r="IA20" s="16"/>
      <c r="IB20" s="135"/>
      <c r="IC20" s="126"/>
      <c r="ID20" s="20">
        <v>13</v>
      </c>
      <c r="IE20" s="19">
        <v>908.1</v>
      </c>
      <c r="IF20" s="17">
        <v>42296</v>
      </c>
      <c r="IG20" s="19">
        <v>908.1</v>
      </c>
      <c r="IH20" s="72" t="s">
        <v>724</v>
      </c>
      <c r="II20" s="24">
        <v>33.5</v>
      </c>
      <c r="IJ20" s="16"/>
      <c r="IK20" s="59"/>
      <c r="IL20" s="126"/>
      <c r="IM20" s="20">
        <v>13</v>
      </c>
      <c r="IN20" s="19">
        <v>911.11</v>
      </c>
      <c r="IO20" s="17">
        <v>42297</v>
      </c>
      <c r="IP20" s="19">
        <v>911.11</v>
      </c>
      <c r="IQ20" s="72" t="s">
        <v>726</v>
      </c>
      <c r="IR20" s="24">
        <v>32.07</v>
      </c>
      <c r="IS20" s="16"/>
      <c r="IT20" s="59"/>
      <c r="IU20" s="126"/>
      <c r="IV20" s="20">
        <v>13</v>
      </c>
      <c r="IW20" s="19">
        <v>840</v>
      </c>
      <c r="IX20" s="110">
        <v>42296</v>
      </c>
      <c r="IY20" s="19">
        <v>840</v>
      </c>
      <c r="IZ20" s="129" t="s">
        <v>723</v>
      </c>
      <c r="JA20" s="108">
        <v>33.5</v>
      </c>
      <c r="JB20" s="16"/>
      <c r="JC20" s="59"/>
      <c r="JD20" s="126"/>
      <c r="JE20" s="20">
        <v>13</v>
      </c>
      <c r="JF20" s="19">
        <v>1020</v>
      </c>
      <c r="JG20" s="17">
        <v>42298</v>
      </c>
      <c r="JH20" s="19">
        <v>1020</v>
      </c>
      <c r="JI20" s="510" t="s">
        <v>734</v>
      </c>
      <c r="JJ20" s="24">
        <v>33.5</v>
      </c>
      <c r="JK20" s="16"/>
      <c r="JL20" s="59"/>
      <c r="JM20" s="126"/>
      <c r="JN20" s="20">
        <v>13</v>
      </c>
      <c r="JO20" s="19">
        <v>977</v>
      </c>
      <c r="JP20" s="17">
        <v>42298</v>
      </c>
      <c r="JQ20" s="19">
        <v>977</v>
      </c>
      <c r="JR20" s="72" t="s">
        <v>734</v>
      </c>
      <c r="JS20" s="24">
        <v>33.5</v>
      </c>
      <c r="JT20" s="16"/>
      <c r="JU20" s="59"/>
      <c r="JV20" s="276"/>
      <c r="JW20" s="20">
        <v>13</v>
      </c>
      <c r="JX20" s="19">
        <v>893.42</v>
      </c>
      <c r="JY20" s="17">
        <v>42297</v>
      </c>
      <c r="JZ20" s="19">
        <v>893.42</v>
      </c>
      <c r="KA20" s="72" t="s">
        <v>730</v>
      </c>
      <c r="KB20" s="24">
        <v>33.5</v>
      </c>
      <c r="KC20" s="16"/>
      <c r="KD20" s="59"/>
      <c r="KE20" s="126"/>
      <c r="KF20" s="20">
        <v>13</v>
      </c>
      <c r="KG20" s="202">
        <v>884.35</v>
      </c>
      <c r="KH20" s="110">
        <v>42299</v>
      </c>
      <c r="KI20" s="202">
        <v>884.35</v>
      </c>
      <c r="KJ20" s="129" t="s">
        <v>740</v>
      </c>
      <c r="KK20" s="108">
        <v>33.5</v>
      </c>
      <c r="KL20" s="16"/>
      <c r="KM20" s="59"/>
      <c r="KN20" s="126"/>
      <c r="KO20" s="20">
        <v>13</v>
      </c>
      <c r="KP20" s="202">
        <v>905.22</v>
      </c>
      <c r="KQ20" s="17">
        <v>42300</v>
      </c>
      <c r="KR20" s="202">
        <v>905.22</v>
      </c>
      <c r="KS20" s="72" t="s">
        <v>746</v>
      </c>
      <c r="KT20" s="24">
        <v>33.5</v>
      </c>
      <c r="KU20" s="16"/>
      <c r="KV20" s="59"/>
      <c r="KW20" s="126"/>
      <c r="KX20" s="20">
        <v>13</v>
      </c>
      <c r="KY20" s="19">
        <v>967.5</v>
      </c>
      <c r="KZ20" s="17">
        <v>42300</v>
      </c>
      <c r="LA20" s="19">
        <v>967.5</v>
      </c>
      <c r="LB20" s="72" t="s">
        <v>744</v>
      </c>
      <c r="LC20" s="24">
        <v>33.5</v>
      </c>
      <c r="LD20" s="16"/>
      <c r="LE20" s="59"/>
      <c r="LF20" s="126"/>
      <c r="LG20" s="20">
        <v>13</v>
      </c>
      <c r="LH20" s="202">
        <v>931.2</v>
      </c>
      <c r="LI20" s="17">
        <v>42301</v>
      </c>
      <c r="LJ20" s="202">
        <v>931.2</v>
      </c>
      <c r="LK20" s="72" t="s">
        <v>754</v>
      </c>
      <c r="LL20" s="24">
        <v>33.5</v>
      </c>
      <c r="LM20" s="16"/>
      <c r="LN20" s="59"/>
      <c r="LO20" s="126"/>
      <c r="LP20" s="20">
        <v>13</v>
      </c>
      <c r="LQ20" s="19">
        <v>918.37</v>
      </c>
      <c r="LR20" s="17">
        <v>42303</v>
      </c>
      <c r="LS20" s="19">
        <v>918.37</v>
      </c>
      <c r="LT20" s="72" t="s">
        <v>762</v>
      </c>
      <c r="LU20" s="24">
        <v>32.5</v>
      </c>
      <c r="LV20" s="16"/>
      <c r="LW20" s="59"/>
      <c r="LX20" s="126"/>
      <c r="LY20" s="20">
        <v>13</v>
      </c>
      <c r="LZ20" s="179">
        <v>920.3</v>
      </c>
      <c r="MA20" s="17">
        <v>42303</v>
      </c>
      <c r="MB20" s="19">
        <v>920.3</v>
      </c>
      <c r="MC20" s="510" t="s">
        <v>760</v>
      </c>
      <c r="MD20" s="24">
        <v>32.5</v>
      </c>
      <c r="ME20" s="16"/>
      <c r="MF20" s="59"/>
      <c r="MG20" s="126"/>
      <c r="MH20" s="20">
        <v>13</v>
      </c>
      <c r="MI20" s="19">
        <v>911.11</v>
      </c>
      <c r="MJ20" s="17">
        <v>42304</v>
      </c>
      <c r="MK20" s="19">
        <v>911.11</v>
      </c>
      <c r="ML20" s="72" t="s">
        <v>767</v>
      </c>
      <c r="MM20" s="24">
        <v>31</v>
      </c>
      <c r="MN20" s="16"/>
      <c r="MO20" s="59"/>
      <c r="MP20" s="126"/>
      <c r="MQ20" s="20">
        <v>13</v>
      </c>
      <c r="MR20" s="19">
        <v>906.12</v>
      </c>
      <c r="MS20" s="17">
        <v>42305</v>
      </c>
      <c r="MT20" s="19">
        <v>906.12</v>
      </c>
      <c r="MU20" s="72" t="s">
        <v>769</v>
      </c>
      <c r="MV20" s="24">
        <v>31</v>
      </c>
      <c r="MW20" s="16"/>
      <c r="MX20" s="59"/>
      <c r="MY20" s="126"/>
      <c r="MZ20" s="20">
        <v>13</v>
      </c>
      <c r="NA20" s="19">
        <v>955.1</v>
      </c>
      <c r="NB20" s="17">
        <v>42305</v>
      </c>
      <c r="NC20" s="19">
        <v>955.1</v>
      </c>
      <c r="ND20" s="72" t="s">
        <v>772</v>
      </c>
      <c r="NE20" s="24">
        <v>31</v>
      </c>
      <c r="NF20" s="16"/>
      <c r="NG20" s="59"/>
      <c r="NH20" s="126"/>
      <c r="NI20" s="20">
        <v>13</v>
      </c>
      <c r="NJ20" s="19">
        <v>919.9</v>
      </c>
      <c r="NK20" s="17">
        <v>42306</v>
      </c>
      <c r="NL20" s="19">
        <v>919.9</v>
      </c>
      <c r="NM20" s="309" t="s">
        <v>779</v>
      </c>
      <c r="NN20" s="24">
        <v>30</v>
      </c>
      <c r="NO20" s="16"/>
      <c r="NP20" s="59"/>
      <c r="NQ20" s="126"/>
      <c r="NR20" s="20">
        <v>13</v>
      </c>
      <c r="NS20" s="19">
        <v>929</v>
      </c>
      <c r="NT20" s="17">
        <v>42307</v>
      </c>
      <c r="NU20" s="19">
        <v>929</v>
      </c>
      <c r="NV20" s="72" t="s">
        <v>784</v>
      </c>
      <c r="NW20" s="24">
        <v>30</v>
      </c>
      <c r="NX20" s="16"/>
      <c r="NY20" s="59"/>
      <c r="NZ20" s="126"/>
      <c r="OA20" s="20">
        <v>13</v>
      </c>
      <c r="OB20" s="19">
        <v>927.44</v>
      </c>
      <c r="OC20" s="17">
        <v>42307</v>
      </c>
      <c r="OD20" s="19">
        <v>927.44</v>
      </c>
      <c r="OE20" s="617" t="s">
        <v>782</v>
      </c>
      <c r="OF20" s="24">
        <v>30</v>
      </c>
      <c r="OG20" s="16"/>
      <c r="OH20" s="59"/>
      <c r="OI20" s="126"/>
      <c r="OJ20" s="20">
        <v>13</v>
      </c>
      <c r="OK20" s="19">
        <v>907.48</v>
      </c>
      <c r="OL20" s="17"/>
      <c r="OM20" s="19"/>
      <c r="ON20" s="72"/>
      <c r="OO20" s="24"/>
      <c r="OP20" s="16"/>
      <c r="OQ20" s="59"/>
      <c r="OR20" s="126"/>
      <c r="OS20" s="20">
        <v>13</v>
      </c>
      <c r="OT20" s="19">
        <v>962</v>
      </c>
      <c r="OU20" s="17"/>
      <c r="OV20" s="19"/>
      <c r="OW20" s="309"/>
      <c r="OX20" s="24"/>
      <c r="OY20" s="16"/>
      <c r="OZ20" s="59"/>
      <c r="PA20" s="126"/>
      <c r="PB20" s="20">
        <v>13</v>
      </c>
      <c r="PC20" s="19">
        <v>915.3</v>
      </c>
      <c r="PD20" s="17">
        <v>42308</v>
      </c>
      <c r="PE20" s="19">
        <v>915.3</v>
      </c>
      <c r="PF20" s="72" t="s">
        <v>793</v>
      </c>
      <c r="PG20" s="24">
        <v>29</v>
      </c>
      <c r="PH20" s="16"/>
      <c r="PI20" s="59"/>
      <c r="PJ20" s="126"/>
      <c r="PK20" s="20"/>
      <c r="PL20" s="19"/>
      <c r="PM20" s="17"/>
      <c r="PN20" s="19"/>
      <c r="PO20" s="72"/>
      <c r="PP20" s="24"/>
      <c r="PQ20" s="16"/>
      <c r="PR20" s="59"/>
      <c r="PS20" s="126"/>
      <c r="PT20" s="20"/>
      <c r="PU20" s="19"/>
      <c r="PV20" s="17"/>
      <c r="PW20" s="19"/>
      <c r="PX20" s="72"/>
      <c r="PY20" s="24"/>
      <c r="PZ20" s="16"/>
      <c r="QA20" s="59"/>
      <c r="QB20" s="126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>
        <v>13</v>
      </c>
      <c r="RN20" s="19"/>
      <c r="RO20" s="403"/>
      <c r="RP20" s="406"/>
      <c r="RQ20" s="404"/>
      <c r="RR20" s="405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Smithfield</v>
      </c>
      <c r="D21" s="125" t="str">
        <f>FJ5</f>
        <v>PED. 5004045</v>
      </c>
      <c r="E21" s="162">
        <f t="shared" si="17"/>
        <v>42290</v>
      </c>
      <c r="F21" s="77">
        <f t="shared" si="17"/>
        <v>19252.41</v>
      </c>
      <c r="G21" s="15">
        <f t="shared" si="17"/>
        <v>21</v>
      </c>
      <c r="H21" s="65">
        <f t="shared" si="17"/>
        <v>19165.89</v>
      </c>
      <c r="I21" s="18">
        <f t="shared" si="17"/>
        <v>86.520000000000437</v>
      </c>
      <c r="K21" s="59"/>
      <c r="L21" s="126"/>
      <c r="M21" s="20">
        <v>14</v>
      </c>
      <c r="N21" s="19">
        <v>886.8</v>
      </c>
      <c r="O21" s="339">
        <v>42278</v>
      </c>
      <c r="P21" s="226">
        <v>886.8</v>
      </c>
      <c r="Q21" s="340" t="s">
        <v>630</v>
      </c>
      <c r="R21" s="341">
        <v>30</v>
      </c>
      <c r="S21" s="16"/>
      <c r="T21" s="59"/>
      <c r="U21" s="126"/>
      <c r="V21" s="20">
        <v>14</v>
      </c>
      <c r="W21" s="19">
        <v>916.5</v>
      </c>
      <c r="X21" s="17">
        <v>42279</v>
      </c>
      <c r="Y21" s="19">
        <v>916.5</v>
      </c>
      <c r="Z21" s="72" t="s">
        <v>636</v>
      </c>
      <c r="AA21" s="24">
        <v>30</v>
      </c>
      <c r="AB21" s="16"/>
      <c r="AC21" s="59"/>
      <c r="AD21" s="126"/>
      <c r="AE21" s="20">
        <v>14</v>
      </c>
      <c r="AF21" s="19">
        <v>966</v>
      </c>
      <c r="AG21" s="17">
        <v>42280</v>
      </c>
      <c r="AH21" s="19">
        <v>966</v>
      </c>
      <c r="AI21" s="72" t="s">
        <v>642</v>
      </c>
      <c r="AJ21" s="24">
        <v>31</v>
      </c>
      <c r="AK21" s="16"/>
      <c r="AL21" s="59"/>
      <c r="AM21" s="126"/>
      <c r="AN21" s="20">
        <v>14</v>
      </c>
      <c r="AO21" s="19">
        <v>923.81</v>
      </c>
      <c r="AP21" s="17">
        <v>42280</v>
      </c>
      <c r="AQ21" s="19">
        <v>923.81</v>
      </c>
      <c r="AR21" s="72" t="s">
        <v>639</v>
      </c>
      <c r="AS21" s="24">
        <v>31</v>
      </c>
      <c r="AT21" s="16"/>
      <c r="AU21" s="59"/>
      <c r="AV21" s="175"/>
      <c r="AW21" s="20"/>
      <c r="AX21" s="19"/>
      <c r="AY21" s="110"/>
      <c r="AZ21" s="19"/>
      <c r="BA21" s="129"/>
      <c r="BB21" s="108"/>
      <c r="BC21" s="16"/>
      <c r="BD21" s="59"/>
      <c r="BE21" s="126"/>
      <c r="BF21" s="20">
        <v>14</v>
      </c>
      <c r="BG21" s="19">
        <v>898.6</v>
      </c>
      <c r="BH21" s="17">
        <v>42281</v>
      </c>
      <c r="BI21" s="19">
        <v>898.6</v>
      </c>
      <c r="BJ21" s="510" t="s">
        <v>644</v>
      </c>
      <c r="BK21" s="160">
        <v>31</v>
      </c>
      <c r="BL21" s="16"/>
      <c r="BM21" s="59"/>
      <c r="BN21" s="183"/>
      <c r="BO21" s="20">
        <v>14</v>
      </c>
      <c r="BP21" s="19">
        <v>953.29</v>
      </c>
      <c r="BQ21" s="17">
        <v>42283</v>
      </c>
      <c r="BR21" s="19">
        <v>953.29</v>
      </c>
      <c r="BS21" s="72" t="s">
        <v>655</v>
      </c>
      <c r="BT21" s="24">
        <v>31.5</v>
      </c>
      <c r="BU21" s="16"/>
      <c r="BV21" s="59"/>
      <c r="BW21" s="183"/>
      <c r="BX21" s="20">
        <v>14</v>
      </c>
      <c r="BY21" s="19">
        <v>937.87</v>
      </c>
      <c r="BZ21" s="17">
        <v>42283</v>
      </c>
      <c r="CA21" s="19">
        <v>937.87</v>
      </c>
      <c r="CB21" s="72" t="s">
        <v>652</v>
      </c>
      <c r="CC21" s="24">
        <v>31.5</v>
      </c>
      <c r="CD21" s="16"/>
      <c r="CE21" s="59"/>
      <c r="CF21" s="183"/>
      <c r="CG21" s="20">
        <v>14</v>
      </c>
      <c r="CH21" s="19">
        <v>904.76</v>
      </c>
      <c r="CI21" s="17">
        <v>42284</v>
      </c>
      <c r="CJ21" s="19">
        <v>904.76</v>
      </c>
      <c r="CK21" s="437" t="s">
        <v>660</v>
      </c>
      <c r="CL21" s="24">
        <v>31.5</v>
      </c>
      <c r="CM21" s="16"/>
      <c r="CN21" s="59"/>
      <c r="CO21" s="126"/>
      <c r="CP21" s="20">
        <v>14</v>
      </c>
      <c r="CQ21" s="19">
        <v>912.6</v>
      </c>
      <c r="CR21" s="17">
        <v>42285</v>
      </c>
      <c r="CS21" s="19">
        <v>912.6</v>
      </c>
      <c r="CT21" s="326" t="s">
        <v>664</v>
      </c>
      <c r="CU21" s="24">
        <v>31.5</v>
      </c>
      <c r="CV21" s="16"/>
      <c r="CW21" s="59"/>
      <c r="CX21" s="126"/>
      <c r="CY21" s="20">
        <v>14</v>
      </c>
      <c r="CZ21" s="202">
        <v>1041</v>
      </c>
      <c r="DA21" s="17">
        <v>42287</v>
      </c>
      <c r="DB21" s="202">
        <v>1041</v>
      </c>
      <c r="DC21" s="43" t="s">
        <v>671</v>
      </c>
      <c r="DD21" s="24">
        <v>32</v>
      </c>
      <c r="DE21" s="16"/>
      <c r="DF21" s="59"/>
      <c r="DG21" s="126"/>
      <c r="DH21" s="20">
        <v>14</v>
      </c>
      <c r="DI21" s="19">
        <v>909.9</v>
      </c>
      <c r="DJ21" s="17">
        <v>42286</v>
      </c>
      <c r="DK21" s="19">
        <v>909.9</v>
      </c>
      <c r="DL21" s="43" t="s">
        <v>668</v>
      </c>
      <c r="DM21" s="24">
        <v>32</v>
      </c>
      <c r="DN21" s="16"/>
      <c r="DO21" s="59"/>
      <c r="DP21" s="126"/>
      <c r="DQ21" s="20">
        <v>14</v>
      </c>
      <c r="DR21" s="30">
        <v>919.9</v>
      </c>
      <c r="DS21" s="58">
        <v>42287</v>
      </c>
      <c r="DT21" s="30">
        <v>919.9</v>
      </c>
      <c r="DU21" s="79" t="s">
        <v>672</v>
      </c>
      <c r="DV21" s="24">
        <v>32</v>
      </c>
      <c r="DW21" s="16"/>
      <c r="DX21" s="59"/>
      <c r="DY21" s="126"/>
      <c r="DZ21" s="20">
        <v>14</v>
      </c>
      <c r="EA21" s="30">
        <v>953.29</v>
      </c>
      <c r="EB21" s="58">
        <v>42290</v>
      </c>
      <c r="EC21" s="30">
        <v>953.29</v>
      </c>
      <c r="ED21" s="79" t="s">
        <v>685</v>
      </c>
      <c r="EE21" s="24">
        <v>30.3</v>
      </c>
      <c r="EF21" s="16"/>
      <c r="EG21" s="59"/>
      <c r="EH21" s="126"/>
      <c r="EI21" s="20">
        <v>14</v>
      </c>
      <c r="EJ21" s="19">
        <v>968</v>
      </c>
      <c r="EK21" s="17">
        <v>42289</v>
      </c>
      <c r="EL21" s="19">
        <v>968</v>
      </c>
      <c r="EM21" s="43" t="s">
        <v>676</v>
      </c>
      <c r="EN21" s="24">
        <v>32</v>
      </c>
      <c r="EO21" s="16"/>
      <c r="EP21" s="59"/>
      <c r="EQ21" s="126"/>
      <c r="ER21" s="20">
        <v>14</v>
      </c>
      <c r="ES21" s="19">
        <v>889</v>
      </c>
      <c r="ET21" s="17">
        <v>42289</v>
      </c>
      <c r="EU21" s="19">
        <v>889</v>
      </c>
      <c r="EV21" s="79" t="s">
        <v>678</v>
      </c>
      <c r="EW21" s="24">
        <v>32</v>
      </c>
      <c r="EX21" s="16"/>
      <c r="EY21" s="59"/>
      <c r="EZ21" s="126"/>
      <c r="FA21" s="20">
        <v>14</v>
      </c>
      <c r="FB21" s="19">
        <v>922</v>
      </c>
      <c r="FC21" s="17">
        <v>42290</v>
      </c>
      <c r="FD21" s="19">
        <v>922</v>
      </c>
      <c r="FE21" s="43" t="s">
        <v>689</v>
      </c>
      <c r="FF21" s="24">
        <v>32.5</v>
      </c>
      <c r="FG21" s="16"/>
      <c r="FH21" s="59"/>
      <c r="FI21" s="126"/>
      <c r="FJ21" s="20">
        <v>14</v>
      </c>
      <c r="FK21" s="30">
        <v>944.67</v>
      </c>
      <c r="FL21" s="58">
        <v>42290</v>
      </c>
      <c r="FM21" s="30">
        <v>944.67</v>
      </c>
      <c r="FN21" s="79" t="s">
        <v>691</v>
      </c>
      <c r="FO21" s="24">
        <v>32.5</v>
      </c>
      <c r="FP21" s="16"/>
      <c r="FQ21" s="59"/>
      <c r="FR21" s="126"/>
      <c r="FS21" s="20">
        <v>14</v>
      </c>
      <c r="FT21" s="30">
        <v>962.36</v>
      </c>
      <c r="FU21" s="58">
        <v>42291</v>
      </c>
      <c r="FV21" s="30">
        <v>962.36</v>
      </c>
      <c r="FW21" s="79" t="s">
        <v>697</v>
      </c>
      <c r="FX21" s="24">
        <v>32.5</v>
      </c>
      <c r="FY21" s="16"/>
      <c r="FZ21" s="59"/>
      <c r="GA21" s="126"/>
      <c r="GB21" s="20">
        <v>14</v>
      </c>
      <c r="GC21" s="19">
        <v>898.1</v>
      </c>
      <c r="GD21" s="17">
        <v>42291</v>
      </c>
      <c r="GE21" s="19">
        <v>898.1</v>
      </c>
      <c r="GF21" s="360" t="s">
        <v>693</v>
      </c>
      <c r="GG21" s="24">
        <v>32.5</v>
      </c>
      <c r="GH21" s="16"/>
      <c r="GI21" s="135"/>
      <c r="GJ21" s="126"/>
      <c r="GK21" s="20">
        <v>14</v>
      </c>
      <c r="GL21" s="19">
        <v>926.2</v>
      </c>
      <c r="GM21" s="17">
        <v>42292</v>
      </c>
      <c r="GN21" s="19">
        <v>926.2</v>
      </c>
      <c r="GO21" s="72" t="s">
        <v>702</v>
      </c>
      <c r="GP21" s="24">
        <v>32.5</v>
      </c>
      <c r="GQ21" s="16"/>
      <c r="GR21" s="59"/>
      <c r="GS21" s="126"/>
      <c r="GT21" s="20">
        <v>14</v>
      </c>
      <c r="GU21" s="19">
        <v>927.1</v>
      </c>
      <c r="GV21" s="17">
        <v>42293</v>
      </c>
      <c r="GW21" s="19">
        <v>927.1</v>
      </c>
      <c r="GX21" s="72" t="s">
        <v>704</v>
      </c>
      <c r="GY21" s="24">
        <v>32.5</v>
      </c>
      <c r="GZ21" s="16"/>
      <c r="HA21" s="59"/>
      <c r="HB21" s="126"/>
      <c r="HC21" s="20">
        <v>14</v>
      </c>
      <c r="HD21" s="19">
        <v>925.8</v>
      </c>
      <c r="HE21" s="17">
        <v>42293</v>
      </c>
      <c r="HF21" s="19">
        <v>925.8</v>
      </c>
      <c r="HG21" s="72" t="s">
        <v>714</v>
      </c>
      <c r="HH21" s="24">
        <v>33</v>
      </c>
      <c r="HI21" s="16"/>
      <c r="HJ21" s="135"/>
      <c r="HK21" s="126"/>
      <c r="HL21" s="20">
        <v>14</v>
      </c>
      <c r="HM21" s="19">
        <v>907.6</v>
      </c>
      <c r="HN21" s="17">
        <v>42293</v>
      </c>
      <c r="HO21" s="19">
        <v>907.6</v>
      </c>
      <c r="HP21" s="72" t="s">
        <v>716</v>
      </c>
      <c r="HQ21" s="24">
        <v>33</v>
      </c>
      <c r="HR21" s="16"/>
      <c r="HS21" s="135"/>
      <c r="HT21" s="126"/>
      <c r="HU21" s="20">
        <v>14</v>
      </c>
      <c r="HV21" s="19">
        <v>974</v>
      </c>
      <c r="HW21" s="17">
        <v>42294</v>
      </c>
      <c r="HX21" s="19">
        <v>974</v>
      </c>
      <c r="HY21" s="72" t="s">
        <v>720</v>
      </c>
      <c r="HZ21" s="24">
        <v>33</v>
      </c>
      <c r="IA21" s="16"/>
      <c r="IB21" s="135"/>
      <c r="IC21" s="126"/>
      <c r="ID21" s="20">
        <v>14</v>
      </c>
      <c r="IE21" s="19">
        <v>909</v>
      </c>
      <c r="IF21" s="17">
        <v>42296</v>
      </c>
      <c r="IG21" s="19">
        <v>909</v>
      </c>
      <c r="IH21" s="72" t="s">
        <v>724</v>
      </c>
      <c r="II21" s="24">
        <v>33.5</v>
      </c>
      <c r="IJ21" s="16"/>
      <c r="IK21" s="59"/>
      <c r="IL21" s="126"/>
      <c r="IM21" s="20">
        <v>14</v>
      </c>
      <c r="IN21" s="19">
        <v>915.18</v>
      </c>
      <c r="IO21" s="17">
        <v>42297</v>
      </c>
      <c r="IP21" s="19">
        <v>915.18</v>
      </c>
      <c r="IQ21" s="72" t="s">
        <v>726</v>
      </c>
      <c r="IR21" s="24">
        <v>32.07</v>
      </c>
      <c r="IS21" s="16"/>
      <c r="IT21" s="59"/>
      <c r="IU21" s="126"/>
      <c r="IV21" s="20">
        <v>14</v>
      </c>
      <c r="IW21" s="19">
        <v>869</v>
      </c>
      <c r="IX21" s="110">
        <v>42296</v>
      </c>
      <c r="IY21" s="19">
        <v>869</v>
      </c>
      <c r="IZ21" s="129" t="s">
        <v>723</v>
      </c>
      <c r="JA21" s="108">
        <v>33.5</v>
      </c>
      <c r="JB21" s="16"/>
      <c r="JC21" s="59"/>
      <c r="JD21" s="126"/>
      <c r="JE21" s="20">
        <v>14</v>
      </c>
      <c r="JF21" s="19">
        <v>1030</v>
      </c>
      <c r="JG21" s="17">
        <v>42298</v>
      </c>
      <c r="JH21" s="19">
        <v>1030</v>
      </c>
      <c r="JI21" s="510" t="s">
        <v>733</v>
      </c>
      <c r="JJ21" s="24">
        <v>33.5</v>
      </c>
      <c r="JK21" s="16"/>
      <c r="JL21" s="59"/>
      <c r="JM21" s="207"/>
      <c r="JN21" s="20">
        <v>14</v>
      </c>
      <c r="JO21" s="19">
        <v>1015</v>
      </c>
      <c r="JP21" s="17">
        <v>42299</v>
      </c>
      <c r="JQ21" s="19">
        <v>1015</v>
      </c>
      <c r="JR21" s="72" t="s">
        <v>735</v>
      </c>
      <c r="JS21" s="24">
        <v>33.5</v>
      </c>
      <c r="JT21" s="16"/>
      <c r="JU21" s="59"/>
      <c r="JV21" s="276"/>
      <c r="JW21" s="20">
        <v>14</v>
      </c>
      <c r="JX21" s="19">
        <v>885.71</v>
      </c>
      <c r="JY21" s="17">
        <v>42297</v>
      </c>
      <c r="JZ21" s="19">
        <v>885.71</v>
      </c>
      <c r="KA21" s="72" t="s">
        <v>730</v>
      </c>
      <c r="KB21" s="24">
        <v>33.5</v>
      </c>
      <c r="KC21" s="16"/>
      <c r="KD21" s="59"/>
      <c r="KE21" s="126"/>
      <c r="KF21" s="20">
        <v>14</v>
      </c>
      <c r="KG21" s="202">
        <v>908.39</v>
      </c>
      <c r="KH21" s="110">
        <v>42299</v>
      </c>
      <c r="KI21" s="202">
        <v>908.39</v>
      </c>
      <c r="KJ21" s="129" t="s">
        <v>742</v>
      </c>
      <c r="KK21" s="108">
        <v>33.5</v>
      </c>
      <c r="KL21" s="16"/>
      <c r="KM21" s="59"/>
      <c r="KN21" s="126"/>
      <c r="KO21" s="20">
        <v>14</v>
      </c>
      <c r="KP21" s="202">
        <v>941.95</v>
      </c>
      <c r="KQ21" s="17">
        <v>42300</v>
      </c>
      <c r="KR21" s="202">
        <v>941.95</v>
      </c>
      <c r="KS21" s="72" t="s">
        <v>746</v>
      </c>
      <c r="KT21" s="24">
        <v>33.5</v>
      </c>
      <c r="KU21" s="16"/>
      <c r="KV21" s="59"/>
      <c r="KW21" s="126"/>
      <c r="KX21" s="20">
        <v>14</v>
      </c>
      <c r="KY21" s="19">
        <v>923.5</v>
      </c>
      <c r="KZ21" s="17">
        <v>42301</v>
      </c>
      <c r="LA21" s="19">
        <v>923.5</v>
      </c>
      <c r="LB21" s="72" t="s">
        <v>749</v>
      </c>
      <c r="LC21" s="24">
        <v>33.5</v>
      </c>
      <c r="LD21" s="16"/>
      <c r="LE21" s="59"/>
      <c r="LF21" s="126"/>
      <c r="LG21" s="20">
        <v>14</v>
      </c>
      <c r="LH21" s="202">
        <v>926.2</v>
      </c>
      <c r="LI21" s="17">
        <v>42301</v>
      </c>
      <c r="LJ21" s="202">
        <v>926.2</v>
      </c>
      <c r="LK21" s="72" t="s">
        <v>753</v>
      </c>
      <c r="LL21" s="24">
        <v>33.5</v>
      </c>
      <c r="LM21" s="16"/>
      <c r="LN21" s="59"/>
      <c r="LO21" s="126"/>
      <c r="LP21" s="20">
        <v>14</v>
      </c>
      <c r="LQ21" s="19">
        <v>889.8</v>
      </c>
      <c r="LR21" s="17">
        <v>42303</v>
      </c>
      <c r="LS21" s="19">
        <v>889.8</v>
      </c>
      <c r="LT21" s="72" t="s">
        <v>762</v>
      </c>
      <c r="LU21" s="24">
        <v>32.5</v>
      </c>
      <c r="LV21" s="16"/>
      <c r="LW21" s="59"/>
      <c r="LX21" s="126"/>
      <c r="LY21" s="20">
        <v>14</v>
      </c>
      <c r="LZ21" s="179">
        <v>921.2</v>
      </c>
      <c r="MA21" s="17">
        <v>42303</v>
      </c>
      <c r="MB21" s="19">
        <v>921.2</v>
      </c>
      <c r="MC21" s="510" t="s">
        <v>764</v>
      </c>
      <c r="MD21" s="24">
        <v>32.5</v>
      </c>
      <c r="ME21" s="16"/>
      <c r="MF21" s="59"/>
      <c r="MG21" s="126"/>
      <c r="MH21" s="20">
        <v>14</v>
      </c>
      <c r="MI21" s="19">
        <v>898.41</v>
      </c>
      <c r="MJ21" s="17">
        <v>42304</v>
      </c>
      <c r="MK21" s="19">
        <v>898.41</v>
      </c>
      <c r="ML21" s="72" t="s">
        <v>767</v>
      </c>
      <c r="MM21" s="24">
        <v>31</v>
      </c>
      <c r="MN21" s="16"/>
      <c r="MO21" s="59"/>
      <c r="MP21" s="126"/>
      <c r="MQ21" s="20">
        <v>14</v>
      </c>
      <c r="MR21" s="19">
        <v>918.37</v>
      </c>
      <c r="MS21" s="17">
        <v>42305</v>
      </c>
      <c r="MT21" s="19">
        <v>918.37</v>
      </c>
      <c r="MU21" s="72" t="s">
        <v>769</v>
      </c>
      <c r="MV21" s="24">
        <v>31</v>
      </c>
      <c r="MW21" s="16"/>
      <c r="MX21" s="59"/>
      <c r="MY21" s="126"/>
      <c r="MZ21" s="20">
        <v>14</v>
      </c>
      <c r="NA21" s="19">
        <v>910.2</v>
      </c>
      <c r="NB21" s="17">
        <v>42305</v>
      </c>
      <c r="NC21" s="19">
        <v>910.2</v>
      </c>
      <c r="ND21" s="72" t="s">
        <v>773</v>
      </c>
      <c r="NE21" s="24">
        <v>31</v>
      </c>
      <c r="NF21" s="16"/>
      <c r="NG21" s="59"/>
      <c r="NH21" s="126"/>
      <c r="NI21" s="20">
        <v>14</v>
      </c>
      <c r="NJ21" s="19">
        <v>916.7</v>
      </c>
      <c r="NK21" s="17">
        <v>42306</v>
      </c>
      <c r="NL21" s="19">
        <v>916.7</v>
      </c>
      <c r="NM21" s="309" t="s">
        <v>779</v>
      </c>
      <c r="NN21" s="24">
        <v>30</v>
      </c>
      <c r="NO21" s="16"/>
      <c r="NP21" s="59"/>
      <c r="NQ21" s="126"/>
      <c r="NR21" s="20">
        <v>14</v>
      </c>
      <c r="NS21" s="19">
        <v>902.6</v>
      </c>
      <c r="NT21" s="17">
        <v>42307</v>
      </c>
      <c r="NU21" s="19">
        <v>902.6</v>
      </c>
      <c r="NV21" s="72" t="s">
        <v>784</v>
      </c>
      <c r="NW21" s="24">
        <v>30</v>
      </c>
      <c r="NX21" s="16"/>
      <c r="NY21" s="59"/>
      <c r="NZ21" s="126"/>
      <c r="OA21" s="20">
        <v>14</v>
      </c>
      <c r="OB21" s="19">
        <v>917.46</v>
      </c>
      <c r="OC21" s="17">
        <v>42307</v>
      </c>
      <c r="OD21" s="19">
        <v>917.46</v>
      </c>
      <c r="OE21" s="72" t="s">
        <v>782</v>
      </c>
      <c r="OF21" s="24">
        <v>30</v>
      </c>
      <c r="OG21" s="16"/>
      <c r="OH21" s="59"/>
      <c r="OI21" s="126"/>
      <c r="OJ21" s="20">
        <v>14</v>
      </c>
      <c r="OK21" s="19">
        <v>914.29</v>
      </c>
      <c r="OL21" s="17"/>
      <c r="OM21" s="19"/>
      <c r="ON21" s="72"/>
      <c r="OO21" s="24"/>
      <c r="OP21" s="16"/>
      <c r="OQ21" s="59"/>
      <c r="OR21" s="126"/>
      <c r="OS21" s="20">
        <v>14</v>
      </c>
      <c r="OT21" s="19">
        <v>981</v>
      </c>
      <c r="OU21" s="17"/>
      <c r="OV21" s="19"/>
      <c r="OW21" s="309"/>
      <c r="OX21" s="24"/>
      <c r="OY21" s="16"/>
      <c r="OZ21" s="59"/>
      <c r="PA21" s="126"/>
      <c r="PB21" s="20">
        <v>14</v>
      </c>
      <c r="PC21" s="19">
        <v>913.1</v>
      </c>
      <c r="PD21" s="17">
        <v>42308</v>
      </c>
      <c r="PE21" s="19">
        <v>913.1</v>
      </c>
      <c r="PF21" s="72" t="s">
        <v>793</v>
      </c>
      <c r="PG21" s="24">
        <v>29</v>
      </c>
      <c r="PH21" s="16"/>
      <c r="PI21" s="59"/>
      <c r="PJ21" s="126"/>
      <c r="PK21" s="20"/>
      <c r="PL21" s="19"/>
      <c r="PM21" s="17"/>
      <c r="PN21" s="19"/>
      <c r="PO21" s="72"/>
      <c r="PP21" s="24"/>
      <c r="PQ21" s="16"/>
      <c r="PR21" s="59"/>
      <c r="PS21" s="126"/>
      <c r="PT21" s="20"/>
      <c r="PU21" s="19"/>
      <c r="PV21" s="17"/>
      <c r="PW21" s="19"/>
      <c r="PX21" s="72"/>
      <c r="PY21" s="24"/>
      <c r="PZ21" s="16"/>
      <c r="QA21" s="59"/>
      <c r="QB21" s="126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>
        <v>14</v>
      </c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Smithfield</v>
      </c>
      <c r="D22" s="74" t="str">
        <f t="shared" si="18"/>
        <v>PED. 5004060</v>
      </c>
      <c r="E22" s="162">
        <f t="shared" si="18"/>
        <v>42291</v>
      </c>
      <c r="F22" s="77">
        <f t="shared" si="18"/>
        <v>18452.419999999998</v>
      </c>
      <c r="G22" s="15">
        <f t="shared" si="18"/>
        <v>20</v>
      </c>
      <c r="H22" s="65">
        <f t="shared" si="18"/>
        <v>18479.37</v>
      </c>
      <c r="I22" s="18">
        <f t="shared" si="18"/>
        <v>-26.950000000000728</v>
      </c>
      <c r="K22" s="59"/>
      <c r="L22" s="126"/>
      <c r="M22" s="20">
        <v>15</v>
      </c>
      <c r="N22" s="19">
        <v>902.6</v>
      </c>
      <c r="O22" s="339">
        <v>42278</v>
      </c>
      <c r="P22" s="226">
        <v>902.6</v>
      </c>
      <c r="Q22" s="340" t="s">
        <v>630</v>
      </c>
      <c r="R22" s="341">
        <v>30</v>
      </c>
      <c r="S22" s="16"/>
      <c r="T22" s="59"/>
      <c r="U22" s="126"/>
      <c r="V22" s="20">
        <v>15</v>
      </c>
      <c r="W22" s="19">
        <v>927.1</v>
      </c>
      <c r="X22" s="17">
        <v>42279</v>
      </c>
      <c r="Y22" s="19">
        <v>927.1</v>
      </c>
      <c r="Z22" s="72" t="s">
        <v>636</v>
      </c>
      <c r="AA22" s="24">
        <v>30</v>
      </c>
      <c r="AB22" s="16"/>
      <c r="AC22" s="59"/>
      <c r="AD22" s="126"/>
      <c r="AE22" s="20">
        <v>15</v>
      </c>
      <c r="AF22" s="19">
        <v>974</v>
      </c>
      <c r="AG22" s="17">
        <v>42280</v>
      </c>
      <c r="AH22" s="19">
        <v>974</v>
      </c>
      <c r="AI22" s="72" t="s">
        <v>642</v>
      </c>
      <c r="AJ22" s="24">
        <v>31</v>
      </c>
      <c r="AK22" s="16"/>
      <c r="AL22" s="59"/>
      <c r="AM22" s="126"/>
      <c r="AN22" s="20">
        <v>15</v>
      </c>
      <c r="AO22" s="19">
        <v>929.71</v>
      </c>
      <c r="AP22" s="17">
        <v>42280</v>
      </c>
      <c r="AQ22" s="19">
        <v>929.71</v>
      </c>
      <c r="AR22" s="72" t="s">
        <v>639</v>
      </c>
      <c r="AS22" s="24">
        <v>31</v>
      </c>
      <c r="AT22" s="16"/>
      <c r="AU22" s="59"/>
      <c r="AV22" s="175"/>
      <c r="AW22" s="20"/>
      <c r="AX22" s="19"/>
      <c r="AY22" s="110"/>
      <c r="AZ22" s="19"/>
      <c r="BA22" s="129"/>
      <c r="BB22" s="108"/>
      <c r="BC22" s="16"/>
      <c r="BD22" s="59"/>
      <c r="BE22" s="126"/>
      <c r="BF22" s="20">
        <v>15</v>
      </c>
      <c r="BG22" s="19">
        <v>916.3</v>
      </c>
      <c r="BH22" s="17">
        <v>42281</v>
      </c>
      <c r="BI22" s="19">
        <v>916.3</v>
      </c>
      <c r="BJ22" s="510" t="s">
        <v>644</v>
      </c>
      <c r="BK22" s="160">
        <v>31</v>
      </c>
      <c r="BL22" s="16"/>
      <c r="BM22" s="59"/>
      <c r="BN22" s="183"/>
      <c r="BO22" s="20">
        <v>15</v>
      </c>
      <c r="BP22" s="19">
        <v>918.82</v>
      </c>
      <c r="BQ22" s="17">
        <v>42283</v>
      </c>
      <c r="BR22" s="19">
        <v>918.82</v>
      </c>
      <c r="BS22" s="72" t="s">
        <v>655</v>
      </c>
      <c r="BT22" s="24">
        <v>31.5</v>
      </c>
      <c r="BU22" s="16"/>
      <c r="BV22" s="59"/>
      <c r="BW22" s="183"/>
      <c r="BX22" s="20">
        <v>15</v>
      </c>
      <c r="BY22" s="19">
        <v>936.96</v>
      </c>
      <c r="BZ22" s="17">
        <v>42283</v>
      </c>
      <c r="CA22" s="19">
        <v>936.96</v>
      </c>
      <c r="CB22" s="72" t="s">
        <v>652</v>
      </c>
      <c r="CC22" s="24">
        <v>31.5</v>
      </c>
      <c r="CD22" s="16"/>
      <c r="CE22" s="59"/>
      <c r="CF22" s="183"/>
      <c r="CG22" s="20">
        <v>15</v>
      </c>
      <c r="CH22" s="19">
        <v>931.07</v>
      </c>
      <c r="CI22" s="17">
        <v>42284</v>
      </c>
      <c r="CJ22" s="19">
        <v>931.07</v>
      </c>
      <c r="CK22" s="437" t="s">
        <v>660</v>
      </c>
      <c r="CL22" s="24">
        <v>31.5</v>
      </c>
      <c r="CM22" s="16"/>
      <c r="CN22" s="59"/>
      <c r="CO22" s="126"/>
      <c r="CP22" s="20">
        <v>15</v>
      </c>
      <c r="CQ22" s="19">
        <v>928.5</v>
      </c>
      <c r="CR22" s="17">
        <v>42285</v>
      </c>
      <c r="CS22" s="19">
        <v>928.5</v>
      </c>
      <c r="CT22" s="326" t="s">
        <v>664</v>
      </c>
      <c r="CU22" s="24">
        <v>31.5</v>
      </c>
      <c r="CV22" s="16"/>
      <c r="CW22" s="59"/>
      <c r="CX22" s="126"/>
      <c r="CY22" s="20">
        <v>15</v>
      </c>
      <c r="CZ22" s="202">
        <v>973</v>
      </c>
      <c r="DA22" s="17">
        <v>42287</v>
      </c>
      <c r="DB22" s="202">
        <v>973</v>
      </c>
      <c r="DC22" s="43" t="s">
        <v>671</v>
      </c>
      <c r="DD22" s="24">
        <v>32</v>
      </c>
      <c r="DE22" s="16"/>
      <c r="DF22" s="59"/>
      <c r="DG22" s="126"/>
      <c r="DH22" s="20">
        <v>15</v>
      </c>
      <c r="DI22" s="19">
        <v>944.4</v>
      </c>
      <c r="DJ22" s="17">
        <v>42286</v>
      </c>
      <c r="DK22" s="19">
        <v>944.4</v>
      </c>
      <c r="DL22" s="43" t="s">
        <v>668</v>
      </c>
      <c r="DM22" s="24">
        <v>32</v>
      </c>
      <c r="DN22" s="16"/>
      <c r="DO22" s="59"/>
      <c r="DP22" s="126"/>
      <c r="DQ22" s="20">
        <v>15</v>
      </c>
      <c r="DR22" s="30">
        <v>924</v>
      </c>
      <c r="DS22" s="58">
        <v>42287</v>
      </c>
      <c r="DT22" s="30">
        <v>924</v>
      </c>
      <c r="DU22" s="79" t="s">
        <v>672</v>
      </c>
      <c r="DV22" s="24">
        <v>32</v>
      </c>
      <c r="DW22" s="16"/>
      <c r="DX22" s="59"/>
      <c r="DY22" s="126"/>
      <c r="DZ22" s="20">
        <v>15</v>
      </c>
      <c r="EA22" s="30">
        <v>963.72</v>
      </c>
      <c r="EB22" s="58">
        <v>42290</v>
      </c>
      <c r="EC22" s="30">
        <v>963.72</v>
      </c>
      <c r="ED22" s="79" t="s">
        <v>685</v>
      </c>
      <c r="EE22" s="24">
        <v>30.3</v>
      </c>
      <c r="EF22" s="16"/>
      <c r="EG22" s="59"/>
      <c r="EH22" s="126"/>
      <c r="EI22" s="20">
        <v>15</v>
      </c>
      <c r="EJ22" s="19">
        <v>966</v>
      </c>
      <c r="EK22" s="17">
        <v>42289</v>
      </c>
      <c r="EL22" s="19">
        <v>966</v>
      </c>
      <c r="EM22" s="43" t="s">
        <v>676</v>
      </c>
      <c r="EN22" s="24">
        <v>32</v>
      </c>
      <c r="EO22" s="16"/>
      <c r="EP22" s="59"/>
      <c r="EQ22" s="126"/>
      <c r="ER22" s="20">
        <v>15</v>
      </c>
      <c r="ES22" s="19">
        <v>904</v>
      </c>
      <c r="ET22" s="17">
        <v>42289</v>
      </c>
      <c r="EU22" s="19">
        <v>904</v>
      </c>
      <c r="EV22" s="79" t="s">
        <v>678</v>
      </c>
      <c r="EW22" s="24">
        <v>32</v>
      </c>
      <c r="EX22" s="16"/>
      <c r="EY22" s="59"/>
      <c r="EZ22" s="126"/>
      <c r="FA22" s="20">
        <v>15</v>
      </c>
      <c r="FB22" s="19">
        <v>956.92</v>
      </c>
      <c r="FC22" s="17">
        <v>42290</v>
      </c>
      <c r="FD22" s="19">
        <v>956.92</v>
      </c>
      <c r="FE22" s="43" t="s">
        <v>689</v>
      </c>
      <c r="FF22" s="24">
        <v>32.5</v>
      </c>
      <c r="FG22" s="16"/>
      <c r="FH22" s="59"/>
      <c r="FI22" s="126"/>
      <c r="FJ22" s="20">
        <v>15</v>
      </c>
      <c r="FK22" s="30">
        <v>943.31</v>
      </c>
      <c r="FL22" s="58">
        <v>42290</v>
      </c>
      <c r="FM22" s="30">
        <v>943.31</v>
      </c>
      <c r="FN22" s="79" t="s">
        <v>691</v>
      </c>
      <c r="FO22" s="24">
        <v>32.5</v>
      </c>
      <c r="FP22" s="16"/>
      <c r="FQ22" s="59"/>
      <c r="FR22" s="126"/>
      <c r="FS22" s="20">
        <v>15</v>
      </c>
      <c r="FT22" s="30">
        <v>952.38</v>
      </c>
      <c r="FU22" s="58">
        <v>42291</v>
      </c>
      <c r="FV22" s="30">
        <v>952.38</v>
      </c>
      <c r="FW22" s="79" t="s">
        <v>697</v>
      </c>
      <c r="FX22" s="24">
        <v>32.5</v>
      </c>
      <c r="FY22" s="16"/>
      <c r="FZ22" s="59"/>
      <c r="GA22" s="126"/>
      <c r="GB22" s="20">
        <v>15</v>
      </c>
      <c r="GC22" s="19">
        <v>927.6</v>
      </c>
      <c r="GD22" s="17">
        <v>42291</v>
      </c>
      <c r="GE22" s="19">
        <v>927.6</v>
      </c>
      <c r="GF22" s="360" t="s">
        <v>693</v>
      </c>
      <c r="GG22" s="24">
        <v>32.5</v>
      </c>
      <c r="GH22" s="16"/>
      <c r="GI22" s="135"/>
      <c r="GJ22" s="126"/>
      <c r="GK22" s="20">
        <v>15</v>
      </c>
      <c r="GL22" s="19">
        <v>920.8</v>
      </c>
      <c r="GM22" s="17">
        <v>42292</v>
      </c>
      <c r="GN22" s="19">
        <v>920.8</v>
      </c>
      <c r="GO22" s="72" t="s">
        <v>702</v>
      </c>
      <c r="GP22" s="24">
        <v>32.5</v>
      </c>
      <c r="GQ22" s="16"/>
      <c r="GR22" s="59"/>
      <c r="GS22" s="126"/>
      <c r="GT22" s="20">
        <v>15</v>
      </c>
      <c r="GU22" s="19">
        <v>915.3</v>
      </c>
      <c r="GV22" s="17">
        <v>42293</v>
      </c>
      <c r="GW22" s="19">
        <v>915.3</v>
      </c>
      <c r="GX22" s="72" t="s">
        <v>704</v>
      </c>
      <c r="GY22" s="24">
        <v>32.5</v>
      </c>
      <c r="GZ22" s="16"/>
      <c r="HA22" s="59"/>
      <c r="HB22" s="126"/>
      <c r="HC22" s="20">
        <v>15</v>
      </c>
      <c r="HD22" s="19">
        <v>916.3</v>
      </c>
      <c r="HE22" s="17">
        <v>42293</v>
      </c>
      <c r="HF22" s="19">
        <v>916.3</v>
      </c>
      <c r="HG22" s="72" t="s">
        <v>714</v>
      </c>
      <c r="HH22" s="24">
        <v>33</v>
      </c>
      <c r="HI22" s="16"/>
      <c r="HJ22" s="135"/>
      <c r="HK22" s="126"/>
      <c r="HL22" s="20">
        <v>15</v>
      </c>
      <c r="HM22" s="19">
        <v>921.7</v>
      </c>
      <c r="HN22" s="17">
        <v>42293</v>
      </c>
      <c r="HO22" s="19">
        <v>921.7</v>
      </c>
      <c r="HP22" s="72" t="s">
        <v>716</v>
      </c>
      <c r="HQ22" s="24">
        <v>33</v>
      </c>
      <c r="HR22" s="16"/>
      <c r="HS22" s="135"/>
      <c r="HT22" s="126"/>
      <c r="HU22" s="20">
        <v>15</v>
      </c>
      <c r="HV22" s="19">
        <v>1002</v>
      </c>
      <c r="HW22" s="17">
        <v>42294</v>
      </c>
      <c r="HX22" s="19">
        <v>1002</v>
      </c>
      <c r="HY22" s="72" t="s">
        <v>720</v>
      </c>
      <c r="HZ22" s="24">
        <v>33</v>
      </c>
      <c r="IA22" s="16"/>
      <c r="IB22" s="135"/>
      <c r="IC22" s="126"/>
      <c r="ID22" s="20">
        <v>15</v>
      </c>
      <c r="IE22" s="19">
        <v>889.5</v>
      </c>
      <c r="IF22" s="17">
        <v>42296</v>
      </c>
      <c r="IG22" s="19">
        <v>889.5</v>
      </c>
      <c r="IH22" s="72" t="s">
        <v>724</v>
      </c>
      <c r="II22" s="24">
        <v>33.5</v>
      </c>
      <c r="IJ22" s="16"/>
      <c r="IK22" s="59"/>
      <c r="IL22" s="126"/>
      <c r="IM22" s="20">
        <v>15</v>
      </c>
      <c r="IN22" s="19">
        <v>919.57</v>
      </c>
      <c r="IO22" s="17">
        <v>42297</v>
      </c>
      <c r="IP22" s="19">
        <v>919.57</v>
      </c>
      <c r="IQ22" s="72" t="s">
        <v>726</v>
      </c>
      <c r="IR22" s="24">
        <v>32.07</v>
      </c>
      <c r="IS22" s="16"/>
      <c r="IT22" s="59"/>
      <c r="IU22" s="126"/>
      <c r="IV22" s="20">
        <v>15</v>
      </c>
      <c r="IW22" s="19">
        <v>904.9</v>
      </c>
      <c r="IX22" s="110">
        <v>42296</v>
      </c>
      <c r="IY22" s="19">
        <v>904.9</v>
      </c>
      <c r="IZ22" s="129" t="s">
        <v>723</v>
      </c>
      <c r="JA22" s="108">
        <v>33.5</v>
      </c>
      <c r="JB22" s="16"/>
      <c r="JC22" s="59"/>
      <c r="JD22" s="126"/>
      <c r="JE22" s="20">
        <v>15</v>
      </c>
      <c r="JF22" s="19">
        <v>1043</v>
      </c>
      <c r="JG22" s="17">
        <v>42298</v>
      </c>
      <c r="JH22" s="19">
        <v>1043</v>
      </c>
      <c r="JI22" s="510" t="s">
        <v>733</v>
      </c>
      <c r="JJ22" s="24">
        <v>33.5</v>
      </c>
      <c r="JK22" s="16"/>
      <c r="JL22" s="59"/>
      <c r="JM22" s="207"/>
      <c r="JN22" s="20">
        <v>15</v>
      </c>
      <c r="JO22" s="19">
        <v>974</v>
      </c>
      <c r="JP22" s="17">
        <v>42298</v>
      </c>
      <c r="JQ22" s="19">
        <v>974</v>
      </c>
      <c r="JR22" s="72" t="s">
        <v>734</v>
      </c>
      <c r="JS22" s="24">
        <v>33.5</v>
      </c>
      <c r="JT22" s="16"/>
      <c r="JU22" s="59"/>
      <c r="JV22" s="126"/>
      <c r="JW22" s="20">
        <v>15</v>
      </c>
      <c r="JX22" s="19">
        <v>944.67</v>
      </c>
      <c r="JY22" s="17">
        <v>42297</v>
      </c>
      <c r="JZ22" s="19">
        <v>944.67</v>
      </c>
      <c r="KA22" s="72" t="s">
        <v>730</v>
      </c>
      <c r="KB22" s="24">
        <v>33.5</v>
      </c>
      <c r="KC22" s="16"/>
      <c r="KD22" s="59"/>
      <c r="KE22" s="126"/>
      <c r="KF22" s="20">
        <v>15</v>
      </c>
      <c r="KG22" s="202">
        <v>890.25</v>
      </c>
      <c r="KH22" s="110">
        <v>42299</v>
      </c>
      <c r="KI22" s="202">
        <v>890.25</v>
      </c>
      <c r="KJ22" s="129" t="s">
        <v>738</v>
      </c>
      <c r="KK22" s="108">
        <v>33.5</v>
      </c>
      <c r="KL22" s="16"/>
      <c r="KM22" s="59"/>
      <c r="KN22" s="126"/>
      <c r="KO22" s="20">
        <v>15</v>
      </c>
      <c r="KP22" s="202">
        <v>890.7</v>
      </c>
      <c r="KQ22" s="17">
        <v>42299</v>
      </c>
      <c r="KR22" s="202">
        <v>890.7</v>
      </c>
      <c r="KS22" s="72" t="s">
        <v>742</v>
      </c>
      <c r="KT22" s="24">
        <v>33.5</v>
      </c>
      <c r="KU22" s="16"/>
      <c r="KV22" s="59"/>
      <c r="KW22" s="126"/>
      <c r="KX22" s="20">
        <v>15</v>
      </c>
      <c r="KY22" s="19">
        <v>935.3</v>
      </c>
      <c r="KZ22" s="17">
        <v>42300</v>
      </c>
      <c r="LA22" s="19">
        <v>935.3</v>
      </c>
      <c r="LB22" s="72" t="s">
        <v>747</v>
      </c>
      <c r="LC22" s="24">
        <v>33.5</v>
      </c>
      <c r="LD22" s="16"/>
      <c r="LE22" s="59"/>
      <c r="LF22" s="126"/>
      <c r="LG22" s="20">
        <v>15</v>
      </c>
      <c r="LH22" s="202">
        <v>925.3</v>
      </c>
      <c r="LI22" s="17">
        <v>42301</v>
      </c>
      <c r="LJ22" s="202">
        <v>925.3</v>
      </c>
      <c r="LK22" s="72" t="s">
        <v>755</v>
      </c>
      <c r="LL22" s="24">
        <v>33.5</v>
      </c>
      <c r="LM22" s="16"/>
      <c r="LN22" s="59"/>
      <c r="LO22" s="126"/>
      <c r="LP22" s="20">
        <v>15</v>
      </c>
      <c r="LQ22" s="19">
        <v>936.51</v>
      </c>
      <c r="LR22" s="17">
        <v>42303</v>
      </c>
      <c r="LS22" s="19">
        <v>936.51</v>
      </c>
      <c r="LT22" s="72" t="s">
        <v>763</v>
      </c>
      <c r="LU22" s="24">
        <v>32.5</v>
      </c>
      <c r="LV22" s="16"/>
      <c r="LW22" s="59"/>
      <c r="LX22" s="126"/>
      <c r="LY22" s="20">
        <v>15</v>
      </c>
      <c r="LZ22" s="179">
        <v>918.5</v>
      </c>
      <c r="MA22" s="17">
        <v>42303</v>
      </c>
      <c r="MB22" s="19">
        <v>918.5</v>
      </c>
      <c r="MC22" s="510" t="s">
        <v>760</v>
      </c>
      <c r="MD22" s="24">
        <v>32.5</v>
      </c>
      <c r="ME22" s="16"/>
      <c r="MF22" s="59"/>
      <c r="MG22" s="126"/>
      <c r="MH22" s="20">
        <v>15</v>
      </c>
      <c r="MI22" s="19">
        <v>900.68</v>
      </c>
      <c r="MJ22" s="17">
        <v>42304</v>
      </c>
      <c r="MK22" s="19">
        <v>900.68</v>
      </c>
      <c r="ML22" s="72" t="s">
        <v>767</v>
      </c>
      <c r="MM22" s="24">
        <v>31</v>
      </c>
      <c r="MN22" s="16"/>
      <c r="MO22" s="59"/>
      <c r="MP22" s="126"/>
      <c r="MQ22" s="20">
        <v>15</v>
      </c>
      <c r="MR22" s="19">
        <v>905.22</v>
      </c>
      <c r="MS22" s="17">
        <v>42305</v>
      </c>
      <c r="MT22" s="19">
        <v>905.22</v>
      </c>
      <c r="MU22" s="72" t="s">
        <v>769</v>
      </c>
      <c r="MV22" s="24">
        <v>31</v>
      </c>
      <c r="MW22" s="16"/>
      <c r="MX22" s="59"/>
      <c r="MY22" s="126"/>
      <c r="MZ22" s="20">
        <v>15</v>
      </c>
      <c r="NA22" s="19">
        <v>898.41</v>
      </c>
      <c r="NB22" s="17">
        <v>42305</v>
      </c>
      <c r="NC22" s="19">
        <v>898.41</v>
      </c>
      <c r="ND22" s="72" t="s">
        <v>773</v>
      </c>
      <c r="NE22" s="24">
        <v>31</v>
      </c>
      <c r="NF22" s="16"/>
      <c r="NG22" s="59"/>
      <c r="NH22" s="126"/>
      <c r="NI22" s="20">
        <v>15</v>
      </c>
      <c r="NJ22" s="19">
        <v>918.1</v>
      </c>
      <c r="NK22" s="17">
        <v>42306</v>
      </c>
      <c r="NL22" s="19">
        <v>918.1</v>
      </c>
      <c r="NM22" s="309" t="s">
        <v>779</v>
      </c>
      <c r="NN22" s="24">
        <v>30</v>
      </c>
      <c r="NO22" s="16"/>
      <c r="NP22" s="59"/>
      <c r="NQ22" s="126"/>
      <c r="NR22" s="20">
        <v>15</v>
      </c>
      <c r="NS22" s="19">
        <v>920.8</v>
      </c>
      <c r="NT22" s="17">
        <v>42307</v>
      </c>
      <c r="NU22" s="19">
        <v>920.8</v>
      </c>
      <c r="NV22" s="72" t="s">
        <v>784</v>
      </c>
      <c r="NW22" s="24">
        <v>30</v>
      </c>
      <c r="NX22" s="16"/>
      <c r="NY22" s="59"/>
      <c r="NZ22" s="126"/>
      <c r="OA22" s="20">
        <v>15</v>
      </c>
      <c r="OB22" s="19">
        <v>938.78</v>
      </c>
      <c r="OC22" s="17">
        <v>42307</v>
      </c>
      <c r="OD22" s="19">
        <v>938.78</v>
      </c>
      <c r="OE22" s="617" t="s">
        <v>782</v>
      </c>
      <c r="OF22" s="24">
        <v>30</v>
      </c>
      <c r="OG22" s="16"/>
      <c r="OH22" s="59"/>
      <c r="OI22" s="126"/>
      <c r="OJ22" s="20">
        <v>15</v>
      </c>
      <c r="OK22" s="19">
        <v>959.65</v>
      </c>
      <c r="OL22" s="17"/>
      <c r="OM22" s="19"/>
      <c r="ON22" s="72"/>
      <c r="OO22" s="24"/>
      <c r="OP22" s="16"/>
      <c r="OQ22" s="59"/>
      <c r="OR22" s="126"/>
      <c r="OS22" s="20">
        <v>15</v>
      </c>
      <c r="OT22" s="19">
        <v>995</v>
      </c>
      <c r="OU22" s="17"/>
      <c r="OV22" s="19"/>
      <c r="OW22" s="309"/>
      <c r="OX22" s="24"/>
      <c r="OY22" s="16"/>
      <c r="OZ22" s="59"/>
      <c r="PA22" s="126"/>
      <c r="PB22" s="20">
        <v>15</v>
      </c>
      <c r="PC22" s="19">
        <v>922.1</v>
      </c>
      <c r="PD22" s="17">
        <v>42308</v>
      </c>
      <c r="PE22" s="19">
        <v>922.1</v>
      </c>
      <c r="PF22" s="72" t="s">
        <v>793</v>
      </c>
      <c r="PG22" s="24">
        <v>29</v>
      </c>
      <c r="PH22" s="16"/>
      <c r="PI22" s="59"/>
      <c r="PJ22" s="126"/>
      <c r="PK22" s="20"/>
      <c r="PL22" s="19"/>
      <c r="PM22" s="17"/>
      <c r="PN22" s="19"/>
      <c r="PO22" s="72"/>
      <c r="PP22" s="24"/>
      <c r="PQ22" s="16"/>
      <c r="PR22" s="59"/>
      <c r="PS22" s="126"/>
      <c r="PT22" s="20"/>
      <c r="PU22" s="19"/>
      <c r="PV22" s="17"/>
      <c r="PW22" s="19"/>
      <c r="PX22" s="72"/>
      <c r="PY22" s="24"/>
      <c r="PZ22" s="16"/>
      <c r="QA22" s="59"/>
      <c r="QB22" s="126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>
        <v>15</v>
      </c>
      <c r="RN22" s="19"/>
      <c r="RO22" s="403"/>
      <c r="RP22" s="406"/>
      <c r="RQ22" s="404"/>
      <c r="RR22" s="405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GRANJERO FELIZ</v>
      </c>
      <c r="C23" s="16" t="str">
        <f t="shared" si="19"/>
        <v>Jhon Morrel</v>
      </c>
      <c r="D23" s="74" t="str">
        <f t="shared" si="19"/>
        <v>PED. 5009935</v>
      </c>
      <c r="E23" s="162">
        <f t="shared" si="19"/>
        <v>42291</v>
      </c>
      <c r="F23" s="77">
        <f t="shared" si="19"/>
        <v>18754.669999999998</v>
      </c>
      <c r="G23" s="15">
        <f t="shared" si="19"/>
        <v>21</v>
      </c>
      <c r="H23" s="65">
        <f t="shared" si="19"/>
        <v>18813.2</v>
      </c>
      <c r="I23" s="18">
        <f t="shared" si="19"/>
        <v>-58.530000000002474</v>
      </c>
      <c r="K23" s="59"/>
      <c r="L23" s="126"/>
      <c r="M23" s="20">
        <v>16</v>
      </c>
      <c r="N23" s="19">
        <v>939.4</v>
      </c>
      <c r="O23" s="339">
        <v>42278</v>
      </c>
      <c r="P23" s="226">
        <v>939.4</v>
      </c>
      <c r="Q23" s="340" t="s">
        <v>630</v>
      </c>
      <c r="R23" s="341">
        <v>30</v>
      </c>
      <c r="S23" s="16"/>
      <c r="T23" s="59"/>
      <c r="U23" s="126"/>
      <c r="V23" s="20">
        <v>16</v>
      </c>
      <c r="W23" s="19">
        <v>932.6</v>
      </c>
      <c r="X23" s="17">
        <v>42279</v>
      </c>
      <c r="Y23" s="19">
        <v>932.6</v>
      </c>
      <c r="Z23" s="72" t="s">
        <v>636</v>
      </c>
      <c r="AA23" s="24">
        <v>30</v>
      </c>
      <c r="AB23" s="16"/>
      <c r="AC23" s="59"/>
      <c r="AD23" s="126"/>
      <c r="AE23" s="20">
        <v>16</v>
      </c>
      <c r="AF23" s="19">
        <v>1007</v>
      </c>
      <c r="AG23" s="156">
        <v>42280</v>
      </c>
      <c r="AH23" s="19">
        <v>1007</v>
      </c>
      <c r="AI23" s="309" t="s">
        <v>642</v>
      </c>
      <c r="AJ23" s="116">
        <v>31</v>
      </c>
      <c r="AK23" s="16"/>
      <c r="AL23" s="59"/>
      <c r="AM23" s="126"/>
      <c r="AN23" s="20">
        <v>16</v>
      </c>
      <c r="AO23" s="19">
        <v>930.61</v>
      </c>
      <c r="AP23" s="17">
        <v>42280</v>
      </c>
      <c r="AQ23" s="19">
        <v>930.61</v>
      </c>
      <c r="AR23" s="72" t="s">
        <v>639</v>
      </c>
      <c r="AS23" s="24">
        <v>31</v>
      </c>
      <c r="AT23" s="16"/>
      <c r="AU23" s="59"/>
      <c r="AV23" s="175"/>
      <c r="AW23" s="20"/>
      <c r="AX23" s="19"/>
      <c r="AY23" s="110"/>
      <c r="AZ23" s="19"/>
      <c r="BA23" s="129"/>
      <c r="BB23" s="108"/>
      <c r="BC23" s="16"/>
      <c r="BD23" s="59"/>
      <c r="BE23" s="126"/>
      <c r="BF23" s="20">
        <v>16</v>
      </c>
      <c r="BG23" s="19">
        <v>920.3</v>
      </c>
      <c r="BH23" s="17">
        <v>42281</v>
      </c>
      <c r="BI23" s="19">
        <v>920.3</v>
      </c>
      <c r="BJ23" s="510" t="s">
        <v>644</v>
      </c>
      <c r="BK23" s="160">
        <v>31</v>
      </c>
      <c r="BL23" s="16"/>
      <c r="BM23" s="59"/>
      <c r="BN23" s="183"/>
      <c r="BO23" s="20">
        <v>16</v>
      </c>
      <c r="BP23" s="19">
        <v>921.54</v>
      </c>
      <c r="BQ23" s="17">
        <v>42283</v>
      </c>
      <c r="BR23" s="19">
        <v>921.54</v>
      </c>
      <c r="BS23" s="72" t="s">
        <v>655</v>
      </c>
      <c r="BT23" s="24">
        <v>31.5</v>
      </c>
      <c r="BU23" s="16"/>
      <c r="BV23" s="59"/>
      <c r="BW23" s="183"/>
      <c r="BX23" s="20">
        <v>16</v>
      </c>
      <c r="BY23" s="19">
        <v>939.23</v>
      </c>
      <c r="BZ23" s="17">
        <v>42283</v>
      </c>
      <c r="CA23" s="19">
        <v>939.23</v>
      </c>
      <c r="CB23" s="72" t="s">
        <v>652</v>
      </c>
      <c r="CC23" s="24">
        <v>31.5</v>
      </c>
      <c r="CD23" s="16"/>
      <c r="CE23" s="59"/>
      <c r="CF23" s="183"/>
      <c r="CG23" s="20">
        <v>16</v>
      </c>
      <c r="CH23" s="19">
        <v>910.66</v>
      </c>
      <c r="CI23" s="17">
        <v>42284</v>
      </c>
      <c r="CJ23" s="19">
        <v>910.66</v>
      </c>
      <c r="CK23" s="437" t="s">
        <v>660</v>
      </c>
      <c r="CL23" s="24">
        <v>31.5</v>
      </c>
      <c r="CM23" s="16"/>
      <c r="CN23" s="59"/>
      <c r="CO23" s="126"/>
      <c r="CP23" s="20">
        <v>16</v>
      </c>
      <c r="CQ23" s="19">
        <v>926.2</v>
      </c>
      <c r="CR23" s="17">
        <v>42285</v>
      </c>
      <c r="CS23" s="19">
        <v>926.2</v>
      </c>
      <c r="CT23" s="326" t="s">
        <v>664</v>
      </c>
      <c r="CU23" s="24">
        <v>31.5</v>
      </c>
      <c r="CV23" s="16"/>
      <c r="CW23" s="59"/>
      <c r="CX23" s="126"/>
      <c r="CY23" s="20">
        <v>16</v>
      </c>
      <c r="CZ23" s="202">
        <v>1033</v>
      </c>
      <c r="DA23" s="17">
        <v>42287</v>
      </c>
      <c r="DB23" s="202">
        <v>1033</v>
      </c>
      <c r="DC23" s="43" t="s">
        <v>671</v>
      </c>
      <c r="DD23" s="24">
        <v>32</v>
      </c>
      <c r="DE23" s="16"/>
      <c r="DF23" s="59"/>
      <c r="DG23" s="126"/>
      <c r="DH23" s="20">
        <v>16</v>
      </c>
      <c r="DI23" s="19">
        <v>910.8</v>
      </c>
      <c r="DJ23" s="17">
        <v>42286</v>
      </c>
      <c r="DK23" s="19">
        <v>910.8</v>
      </c>
      <c r="DL23" s="43" t="s">
        <v>668</v>
      </c>
      <c r="DM23" s="24">
        <v>32</v>
      </c>
      <c r="DN23" s="16"/>
      <c r="DO23" s="59"/>
      <c r="DP23" s="207"/>
      <c r="DQ23" s="20">
        <v>16</v>
      </c>
      <c r="DR23" s="30">
        <v>918.1</v>
      </c>
      <c r="DS23" s="58">
        <v>42287</v>
      </c>
      <c r="DT23" s="30">
        <v>918.1</v>
      </c>
      <c r="DU23" s="79" t="s">
        <v>672</v>
      </c>
      <c r="DV23" s="24">
        <v>32</v>
      </c>
      <c r="DW23" s="16"/>
      <c r="DX23" s="59"/>
      <c r="DY23" s="126"/>
      <c r="DZ23" s="20">
        <v>16</v>
      </c>
      <c r="EA23" s="30">
        <v>928.8</v>
      </c>
      <c r="EB23" s="58">
        <v>42290</v>
      </c>
      <c r="EC23" s="30">
        <v>928.8</v>
      </c>
      <c r="ED23" s="79" t="s">
        <v>685</v>
      </c>
      <c r="EE23" s="24">
        <v>30.3</v>
      </c>
      <c r="EF23" s="16"/>
      <c r="EG23" s="59"/>
      <c r="EH23" s="126"/>
      <c r="EI23" s="20">
        <v>16</v>
      </c>
      <c r="EJ23" s="19">
        <v>991</v>
      </c>
      <c r="EK23" s="17">
        <v>42289</v>
      </c>
      <c r="EL23" s="19">
        <v>991</v>
      </c>
      <c r="EM23" s="43" t="s">
        <v>676</v>
      </c>
      <c r="EN23" s="24">
        <v>32</v>
      </c>
      <c r="EO23" s="16"/>
      <c r="EP23" s="59"/>
      <c r="EQ23" s="126"/>
      <c r="ER23" s="20">
        <v>16</v>
      </c>
      <c r="ES23" s="19">
        <v>913.9</v>
      </c>
      <c r="ET23" s="17">
        <v>42289</v>
      </c>
      <c r="EU23" s="19">
        <v>913.9</v>
      </c>
      <c r="EV23" s="79" t="s">
        <v>678</v>
      </c>
      <c r="EW23" s="24">
        <v>32</v>
      </c>
      <c r="EX23" s="16"/>
      <c r="EY23" s="59"/>
      <c r="EZ23" s="126"/>
      <c r="FA23" s="20">
        <v>16</v>
      </c>
      <c r="FB23" s="19">
        <v>911.56</v>
      </c>
      <c r="FC23" s="17">
        <v>42290</v>
      </c>
      <c r="FD23" s="19">
        <v>911.56</v>
      </c>
      <c r="FE23" s="43" t="s">
        <v>689</v>
      </c>
      <c r="FF23" s="24">
        <v>32.5</v>
      </c>
      <c r="FG23" s="16"/>
      <c r="FH23" s="59"/>
      <c r="FI23" s="126"/>
      <c r="FJ23" s="20">
        <v>16</v>
      </c>
      <c r="FK23" s="30">
        <v>935.6</v>
      </c>
      <c r="FL23" s="58">
        <v>42290</v>
      </c>
      <c r="FM23" s="30">
        <v>935.6</v>
      </c>
      <c r="FN23" s="79" t="s">
        <v>691</v>
      </c>
      <c r="FO23" s="24">
        <v>32.5</v>
      </c>
      <c r="FP23" s="16"/>
      <c r="FQ23" s="59"/>
      <c r="FR23" s="126"/>
      <c r="FS23" s="20">
        <v>16</v>
      </c>
      <c r="FT23" s="30">
        <v>942.4</v>
      </c>
      <c r="FU23" s="58">
        <v>42291</v>
      </c>
      <c r="FV23" s="30">
        <v>942.4</v>
      </c>
      <c r="FW23" s="79" t="s">
        <v>697</v>
      </c>
      <c r="FX23" s="24">
        <v>32.5</v>
      </c>
      <c r="FY23" s="16"/>
      <c r="FZ23" s="59"/>
      <c r="GA23" s="126"/>
      <c r="GB23" s="20">
        <v>16</v>
      </c>
      <c r="GC23" s="19">
        <v>872.2</v>
      </c>
      <c r="GD23" s="17">
        <v>42291</v>
      </c>
      <c r="GE23" s="19">
        <v>872.2</v>
      </c>
      <c r="GF23" s="360" t="s">
        <v>693</v>
      </c>
      <c r="GG23" s="24">
        <v>32.5</v>
      </c>
      <c r="GH23" s="16"/>
      <c r="GI23" s="135"/>
      <c r="GJ23" s="126"/>
      <c r="GK23" s="20">
        <v>16</v>
      </c>
      <c r="GL23" s="19">
        <v>928</v>
      </c>
      <c r="GM23" s="17">
        <v>42292</v>
      </c>
      <c r="GN23" s="19">
        <v>928</v>
      </c>
      <c r="GO23" s="72" t="s">
        <v>702</v>
      </c>
      <c r="GP23" s="24">
        <v>32.5</v>
      </c>
      <c r="GQ23" s="16"/>
      <c r="GR23" s="59"/>
      <c r="GS23" s="126"/>
      <c r="GT23" s="20">
        <v>16</v>
      </c>
      <c r="GU23" s="19">
        <v>924.4</v>
      </c>
      <c r="GV23" s="17">
        <v>42293</v>
      </c>
      <c r="GW23" s="19">
        <v>924.4</v>
      </c>
      <c r="GX23" s="72" t="s">
        <v>704</v>
      </c>
      <c r="GY23" s="24">
        <v>32.5</v>
      </c>
      <c r="GZ23" s="16"/>
      <c r="HA23" s="59"/>
      <c r="HB23" s="126"/>
      <c r="HC23" s="20">
        <v>16</v>
      </c>
      <c r="HD23" s="19">
        <v>924</v>
      </c>
      <c r="HE23" s="17">
        <v>42293</v>
      </c>
      <c r="HF23" s="19">
        <v>924</v>
      </c>
      <c r="HG23" s="72" t="s">
        <v>714</v>
      </c>
      <c r="HH23" s="24">
        <v>33</v>
      </c>
      <c r="HI23" s="16"/>
      <c r="HJ23" s="135"/>
      <c r="HK23" s="126"/>
      <c r="HL23" s="20">
        <v>16</v>
      </c>
      <c r="HM23" s="19">
        <v>906.3</v>
      </c>
      <c r="HN23" s="17">
        <v>42293</v>
      </c>
      <c r="HO23" s="19">
        <v>906.3</v>
      </c>
      <c r="HP23" s="72" t="s">
        <v>716</v>
      </c>
      <c r="HQ23" s="24">
        <v>33</v>
      </c>
      <c r="HR23" s="16"/>
      <c r="HS23" s="135"/>
      <c r="HT23" s="126"/>
      <c r="HU23" s="20">
        <v>16</v>
      </c>
      <c r="HV23" s="19">
        <v>964</v>
      </c>
      <c r="HW23" s="17">
        <v>42294</v>
      </c>
      <c r="HX23" s="19">
        <v>964</v>
      </c>
      <c r="HY23" s="72" t="s">
        <v>720</v>
      </c>
      <c r="HZ23" s="24">
        <v>33</v>
      </c>
      <c r="IA23" s="16"/>
      <c r="IB23" s="135"/>
      <c r="IC23" s="126"/>
      <c r="ID23" s="20">
        <v>16</v>
      </c>
      <c r="IE23" s="19">
        <v>928.5</v>
      </c>
      <c r="IF23" s="17">
        <v>42296</v>
      </c>
      <c r="IG23" s="19">
        <v>928.5</v>
      </c>
      <c r="IH23" s="72" t="s">
        <v>724</v>
      </c>
      <c r="II23" s="24">
        <v>33.5</v>
      </c>
      <c r="IJ23" s="16"/>
      <c r="IK23" s="59"/>
      <c r="IL23" s="126"/>
      <c r="IM23" s="20">
        <v>16</v>
      </c>
      <c r="IN23" s="19">
        <v>981.86</v>
      </c>
      <c r="IO23" s="17">
        <v>42297</v>
      </c>
      <c r="IP23" s="19">
        <v>981.86</v>
      </c>
      <c r="IQ23" s="72" t="s">
        <v>726</v>
      </c>
      <c r="IR23" s="24">
        <v>32.07</v>
      </c>
      <c r="IS23" s="16"/>
      <c r="IT23" s="59"/>
      <c r="IU23" s="126"/>
      <c r="IV23" s="20">
        <v>16</v>
      </c>
      <c r="IW23" s="19">
        <v>884.9</v>
      </c>
      <c r="IX23" s="110">
        <v>42296</v>
      </c>
      <c r="IY23" s="19">
        <v>884.9</v>
      </c>
      <c r="IZ23" s="129" t="s">
        <v>723</v>
      </c>
      <c r="JA23" s="108">
        <v>33.5</v>
      </c>
      <c r="JB23" s="16"/>
      <c r="JC23" s="59"/>
      <c r="JD23" s="126"/>
      <c r="JE23" s="20">
        <v>16</v>
      </c>
      <c r="JF23" s="19">
        <v>987</v>
      </c>
      <c r="JG23" s="17">
        <v>42298</v>
      </c>
      <c r="JH23" s="19">
        <v>987</v>
      </c>
      <c r="JI23" s="510" t="s">
        <v>734</v>
      </c>
      <c r="JJ23" s="24">
        <v>33.5</v>
      </c>
      <c r="JK23" s="16"/>
      <c r="JL23" s="59"/>
      <c r="JM23" s="207"/>
      <c r="JN23" s="20">
        <v>16</v>
      </c>
      <c r="JO23" s="19">
        <v>975</v>
      </c>
      <c r="JP23" s="17">
        <v>42299</v>
      </c>
      <c r="JQ23" s="19">
        <v>975</v>
      </c>
      <c r="JR23" s="72" t="s">
        <v>735</v>
      </c>
      <c r="JS23" s="24">
        <v>33.5</v>
      </c>
      <c r="JT23" s="16"/>
      <c r="JU23" s="59"/>
      <c r="JV23" s="126"/>
      <c r="JW23" s="20">
        <v>16</v>
      </c>
      <c r="JX23" s="19">
        <v>904.76</v>
      </c>
      <c r="JY23" s="17">
        <v>42297</v>
      </c>
      <c r="JZ23" s="19">
        <v>904.76</v>
      </c>
      <c r="KA23" s="72" t="s">
        <v>730</v>
      </c>
      <c r="KB23" s="24">
        <v>33.5</v>
      </c>
      <c r="KC23" s="16"/>
      <c r="KD23" s="59"/>
      <c r="KE23" s="126"/>
      <c r="KF23" s="20">
        <v>16</v>
      </c>
      <c r="KG23" s="202">
        <v>922.9</v>
      </c>
      <c r="KH23" s="110">
        <v>42299</v>
      </c>
      <c r="KI23" s="202">
        <v>922.9</v>
      </c>
      <c r="KJ23" s="129" t="s">
        <v>738</v>
      </c>
      <c r="KK23" s="108">
        <v>33.5</v>
      </c>
      <c r="KL23" s="16"/>
      <c r="KM23" s="59"/>
      <c r="KN23" s="126"/>
      <c r="KO23" s="20">
        <v>16</v>
      </c>
      <c r="KP23" s="202">
        <v>926.08</v>
      </c>
      <c r="KQ23" s="17">
        <v>42300</v>
      </c>
      <c r="KR23" s="202">
        <v>926.08</v>
      </c>
      <c r="KS23" s="72" t="s">
        <v>746</v>
      </c>
      <c r="KT23" s="24">
        <v>33.5</v>
      </c>
      <c r="KU23" s="16"/>
      <c r="KV23" s="59"/>
      <c r="KW23" s="126"/>
      <c r="KX23" s="20">
        <v>16</v>
      </c>
      <c r="KY23" s="19">
        <v>945.3</v>
      </c>
      <c r="KZ23" s="17">
        <v>42300</v>
      </c>
      <c r="LA23" s="19">
        <v>945.3</v>
      </c>
      <c r="LB23" s="72" t="s">
        <v>750</v>
      </c>
      <c r="LC23" s="24">
        <v>33.5</v>
      </c>
      <c r="LD23" s="16"/>
      <c r="LE23" s="59"/>
      <c r="LF23" s="126"/>
      <c r="LG23" s="20">
        <v>16</v>
      </c>
      <c r="LH23" s="202">
        <v>926.7</v>
      </c>
      <c r="LI23" s="17">
        <v>42301</v>
      </c>
      <c r="LJ23" s="202">
        <v>926.7</v>
      </c>
      <c r="LK23" s="72" t="s">
        <v>754</v>
      </c>
      <c r="LL23" s="24">
        <v>33.5</v>
      </c>
      <c r="LM23" s="16"/>
      <c r="LN23" s="59"/>
      <c r="LO23" s="126"/>
      <c r="LP23" s="20">
        <v>16</v>
      </c>
      <c r="LQ23" s="19">
        <v>909.75</v>
      </c>
      <c r="LR23" s="17">
        <v>42303</v>
      </c>
      <c r="LS23" s="19">
        <v>909.75</v>
      </c>
      <c r="LT23" s="72" t="s">
        <v>762</v>
      </c>
      <c r="LU23" s="24">
        <v>32.5</v>
      </c>
      <c r="LV23" s="16"/>
      <c r="LW23" s="59"/>
      <c r="LX23" s="126"/>
      <c r="LY23" s="20">
        <v>16</v>
      </c>
      <c r="LZ23" s="179">
        <v>921.7</v>
      </c>
      <c r="MA23" s="17">
        <v>42303</v>
      </c>
      <c r="MB23" s="19">
        <v>921.7</v>
      </c>
      <c r="MC23" s="510" t="s">
        <v>764</v>
      </c>
      <c r="MD23" s="24">
        <v>32.5</v>
      </c>
      <c r="ME23" s="16"/>
      <c r="MF23" s="59"/>
      <c r="MG23" s="126"/>
      <c r="MH23" s="20">
        <v>16</v>
      </c>
      <c r="MI23" s="19">
        <v>890.25</v>
      </c>
      <c r="MJ23" s="17">
        <v>42304</v>
      </c>
      <c r="MK23" s="19">
        <v>890.25</v>
      </c>
      <c r="ML23" s="72" t="s">
        <v>767</v>
      </c>
      <c r="MM23" s="24">
        <v>31</v>
      </c>
      <c r="MN23" s="16"/>
      <c r="MO23" s="59"/>
      <c r="MP23" s="126"/>
      <c r="MQ23" s="20">
        <v>16</v>
      </c>
      <c r="MR23" s="19">
        <v>951.47</v>
      </c>
      <c r="MS23" s="17">
        <v>42305</v>
      </c>
      <c r="MT23" s="19">
        <v>951.47</v>
      </c>
      <c r="MU23" s="72" t="s">
        <v>769</v>
      </c>
      <c r="MV23" s="24">
        <v>31</v>
      </c>
      <c r="MW23" s="16"/>
      <c r="MX23" s="59"/>
      <c r="MY23" s="126"/>
      <c r="MZ23" s="20">
        <v>16</v>
      </c>
      <c r="NA23" s="19">
        <v>922</v>
      </c>
      <c r="NB23" s="17">
        <v>42305</v>
      </c>
      <c r="NC23" s="19">
        <v>922</v>
      </c>
      <c r="ND23" s="72" t="s">
        <v>773</v>
      </c>
      <c r="NE23" s="24">
        <v>31</v>
      </c>
      <c r="NF23" s="16"/>
      <c r="NG23" s="59"/>
      <c r="NH23" s="126"/>
      <c r="NI23" s="20">
        <v>16</v>
      </c>
      <c r="NJ23" s="19">
        <v>927.6</v>
      </c>
      <c r="NK23" s="17">
        <v>42306</v>
      </c>
      <c r="NL23" s="19">
        <v>927.6</v>
      </c>
      <c r="NM23" s="309" t="s">
        <v>779</v>
      </c>
      <c r="NN23" s="24">
        <v>30</v>
      </c>
      <c r="NO23" s="16"/>
      <c r="NP23" s="59"/>
      <c r="NQ23" s="126"/>
      <c r="NR23" s="20">
        <v>16</v>
      </c>
      <c r="NS23" s="19">
        <v>922.6</v>
      </c>
      <c r="NT23" s="17">
        <v>42307</v>
      </c>
      <c r="NU23" s="19">
        <v>922.6</v>
      </c>
      <c r="NV23" s="72" t="s">
        <v>784</v>
      </c>
      <c r="NW23" s="24">
        <v>30</v>
      </c>
      <c r="NX23" s="16"/>
      <c r="NY23" s="59"/>
      <c r="NZ23" s="126"/>
      <c r="OA23" s="20">
        <v>16</v>
      </c>
      <c r="OB23" s="19">
        <v>913.38</v>
      </c>
      <c r="OC23" s="17">
        <v>42307</v>
      </c>
      <c r="OD23" s="19">
        <v>913.38</v>
      </c>
      <c r="OE23" s="72" t="s">
        <v>782</v>
      </c>
      <c r="OF23" s="24">
        <v>30</v>
      </c>
      <c r="OG23" s="16"/>
      <c r="OH23" s="59"/>
      <c r="OI23" s="126"/>
      <c r="OJ23" s="20">
        <v>16</v>
      </c>
      <c r="OK23" s="19">
        <v>916.55</v>
      </c>
      <c r="OL23" s="17"/>
      <c r="OM23" s="19"/>
      <c r="ON23" s="72"/>
      <c r="OO23" s="24"/>
      <c r="OP23" s="16"/>
      <c r="OQ23" s="59"/>
      <c r="OR23" s="126"/>
      <c r="OS23" s="20">
        <v>16</v>
      </c>
      <c r="OT23" s="19">
        <v>997</v>
      </c>
      <c r="OU23" s="17"/>
      <c r="OV23" s="19"/>
      <c r="OW23" s="309"/>
      <c r="OX23" s="24"/>
      <c r="OY23" s="16"/>
      <c r="OZ23" s="59"/>
      <c r="PA23" s="126"/>
      <c r="PB23" s="20">
        <v>16</v>
      </c>
      <c r="PC23" s="19">
        <v>920.8</v>
      </c>
      <c r="PD23" s="17">
        <v>42308</v>
      </c>
      <c r="PE23" s="19">
        <v>920.8</v>
      </c>
      <c r="PF23" s="72" t="s">
        <v>793</v>
      </c>
      <c r="PG23" s="24">
        <v>29</v>
      </c>
      <c r="PH23" s="16"/>
      <c r="PI23" s="59"/>
      <c r="PJ23" s="126"/>
      <c r="PK23" s="20"/>
      <c r="PL23" s="19"/>
      <c r="PM23" s="17"/>
      <c r="PN23" s="19"/>
      <c r="PO23" s="72"/>
      <c r="PP23" s="24"/>
      <c r="PQ23" s="16"/>
      <c r="PR23" s="59"/>
      <c r="PS23" s="126"/>
      <c r="PT23" s="20"/>
      <c r="PU23" s="19"/>
      <c r="PV23" s="17"/>
      <c r="PW23" s="19"/>
      <c r="PX23" s="72"/>
      <c r="PY23" s="24"/>
      <c r="PZ23" s="16"/>
      <c r="QA23" s="59"/>
      <c r="QB23" s="126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>
        <v>16</v>
      </c>
      <c r="RN23" s="19"/>
      <c r="RO23" s="403"/>
      <c r="RP23" s="406"/>
      <c r="RQ23" s="404"/>
      <c r="RR23" s="405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4" t="str">
        <f t="shared" si="20"/>
        <v>PED. 5004067</v>
      </c>
      <c r="E24" s="162">
        <f t="shared" si="20"/>
        <v>42292</v>
      </c>
      <c r="F24" s="77">
        <f t="shared" si="20"/>
        <v>19335.14</v>
      </c>
      <c r="G24" s="15">
        <f t="shared" si="20"/>
        <v>21</v>
      </c>
      <c r="H24" s="65">
        <f t="shared" si="20"/>
        <v>19420.8</v>
      </c>
      <c r="I24" s="18">
        <f t="shared" si="20"/>
        <v>-85.659999999999854</v>
      </c>
      <c r="K24" s="59"/>
      <c r="L24" s="126"/>
      <c r="M24" s="20">
        <v>17</v>
      </c>
      <c r="N24" s="19">
        <v>959.8</v>
      </c>
      <c r="O24" s="339">
        <v>42278</v>
      </c>
      <c r="P24" s="226">
        <v>959.8</v>
      </c>
      <c r="Q24" s="340" t="s">
        <v>630</v>
      </c>
      <c r="R24" s="341">
        <v>30</v>
      </c>
      <c r="S24" s="16"/>
      <c r="T24" s="59"/>
      <c r="U24" s="126"/>
      <c r="V24" s="20">
        <v>17</v>
      </c>
      <c r="W24" s="19">
        <v>925.3</v>
      </c>
      <c r="X24" s="17">
        <v>42279</v>
      </c>
      <c r="Y24" s="19">
        <v>925.3</v>
      </c>
      <c r="Z24" s="72" t="s">
        <v>636</v>
      </c>
      <c r="AA24" s="24">
        <v>30</v>
      </c>
      <c r="AB24" s="16"/>
      <c r="AC24" s="59"/>
      <c r="AD24" s="126"/>
      <c r="AE24" s="20">
        <v>17</v>
      </c>
      <c r="AF24" s="19">
        <v>1007</v>
      </c>
      <c r="AG24" s="110">
        <v>42280</v>
      </c>
      <c r="AH24" s="19">
        <v>1007</v>
      </c>
      <c r="AI24" s="129" t="s">
        <v>642</v>
      </c>
      <c r="AJ24" s="116">
        <v>31</v>
      </c>
      <c r="AK24" s="16"/>
      <c r="AL24" s="59"/>
      <c r="AM24" s="126"/>
      <c r="AN24" s="20">
        <v>17</v>
      </c>
      <c r="AO24" s="19">
        <v>929.25</v>
      </c>
      <c r="AP24" s="17">
        <v>42280</v>
      </c>
      <c r="AQ24" s="19">
        <v>929.25</v>
      </c>
      <c r="AR24" s="72" t="s">
        <v>639</v>
      </c>
      <c r="AS24" s="24">
        <v>31</v>
      </c>
      <c r="AT24" s="16"/>
      <c r="AU24" s="59"/>
      <c r="AV24" s="175"/>
      <c r="AW24" s="20"/>
      <c r="AX24" s="19"/>
      <c r="AY24" s="110"/>
      <c r="AZ24" s="19"/>
      <c r="BA24" s="129"/>
      <c r="BB24" s="108"/>
      <c r="BC24" s="16"/>
      <c r="BD24" s="59"/>
      <c r="BE24" s="126"/>
      <c r="BF24" s="20">
        <v>17</v>
      </c>
      <c r="BG24" s="19">
        <v>910.8</v>
      </c>
      <c r="BH24" s="17">
        <v>42281</v>
      </c>
      <c r="BI24" s="19">
        <v>910.8</v>
      </c>
      <c r="BJ24" s="510" t="s">
        <v>644</v>
      </c>
      <c r="BK24" s="160">
        <v>31</v>
      </c>
      <c r="BL24" s="16"/>
      <c r="BM24" s="59"/>
      <c r="BN24" s="183"/>
      <c r="BO24" s="20">
        <v>17</v>
      </c>
      <c r="BP24" s="19">
        <v>947.85</v>
      </c>
      <c r="BQ24" s="17">
        <v>42283</v>
      </c>
      <c r="BR24" s="19">
        <v>947.85</v>
      </c>
      <c r="BS24" s="72" t="s">
        <v>655</v>
      </c>
      <c r="BT24" s="24">
        <v>31.5</v>
      </c>
      <c r="BU24" s="16"/>
      <c r="BV24" s="59"/>
      <c r="BW24" s="183"/>
      <c r="BX24" s="20">
        <v>17</v>
      </c>
      <c r="BY24" s="19">
        <v>915.19</v>
      </c>
      <c r="BZ24" s="17">
        <v>42283</v>
      </c>
      <c r="CA24" s="19">
        <v>915.19</v>
      </c>
      <c r="CB24" s="72" t="s">
        <v>652</v>
      </c>
      <c r="CC24" s="24">
        <v>31.5</v>
      </c>
      <c r="CD24" s="16"/>
      <c r="CE24" s="59"/>
      <c r="CF24" s="183"/>
      <c r="CG24" s="20">
        <v>17</v>
      </c>
      <c r="CH24" s="19">
        <v>944.67</v>
      </c>
      <c r="CI24" s="17">
        <v>42284</v>
      </c>
      <c r="CJ24" s="19">
        <v>944.67</v>
      </c>
      <c r="CK24" s="437" t="s">
        <v>660</v>
      </c>
      <c r="CL24" s="24">
        <v>31.5</v>
      </c>
      <c r="CM24" s="16"/>
      <c r="CN24" s="59"/>
      <c r="CO24" s="126"/>
      <c r="CP24" s="20">
        <v>17</v>
      </c>
      <c r="CQ24" s="19">
        <v>908.1</v>
      </c>
      <c r="CR24" s="17">
        <v>42285</v>
      </c>
      <c r="CS24" s="19">
        <v>908.1</v>
      </c>
      <c r="CT24" s="326" t="s">
        <v>664</v>
      </c>
      <c r="CU24" s="24">
        <v>31.5</v>
      </c>
      <c r="CV24" s="16"/>
      <c r="CW24" s="59"/>
      <c r="CX24" s="126"/>
      <c r="CY24" s="20">
        <v>17</v>
      </c>
      <c r="CZ24" s="202">
        <v>997</v>
      </c>
      <c r="DA24" s="17">
        <v>42287</v>
      </c>
      <c r="DB24" s="202">
        <v>997</v>
      </c>
      <c r="DC24" s="43" t="s">
        <v>671</v>
      </c>
      <c r="DD24" s="24">
        <v>32</v>
      </c>
      <c r="DE24" s="16"/>
      <c r="DF24" s="59"/>
      <c r="DG24" s="126"/>
      <c r="DH24" s="20">
        <v>17</v>
      </c>
      <c r="DI24" s="19">
        <v>913.5</v>
      </c>
      <c r="DJ24" s="17">
        <v>42286</v>
      </c>
      <c r="DK24" s="19">
        <v>913.5</v>
      </c>
      <c r="DL24" s="43" t="s">
        <v>668</v>
      </c>
      <c r="DM24" s="24">
        <v>32</v>
      </c>
      <c r="DN24" s="16"/>
      <c r="DO24" s="59"/>
      <c r="DP24" s="126"/>
      <c r="DQ24" s="20">
        <v>17</v>
      </c>
      <c r="DR24" s="30">
        <v>916.7</v>
      </c>
      <c r="DS24" s="58">
        <v>42287</v>
      </c>
      <c r="DT24" s="30">
        <v>916.7</v>
      </c>
      <c r="DU24" s="79" t="s">
        <v>675</v>
      </c>
      <c r="DV24" s="24">
        <v>32</v>
      </c>
      <c r="DW24" s="16"/>
      <c r="DX24" s="59"/>
      <c r="DY24" s="126"/>
      <c r="DZ24" s="20">
        <v>17</v>
      </c>
      <c r="EA24" s="30">
        <v>947.85</v>
      </c>
      <c r="EB24" s="58">
        <v>42290</v>
      </c>
      <c r="EC24" s="30">
        <v>947.85</v>
      </c>
      <c r="ED24" s="79" t="s">
        <v>685</v>
      </c>
      <c r="EE24" s="24">
        <v>30.3</v>
      </c>
      <c r="EF24" s="16"/>
      <c r="EG24" s="59"/>
      <c r="EH24" s="126"/>
      <c r="EI24" s="20">
        <v>17</v>
      </c>
      <c r="EJ24" s="19">
        <v>1038</v>
      </c>
      <c r="EK24" s="17">
        <v>42289</v>
      </c>
      <c r="EL24" s="19">
        <v>1038</v>
      </c>
      <c r="EM24" s="43" t="s">
        <v>676</v>
      </c>
      <c r="EN24" s="24">
        <v>32</v>
      </c>
      <c r="EO24" s="16"/>
      <c r="EP24" s="59"/>
      <c r="EQ24" s="126"/>
      <c r="ER24" s="20">
        <v>17</v>
      </c>
      <c r="ES24" s="19">
        <v>898.1</v>
      </c>
      <c r="ET24" s="17">
        <v>42289</v>
      </c>
      <c r="EU24" s="19">
        <v>898.1</v>
      </c>
      <c r="EV24" s="79" t="s">
        <v>678</v>
      </c>
      <c r="EW24" s="24">
        <v>32</v>
      </c>
      <c r="EX24" s="16"/>
      <c r="EY24" s="59"/>
      <c r="EZ24" s="126"/>
      <c r="FA24" s="20">
        <v>17</v>
      </c>
      <c r="FB24" s="19">
        <v>946.03</v>
      </c>
      <c r="FC24" s="17">
        <v>42290</v>
      </c>
      <c r="FD24" s="19">
        <v>946.03</v>
      </c>
      <c r="FE24" s="43" t="s">
        <v>689</v>
      </c>
      <c r="FF24" s="24">
        <v>32.5</v>
      </c>
      <c r="FG24" s="16"/>
      <c r="FH24" s="59"/>
      <c r="FI24" s="126"/>
      <c r="FJ24" s="20">
        <v>17</v>
      </c>
      <c r="FK24" s="30">
        <v>913.83</v>
      </c>
      <c r="FL24" s="58">
        <v>42290</v>
      </c>
      <c r="FM24" s="30">
        <v>913.83</v>
      </c>
      <c r="FN24" s="79" t="s">
        <v>691</v>
      </c>
      <c r="FO24" s="24">
        <v>32.5</v>
      </c>
      <c r="FP24" s="16"/>
      <c r="FQ24" s="59"/>
      <c r="FR24" s="126"/>
      <c r="FS24" s="20">
        <v>17</v>
      </c>
      <c r="FT24" s="30">
        <v>897.51</v>
      </c>
      <c r="FU24" s="58">
        <v>42291</v>
      </c>
      <c r="FV24" s="30">
        <v>897.51</v>
      </c>
      <c r="FW24" s="79" t="s">
        <v>697</v>
      </c>
      <c r="FX24" s="24">
        <v>32.5</v>
      </c>
      <c r="FY24" s="16"/>
      <c r="FZ24" s="59"/>
      <c r="GA24" s="126"/>
      <c r="GB24" s="20">
        <v>17</v>
      </c>
      <c r="GC24" s="19">
        <v>989.2</v>
      </c>
      <c r="GD24" s="17">
        <v>42291</v>
      </c>
      <c r="GE24" s="19">
        <v>989.2</v>
      </c>
      <c r="GF24" s="360" t="s">
        <v>693</v>
      </c>
      <c r="GG24" s="24">
        <v>32.5</v>
      </c>
      <c r="GH24" s="16"/>
      <c r="GI24" s="135"/>
      <c r="GJ24" s="126"/>
      <c r="GK24" s="20">
        <v>17</v>
      </c>
      <c r="GL24" s="19">
        <v>938.5</v>
      </c>
      <c r="GM24" s="17">
        <v>42292</v>
      </c>
      <c r="GN24" s="19">
        <v>938.5</v>
      </c>
      <c r="GO24" s="72" t="s">
        <v>702</v>
      </c>
      <c r="GP24" s="24">
        <v>32.5</v>
      </c>
      <c r="GQ24" s="16"/>
      <c r="GR24" s="59"/>
      <c r="GS24" s="126"/>
      <c r="GT24" s="20">
        <v>17</v>
      </c>
      <c r="GU24" s="19">
        <v>927.1</v>
      </c>
      <c r="GV24" s="17">
        <v>42293</v>
      </c>
      <c r="GW24" s="19">
        <v>927.1</v>
      </c>
      <c r="GX24" s="72" t="s">
        <v>704</v>
      </c>
      <c r="GY24" s="24">
        <v>32.5</v>
      </c>
      <c r="GZ24" s="16"/>
      <c r="HA24" s="59"/>
      <c r="HB24" s="126"/>
      <c r="HC24" s="20">
        <v>17</v>
      </c>
      <c r="HD24" s="19">
        <v>916.7</v>
      </c>
      <c r="HE24" s="17">
        <v>42293</v>
      </c>
      <c r="HF24" s="19">
        <v>916.7</v>
      </c>
      <c r="HG24" s="72" t="s">
        <v>714</v>
      </c>
      <c r="HH24" s="24">
        <v>33</v>
      </c>
      <c r="HI24" s="16"/>
      <c r="HJ24" s="135"/>
      <c r="HK24" s="126"/>
      <c r="HL24" s="20">
        <v>17</v>
      </c>
      <c r="HM24" s="19">
        <v>889.5</v>
      </c>
      <c r="HN24" s="17">
        <v>42293</v>
      </c>
      <c r="HO24" s="19">
        <v>889.5</v>
      </c>
      <c r="HP24" s="72" t="s">
        <v>716</v>
      </c>
      <c r="HQ24" s="24">
        <v>33</v>
      </c>
      <c r="HR24" s="16"/>
      <c r="HS24" s="135"/>
      <c r="HT24" s="126"/>
      <c r="HU24" s="20">
        <v>17</v>
      </c>
      <c r="HV24" s="19">
        <v>938</v>
      </c>
      <c r="HW24" s="17">
        <v>42294</v>
      </c>
      <c r="HX24" s="19">
        <v>938</v>
      </c>
      <c r="HY24" s="72" t="s">
        <v>720</v>
      </c>
      <c r="HZ24" s="24">
        <v>33</v>
      </c>
      <c r="IA24" s="16"/>
      <c r="IB24" s="135"/>
      <c r="IC24" s="126"/>
      <c r="ID24" s="20">
        <v>17</v>
      </c>
      <c r="IE24" s="19">
        <v>965.7</v>
      </c>
      <c r="IF24" s="17">
        <v>42296</v>
      </c>
      <c r="IG24" s="19">
        <v>965.7</v>
      </c>
      <c r="IH24" s="72" t="s">
        <v>724</v>
      </c>
      <c r="II24" s="24">
        <v>33.5</v>
      </c>
      <c r="IJ24" s="16"/>
      <c r="IK24" s="59"/>
      <c r="IL24" s="126"/>
      <c r="IM24" s="20">
        <v>17</v>
      </c>
      <c r="IN24" s="19">
        <v>918.37</v>
      </c>
      <c r="IO24" s="17">
        <v>42297</v>
      </c>
      <c r="IP24" s="19">
        <v>918.37</v>
      </c>
      <c r="IQ24" s="72" t="s">
        <v>726</v>
      </c>
      <c r="IR24" s="24">
        <v>32.07</v>
      </c>
      <c r="IS24" s="16"/>
      <c r="IT24" s="59"/>
      <c r="IU24" s="126"/>
      <c r="IV24" s="20">
        <v>17</v>
      </c>
      <c r="IW24" s="19">
        <v>903.1</v>
      </c>
      <c r="IX24" s="110">
        <v>42296</v>
      </c>
      <c r="IY24" s="19">
        <v>903.1</v>
      </c>
      <c r="IZ24" s="129" t="s">
        <v>723</v>
      </c>
      <c r="JA24" s="108">
        <v>33.5</v>
      </c>
      <c r="JB24" s="16"/>
      <c r="JC24" s="59"/>
      <c r="JD24" s="126"/>
      <c r="JE24" s="20">
        <v>17</v>
      </c>
      <c r="JF24" s="19">
        <v>1032</v>
      </c>
      <c r="JG24" s="17">
        <v>42298</v>
      </c>
      <c r="JH24" s="19">
        <v>1032</v>
      </c>
      <c r="JI24" s="510" t="s">
        <v>733</v>
      </c>
      <c r="JJ24" s="24">
        <v>33.5</v>
      </c>
      <c r="JK24" s="16"/>
      <c r="JL24" s="59"/>
      <c r="JM24" s="207"/>
      <c r="JN24" s="20">
        <v>17</v>
      </c>
      <c r="JO24" s="19">
        <v>1057</v>
      </c>
      <c r="JP24" s="17">
        <v>42298</v>
      </c>
      <c r="JQ24" s="19">
        <v>1057</v>
      </c>
      <c r="JR24" s="72" t="s">
        <v>734</v>
      </c>
      <c r="JS24" s="24">
        <v>33.5</v>
      </c>
      <c r="JT24" s="16"/>
      <c r="JU24" s="59"/>
      <c r="JV24" s="126"/>
      <c r="JW24" s="20">
        <v>17</v>
      </c>
      <c r="JX24" s="19">
        <v>924.26</v>
      </c>
      <c r="JY24" s="17">
        <v>42297</v>
      </c>
      <c r="JZ24" s="19">
        <v>924.26</v>
      </c>
      <c r="KA24" s="72" t="s">
        <v>730</v>
      </c>
      <c r="KB24" s="24">
        <v>33.5</v>
      </c>
      <c r="KC24" s="16"/>
      <c r="KD24" s="59"/>
      <c r="KE24" s="126"/>
      <c r="KF24" s="20">
        <v>17</v>
      </c>
      <c r="KG24" s="202">
        <v>887.98</v>
      </c>
      <c r="KH24" s="110">
        <v>42299</v>
      </c>
      <c r="KI24" s="202">
        <v>887.98</v>
      </c>
      <c r="KJ24" s="129" t="s">
        <v>738</v>
      </c>
      <c r="KK24" s="108">
        <v>33.5</v>
      </c>
      <c r="KL24" s="16"/>
      <c r="KM24" s="59"/>
      <c r="KN24" s="126"/>
      <c r="KO24" s="20">
        <v>17</v>
      </c>
      <c r="KP24" s="202">
        <v>952.38</v>
      </c>
      <c r="KQ24" s="17">
        <v>42300</v>
      </c>
      <c r="KR24" s="202">
        <v>952.38</v>
      </c>
      <c r="KS24" s="72" t="s">
        <v>746</v>
      </c>
      <c r="KT24" s="24">
        <v>33.5</v>
      </c>
      <c r="KU24" s="16"/>
      <c r="KV24" s="59"/>
      <c r="KW24" s="126"/>
      <c r="KX24" s="20">
        <v>17</v>
      </c>
      <c r="KY24" s="19">
        <v>933.9</v>
      </c>
      <c r="KZ24" s="17">
        <v>42301</v>
      </c>
      <c r="LA24" s="19">
        <v>933.9</v>
      </c>
      <c r="LB24" s="72" t="s">
        <v>749</v>
      </c>
      <c r="LC24" s="24">
        <v>33.5</v>
      </c>
      <c r="LD24" s="16"/>
      <c r="LE24" s="59"/>
      <c r="LF24" s="126"/>
      <c r="LG24" s="20">
        <v>17</v>
      </c>
      <c r="LH24" s="202">
        <v>919.4</v>
      </c>
      <c r="LI24" s="17">
        <v>42301</v>
      </c>
      <c r="LJ24" s="202">
        <v>919.4</v>
      </c>
      <c r="LK24" s="72" t="s">
        <v>753</v>
      </c>
      <c r="LL24" s="24">
        <v>33.5</v>
      </c>
      <c r="LM24" s="16"/>
      <c r="LN24" s="59"/>
      <c r="LO24" s="126"/>
      <c r="LP24" s="20">
        <v>17</v>
      </c>
      <c r="LQ24" s="19">
        <v>902.95</v>
      </c>
      <c r="LR24" s="17">
        <v>42303</v>
      </c>
      <c r="LS24" s="19">
        <v>902.95</v>
      </c>
      <c r="LT24" s="72" t="s">
        <v>762</v>
      </c>
      <c r="LU24" s="24">
        <v>32.5</v>
      </c>
      <c r="LV24" s="16"/>
      <c r="LW24" s="59"/>
      <c r="LX24" s="126"/>
      <c r="LY24" s="20">
        <v>17</v>
      </c>
      <c r="LZ24" s="179">
        <v>928</v>
      </c>
      <c r="MA24" s="17">
        <v>42303</v>
      </c>
      <c r="MB24" s="19">
        <v>928</v>
      </c>
      <c r="MC24" s="510" t="s">
        <v>761</v>
      </c>
      <c r="MD24" s="24">
        <v>32.5</v>
      </c>
      <c r="ME24" s="16"/>
      <c r="MF24" s="59"/>
      <c r="MG24" s="126"/>
      <c r="MH24" s="20">
        <v>17</v>
      </c>
      <c r="MI24" s="19">
        <v>939.68</v>
      </c>
      <c r="MJ24" s="17">
        <v>42304</v>
      </c>
      <c r="MK24" s="19">
        <v>939.68</v>
      </c>
      <c r="ML24" s="72" t="s">
        <v>768</v>
      </c>
      <c r="MM24" s="24">
        <v>31</v>
      </c>
      <c r="MN24" s="16"/>
      <c r="MO24" s="59"/>
      <c r="MP24" s="126"/>
      <c r="MQ24" s="20">
        <v>17</v>
      </c>
      <c r="MR24" s="19">
        <v>913.83</v>
      </c>
      <c r="MS24" s="17">
        <v>42305</v>
      </c>
      <c r="MT24" s="19">
        <v>913.83</v>
      </c>
      <c r="MU24" s="72" t="s">
        <v>769</v>
      </c>
      <c r="MV24" s="24">
        <v>31</v>
      </c>
      <c r="MW24" s="16"/>
      <c r="MX24" s="59"/>
      <c r="MY24" s="126"/>
      <c r="MZ24" s="20">
        <v>17</v>
      </c>
      <c r="NA24" s="19">
        <v>914.74</v>
      </c>
      <c r="NB24" s="17">
        <v>42305</v>
      </c>
      <c r="NC24" s="19">
        <v>914.74</v>
      </c>
      <c r="ND24" s="72" t="s">
        <v>773</v>
      </c>
      <c r="NE24" s="24">
        <v>31</v>
      </c>
      <c r="NF24" s="16"/>
      <c r="NG24" s="59"/>
      <c r="NH24" s="126"/>
      <c r="NI24" s="20">
        <v>17</v>
      </c>
      <c r="NJ24" s="19">
        <v>926.2</v>
      </c>
      <c r="NK24" s="17">
        <v>42306</v>
      </c>
      <c r="NL24" s="19">
        <v>926.2</v>
      </c>
      <c r="NM24" s="309" t="s">
        <v>779</v>
      </c>
      <c r="NN24" s="24">
        <v>30</v>
      </c>
      <c r="NO24" s="16"/>
      <c r="NP24" s="59"/>
      <c r="NQ24" s="126"/>
      <c r="NR24" s="20">
        <v>17</v>
      </c>
      <c r="NS24" s="19">
        <v>916.3</v>
      </c>
      <c r="NT24" s="17">
        <v>42307</v>
      </c>
      <c r="NU24" s="19">
        <v>916.3</v>
      </c>
      <c r="NV24" s="72" t="s">
        <v>784</v>
      </c>
      <c r="NW24" s="24">
        <v>30</v>
      </c>
      <c r="NX24" s="16"/>
      <c r="NY24" s="59"/>
      <c r="NZ24" s="126"/>
      <c r="OA24" s="20">
        <v>17</v>
      </c>
      <c r="OB24" s="19">
        <v>936.51</v>
      </c>
      <c r="OC24" s="17">
        <v>42307</v>
      </c>
      <c r="OD24" s="19">
        <v>936.51</v>
      </c>
      <c r="OE24" s="617" t="s">
        <v>782</v>
      </c>
      <c r="OF24" s="24">
        <v>30</v>
      </c>
      <c r="OG24" s="16"/>
      <c r="OH24" s="59"/>
      <c r="OI24" s="126"/>
      <c r="OJ24" s="20">
        <v>17</v>
      </c>
      <c r="OK24" s="19">
        <v>925.17</v>
      </c>
      <c r="OL24" s="17"/>
      <c r="OM24" s="19"/>
      <c r="ON24" s="72"/>
      <c r="OO24" s="24"/>
      <c r="OP24" s="16"/>
      <c r="OQ24" s="59"/>
      <c r="OR24" s="126"/>
      <c r="OS24" s="20">
        <v>17</v>
      </c>
      <c r="OT24" s="19">
        <v>992</v>
      </c>
      <c r="OU24" s="17"/>
      <c r="OV24" s="19"/>
      <c r="OW24" s="309"/>
      <c r="OX24" s="24"/>
      <c r="OY24" s="16"/>
      <c r="OZ24" s="59"/>
      <c r="PA24" s="126"/>
      <c r="PB24" s="20">
        <v>17</v>
      </c>
      <c r="PC24" s="19">
        <v>900.4</v>
      </c>
      <c r="PD24" s="17">
        <v>42308</v>
      </c>
      <c r="PE24" s="19">
        <v>900.4</v>
      </c>
      <c r="PF24" s="72" t="s">
        <v>703</v>
      </c>
      <c r="PG24" s="24">
        <v>29</v>
      </c>
      <c r="PH24" s="16"/>
      <c r="PI24" s="59"/>
      <c r="PJ24" s="126"/>
      <c r="PK24" s="20"/>
      <c r="PL24" s="19"/>
      <c r="PM24" s="17"/>
      <c r="PN24" s="19"/>
      <c r="PO24" s="72"/>
      <c r="PP24" s="24"/>
      <c r="PQ24" s="16"/>
      <c r="PR24" s="59"/>
      <c r="PS24" s="126"/>
      <c r="PT24" s="20"/>
      <c r="PU24" s="19"/>
      <c r="PV24" s="17"/>
      <c r="PW24" s="19"/>
      <c r="PX24" s="72"/>
      <c r="PY24" s="24"/>
      <c r="PZ24" s="16"/>
      <c r="QA24" s="59"/>
      <c r="QB24" s="126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>
        <v>17</v>
      </c>
      <c r="RN24" s="19"/>
      <c r="RO24" s="403"/>
      <c r="RP24" s="406"/>
      <c r="RQ24" s="404"/>
      <c r="RR24" s="405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 xml:space="preserve">MANSIVA SA DE CV </v>
      </c>
      <c r="C25" s="24" t="str">
        <f t="shared" si="21"/>
        <v>INDIANA</v>
      </c>
      <c r="D25" s="74" t="str">
        <f t="shared" si="21"/>
        <v>PED. 5021062</v>
      </c>
      <c r="E25" s="162">
        <f t="shared" si="21"/>
        <v>42293</v>
      </c>
      <c r="F25" s="77">
        <f t="shared" si="21"/>
        <v>18389.2</v>
      </c>
      <c r="G25" s="15">
        <f t="shared" si="21"/>
        <v>20</v>
      </c>
      <c r="H25" s="65">
        <f t="shared" si="21"/>
        <v>18464.5</v>
      </c>
      <c r="I25" s="18">
        <f t="shared" si="21"/>
        <v>-75.299999999999272</v>
      </c>
      <c r="K25" s="59"/>
      <c r="L25" s="126"/>
      <c r="M25" s="20">
        <v>18</v>
      </c>
      <c r="N25" s="19">
        <v>952.5</v>
      </c>
      <c r="O25" s="339">
        <v>42278</v>
      </c>
      <c r="P25" s="226">
        <v>952.5</v>
      </c>
      <c r="Q25" s="340" t="s">
        <v>630</v>
      </c>
      <c r="R25" s="341">
        <v>30</v>
      </c>
      <c r="S25" s="16"/>
      <c r="T25" s="59"/>
      <c r="U25" s="126"/>
      <c r="V25" s="20">
        <v>18</v>
      </c>
      <c r="W25" s="19">
        <v>917.2</v>
      </c>
      <c r="X25" s="156">
        <v>42279</v>
      </c>
      <c r="Y25" s="179">
        <v>917.2</v>
      </c>
      <c r="Z25" s="309" t="s">
        <v>636</v>
      </c>
      <c r="AA25" s="116">
        <v>30</v>
      </c>
      <c r="AB25" s="16"/>
      <c r="AC25" s="59"/>
      <c r="AD25" s="126"/>
      <c r="AE25" s="20">
        <v>18</v>
      </c>
      <c r="AF25" s="19">
        <v>973</v>
      </c>
      <c r="AG25" s="110">
        <v>42280</v>
      </c>
      <c r="AH25" s="19">
        <v>973</v>
      </c>
      <c r="AI25" s="129" t="s">
        <v>642</v>
      </c>
      <c r="AJ25" s="116">
        <v>31</v>
      </c>
      <c r="AK25" s="16"/>
      <c r="AL25" s="59"/>
      <c r="AM25" s="126"/>
      <c r="AN25" s="20">
        <v>18</v>
      </c>
      <c r="AO25" s="19">
        <v>946.49</v>
      </c>
      <c r="AP25" s="17">
        <v>42280</v>
      </c>
      <c r="AQ25" s="19">
        <v>946.49</v>
      </c>
      <c r="AR25" s="72" t="s">
        <v>639</v>
      </c>
      <c r="AS25" s="24">
        <v>31</v>
      </c>
      <c r="AT25" s="16"/>
      <c r="AU25" s="59"/>
      <c r="AV25" s="175"/>
      <c r="AW25" s="20"/>
      <c r="AX25" s="19"/>
      <c r="AY25" s="110"/>
      <c r="AZ25" s="19"/>
      <c r="BA25" s="129"/>
      <c r="BB25" s="108"/>
      <c r="BC25" s="16"/>
      <c r="BD25" s="59"/>
      <c r="BE25" s="126"/>
      <c r="BF25" s="20">
        <v>18</v>
      </c>
      <c r="BG25" s="19">
        <v>911.7</v>
      </c>
      <c r="BH25" s="17">
        <v>42281</v>
      </c>
      <c r="BI25" s="19">
        <v>911.7</v>
      </c>
      <c r="BJ25" s="510" t="s">
        <v>644</v>
      </c>
      <c r="BK25" s="160">
        <v>31</v>
      </c>
      <c r="BL25" s="16"/>
      <c r="BM25" s="59"/>
      <c r="BN25" s="183"/>
      <c r="BO25" s="20">
        <v>18</v>
      </c>
      <c r="BP25" s="19">
        <v>979.14</v>
      </c>
      <c r="BQ25" s="17">
        <v>42283</v>
      </c>
      <c r="BR25" s="19">
        <v>979.14</v>
      </c>
      <c r="BS25" s="72" t="s">
        <v>655</v>
      </c>
      <c r="BT25" s="24">
        <v>31.5</v>
      </c>
      <c r="BU25" s="16"/>
      <c r="BV25" s="59"/>
      <c r="BW25" s="183"/>
      <c r="BX25" s="20">
        <v>18</v>
      </c>
      <c r="BY25" s="19">
        <v>921.54</v>
      </c>
      <c r="BZ25" s="17">
        <v>42283</v>
      </c>
      <c r="CA25" s="19">
        <v>921.54</v>
      </c>
      <c r="CB25" s="72" t="s">
        <v>652</v>
      </c>
      <c r="CC25" s="24">
        <v>31.5</v>
      </c>
      <c r="CD25" s="16"/>
      <c r="CE25" s="59"/>
      <c r="CF25" s="183"/>
      <c r="CG25" s="20">
        <v>18</v>
      </c>
      <c r="CH25" s="19">
        <v>914.29</v>
      </c>
      <c r="CI25" s="17">
        <v>42284</v>
      </c>
      <c r="CJ25" s="19">
        <v>914.29</v>
      </c>
      <c r="CK25" s="437" t="s">
        <v>660</v>
      </c>
      <c r="CL25" s="24">
        <v>31.5</v>
      </c>
      <c r="CM25" s="16"/>
      <c r="CN25" s="59"/>
      <c r="CO25" s="126"/>
      <c r="CP25" s="20">
        <v>18</v>
      </c>
      <c r="CQ25" s="19">
        <v>923.1</v>
      </c>
      <c r="CR25" s="17">
        <v>42285</v>
      </c>
      <c r="CS25" s="19">
        <v>923.1</v>
      </c>
      <c r="CT25" s="326" t="s">
        <v>664</v>
      </c>
      <c r="CU25" s="24">
        <v>31.5</v>
      </c>
      <c r="CV25" s="16"/>
      <c r="CW25" s="59"/>
      <c r="CX25" s="126"/>
      <c r="CY25" s="20">
        <v>18</v>
      </c>
      <c r="CZ25" s="202">
        <v>1030</v>
      </c>
      <c r="DA25" s="17">
        <v>42287</v>
      </c>
      <c r="DB25" s="202">
        <v>1030</v>
      </c>
      <c r="DC25" s="43" t="s">
        <v>671</v>
      </c>
      <c r="DD25" s="24">
        <v>32</v>
      </c>
      <c r="DE25" s="16"/>
      <c r="DF25" s="59"/>
      <c r="DG25" s="126"/>
      <c r="DH25" s="20">
        <v>18</v>
      </c>
      <c r="DI25" s="19">
        <v>941.7</v>
      </c>
      <c r="DJ25" s="17">
        <v>42286</v>
      </c>
      <c r="DK25" s="19">
        <v>941.7</v>
      </c>
      <c r="DL25" s="43" t="s">
        <v>668</v>
      </c>
      <c r="DM25" s="24">
        <v>32</v>
      </c>
      <c r="DN25" s="16"/>
      <c r="DO25" s="59"/>
      <c r="DP25" s="126"/>
      <c r="DQ25" s="20">
        <v>18</v>
      </c>
      <c r="DR25" s="30">
        <v>912.2</v>
      </c>
      <c r="DS25" s="58">
        <v>42287</v>
      </c>
      <c r="DT25" s="30">
        <v>912.2</v>
      </c>
      <c r="DU25" s="79" t="s">
        <v>675</v>
      </c>
      <c r="DV25" s="24">
        <v>32</v>
      </c>
      <c r="DW25" s="16"/>
      <c r="DX25" s="59"/>
      <c r="DY25" s="126"/>
      <c r="DZ25" s="20">
        <v>18</v>
      </c>
      <c r="EA25" s="30">
        <v>959.18</v>
      </c>
      <c r="EB25" s="58">
        <v>42290</v>
      </c>
      <c r="EC25" s="30">
        <v>959.18</v>
      </c>
      <c r="ED25" s="79" t="s">
        <v>685</v>
      </c>
      <c r="EE25" s="24">
        <v>30.3</v>
      </c>
      <c r="EF25" s="16"/>
      <c r="EG25" s="59"/>
      <c r="EH25" s="126"/>
      <c r="EI25" s="20">
        <v>18</v>
      </c>
      <c r="EJ25" s="19">
        <v>962</v>
      </c>
      <c r="EK25" s="17">
        <v>42289</v>
      </c>
      <c r="EL25" s="18">
        <v>962</v>
      </c>
      <c r="EM25" s="43" t="s">
        <v>676</v>
      </c>
      <c r="EN25" s="24">
        <v>32</v>
      </c>
      <c r="EO25" s="16"/>
      <c r="EP25" s="59"/>
      <c r="EQ25" s="126"/>
      <c r="ER25" s="20">
        <v>18</v>
      </c>
      <c r="ES25" s="19">
        <v>925.3</v>
      </c>
      <c r="ET25" s="17">
        <v>42289</v>
      </c>
      <c r="EU25" s="19">
        <v>925.3</v>
      </c>
      <c r="EV25" s="79" t="s">
        <v>678</v>
      </c>
      <c r="EW25" s="24">
        <v>32</v>
      </c>
      <c r="EX25" s="16"/>
      <c r="EY25" s="59"/>
      <c r="EZ25" s="126"/>
      <c r="FA25" s="20">
        <v>18</v>
      </c>
      <c r="FB25" s="19">
        <v>920.63</v>
      </c>
      <c r="FC25" s="17">
        <v>42290</v>
      </c>
      <c r="FD25" s="19">
        <v>920.63</v>
      </c>
      <c r="FE25" s="43" t="s">
        <v>689</v>
      </c>
      <c r="FF25" s="24">
        <v>32.5</v>
      </c>
      <c r="FG25" s="16"/>
      <c r="FH25" s="59"/>
      <c r="FI25" s="126"/>
      <c r="FJ25" s="20">
        <v>18</v>
      </c>
      <c r="FK25" s="30">
        <v>937.41</v>
      </c>
      <c r="FL25" s="58">
        <v>42290</v>
      </c>
      <c r="FM25" s="30">
        <v>937.41</v>
      </c>
      <c r="FN25" s="79" t="s">
        <v>691</v>
      </c>
      <c r="FO25" s="24">
        <v>32.5</v>
      </c>
      <c r="FP25" s="16"/>
      <c r="FQ25" s="59"/>
      <c r="FR25" s="126"/>
      <c r="FS25" s="20">
        <v>18</v>
      </c>
      <c r="FT25" s="30">
        <v>931.97</v>
      </c>
      <c r="FU25" s="58">
        <v>42291</v>
      </c>
      <c r="FV25" s="30">
        <v>931.97</v>
      </c>
      <c r="FW25" s="79" t="s">
        <v>697</v>
      </c>
      <c r="FX25" s="24">
        <v>32.5</v>
      </c>
      <c r="FY25" s="16"/>
      <c r="FZ25" s="59"/>
      <c r="GA25" s="126"/>
      <c r="GB25" s="20">
        <v>18</v>
      </c>
      <c r="GC25" s="19">
        <v>932.1</v>
      </c>
      <c r="GD25" s="17">
        <v>42291</v>
      </c>
      <c r="GE25" s="19">
        <v>932.1</v>
      </c>
      <c r="GF25" s="360" t="s">
        <v>693</v>
      </c>
      <c r="GG25" s="24">
        <v>32.5</v>
      </c>
      <c r="GH25" s="16"/>
      <c r="GI25" s="135"/>
      <c r="GJ25" s="126"/>
      <c r="GK25" s="20">
        <v>18</v>
      </c>
      <c r="GL25" s="19">
        <v>917.6</v>
      </c>
      <c r="GM25" s="17">
        <v>42292</v>
      </c>
      <c r="GN25" s="19">
        <v>917.6</v>
      </c>
      <c r="GO25" s="72" t="s">
        <v>702</v>
      </c>
      <c r="GP25" s="24">
        <v>32.5</v>
      </c>
      <c r="GQ25" s="16"/>
      <c r="GR25" s="59"/>
      <c r="GS25" s="126"/>
      <c r="GT25" s="20">
        <v>18</v>
      </c>
      <c r="GU25" s="19">
        <v>911.7</v>
      </c>
      <c r="GV25" s="17">
        <v>42293</v>
      </c>
      <c r="GW25" s="19">
        <v>911.7</v>
      </c>
      <c r="GX25" s="72" t="s">
        <v>704</v>
      </c>
      <c r="GY25" s="24">
        <v>32.5</v>
      </c>
      <c r="GZ25" s="16"/>
      <c r="HA25" s="59"/>
      <c r="HB25" s="126"/>
      <c r="HC25" s="20">
        <v>18</v>
      </c>
      <c r="HD25" s="19">
        <v>959.3</v>
      </c>
      <c r="HE25" s="17">
        <v>42293</v>
      </c>
      <c r="HF25" s="19">
        <v>959.3</v>
      </c>
      <c r="HG25" s="72" t="s">
        <v>714</v>
      </c>
      <c r="HH25" s="24">
        <v>33</v>
      </c>
      <c r="HI25" s="16"/>
      <c r="HJ25" s="135"/>
      <c r="HK25" s="126"/>
      <c r="HL25" s="20">
        <v>18</v>
      </c>
      <c r="HM25" s="19">
        <v>896.7</v>
      </c>
      <c r="HN25" s="17">
        <v>42293</v>
      </c>
      <c r="HO25" s="19">
        <v>896.7</v>
      </c>
      <c r="HP25" s="72" t="s">
        <v>716</v>
      </c>
      <c r="HQ25" s="24">
        <v>33</v>
      </c>
      <c r="HR25" s="16"/>
      <c r="HS25" s="135"/>
      <c r="HT25" s="126"/>
      <c r="HU25" s="20">
        <v>18</v>
      </c>
      <c r="HV25" s="19">
        <v>939</v>
      </c>
      <c r="HW25" s="17">
        <v>42294</v>
      </c>
      <c r="HX25" s="19">
        <v>939</v>
      </c>
      <c r="HY25" s="72" t="s">
        <v>720</v>
      </c>
      <c r="HZ25" s="24">
        <v>33</v>
      </c>
      <c r="IA25" s="16"/>
      <c r="IB25" s="135"/>
      <c r="IC25" s="126"/>
      <c r="ID25" s="20">
        <v>18</v>
      </c>
      <c r="IE25" s="19">
        <v>883.1</v>
      </c>
      <c r="IF25" s="17">
        <v>42296</v>
      </c>
      <c r="IG25" s="19">
        <v>883.1</v>
      </c>
      <c r="IH25" s="72" t="s">
        <v>724</v>
      </c>
      <c r="II25" s="24">
        <v>33.5</v>
      </c>
      <c r="IJ25" s="16"/>
      <c r="IK25" s="59"/>
      <c r="IL25" s="126"/>
      <c r="IM25" s="20">
        <v>18</v>
      </c>
      <c r="IN25" s="19">
        <v>948.3</v>
      </c>
      <c r="IO25" s="17">
        <v>42297</v>
      </c>
      <c r="IP25" s="19">
        <v>948.3</v>
      </c>
      <c r="IQ25" s="72" t="s">
        <v>726</v>
      </c>
      <c r="IR25" s="24">
        <v>32.07</v>
      </c>
      <c r="IS25" s="16"/>
      <c r="IT25" s="59"/>
      <c r="IU25" s="126"/>
      <c r="IV25" s="20">
        <v>18</v>
      </c>
      <c r="IW25" s="19">
        <v>786.9</v>
      </c>
      <c r="IX25" s="110">
        <v>42296</v>
      </c>
      <c r="IY25" s="19">
        <v>786.9</v>
      </c>
      <c r="IZ25" s="129" t="s">
        <v>723</v>
      </c>
      <c r="JA25" s="108">
        <v>33.5</v>
      </c>
      <c r="JB25" s="16"/>
      <c r="JC25" s="59"/>
      <c r="JD25" s="126"/>
      <c r="JE25" s="20">
        <v>18</v>
      </c>
      <c r="JF25" s="19">
        <v>1024</v>
      </c>
      <c r="JG25" s="17">
        <v>42298</v>
      </c>
      <c r="JH25" s="19">
        <v>1024</v>
      </c>
      <c r="JI25" s="510" t="s">
        <v>733</v>
      </c>
      <c r="JJ25" s="24">
        <v>33.5</v>
      </c>
      <c r="JK25" s="16"/>
      <c r="JL25" s="59"/>
      <c r="JM25" s="207"/>
      <c r="JN25" s="20">
        <v>18</v>
      </c>
      <c r="JO25" s="19">
        <v>1022</v>
      </c>
      <c r="JP25" s="17">
        <v>42299</v>
      </c>
      <c r="JQ25" s="19">
        <v>1022</v>
      </c>
      <c r="JR25" s="72" t="s">
        <v>735</v>
      </c>
      <c r="JS25" s="24">
        <v>33.5</v>
      </c>
      <c r="JT25" s="16"/>
      <c r="JU25" s="59"/>
      <c r="JV25" s="126"/>
      <c r="JW25" s="20">
        <v>18</v>
      </c>
      <c r="JX25" s="19">
        <v>895.24</v>
      </c>
      <c r="JY25" s="17">
        <v>42297</v>
      </c>
      <c r="JZ25" s="19">
        <v>895.24</v>
      </c>
      <c r="KA25" s="72" t="s">
        <v>730</v>
      </c>
      <c r="KB25" s="24">
        <v>33.5</v>
      </c>
      <c r="KC25" s="16"/>
      <c r="KD25" s="59"/>
      <c r="KE25" s="139"/>
      <c r="KF25" s="20">
        <v>18</v>
      </c>
      <c r="KG25" s="202">
        <v>893.88</v>
      </c>
      <c r="KH25" s="110">
        <v>42299</v>
      </c>
      <c r="KI25" s="202">
        <v>893.88</v>
      </c>
      <c r="KJ25" s="129" t="s">
        <v>738</v>
      </c>
      <c r="KK25" s="108">
        <v>33.5</v>
      </c>
      <c r="KL25" s="16"/>
      <c r="KM25" s="59"/>
      <c r="KN25" s="126"/>
      <c r="KO25" s="20">
        <v>18</v>
      </c>
      <c r="KP25" s="202">
        <v>946.49</v>
      </c>
      <c r="KQ25" s="17">
        <v>42300</v>
      </c>
      <c r="KR25" s="202">
        <v>946.49</v>
      </c>
      <c r="KS25" s="72" t="s">
        <v>746</v>
      </c>
      <c r="KT25" s="24">
        <v>33.5</v>
      </c>
      <c r="KU25" s="16"/>
      <c r="KV25" s="59"/>
      <c r="KW25" s="126"/>
      <c r="KX25" s="20">
        <v>18</v>
      </c>
      <c r="KY25" s="19">
        <v>893.1</v>
      </c>
      <c r="KZ25" s="17">
        <v>42301</v>
      </c>
      <c r="LA25" s="19">
        <v>893.1</v>
      </c>
      <c r="LB25" s="72" t="s">
        <v>749</v>
      </c>
      <c r="LC25" s="24">
        <v>33.5</v>
      </c>
      <c r="LD25" s="16"/>
      <c r="LE25" s="59"/>
      <c r="LF25" s="126"/>
      <c r="LG25" s="20">
        <v>18</v>
      </c>
      <c r="LH25" s="202">
        <v>920.8</v>
      </c>
      <c r="LI25" s="17">
        <v>42301</v>
      </c>
      <c r="LJ25" s="202">
        <v>920.8</v>
      </c>
      <c r="LK25" s="72" t="s">
        <v>753</v>
      </c>
      <c r="LL25" s="24">
        <v>33.5</v>
      </c>
      <c r="LM25" s="16"/>
      <c r="LN25" s="59"/>
      <c r="LO25" s="126"/>
      <c r="LP25" s="20">
        <v>18</v>
      </c>
      <c r="LQ25" s="19">
        <v>923.36</v>
      </c>
      <c r="LR25" s="17">
        <v>42303</v>
      </c>
      <c r="LS25" s="19">
        <v>923.36</v>
      </c>
      <c r="LT25" s="72" t="s">
        <v>762</v>
      </c>
      <c r="LU25" s="24">
        <v>32.5</v>
      </c>
      <c r="LV25" s="16"/>
      <c r="LW25" s="59"/>
      <c r="LX25" s="126"/>
      <c r="LY25" s="20">
        <v>18</v>
      </c>
      <c r="LZ25" s="179">
        <v>913.5</v>
      </c>
      <c r="MA25" s="17">
        <v>42303</v>
      </c>
      <c r="MB25" s="19">
        <v>913.5</v>
      </c>
      <c r="MC25" s="72" t="s">
        <v>760</v>
      </c>
      <c r="MD25" s="24">
        <v>32.5</v>
      </c>
      <c r="ME25" s="16"/>
      <c r="MF25" s="59"/>
      <c r="MG25" s="183" t="s">
        <v>448</v>
      </c>
      <c r="MH25" s="20">
        <v>18</v>
      </c>
      <c r="MI25" s="19">
        <v>834.01</v>
      </c>
      <c r="MJ25" s="17">
        <v>42304</v>
      </c>
      <c r="MK25" s="19">
        <v>834.01</v>
      </c>
      <c r="ML25" s="72" t="s">
        <v>768</v>
      </c>
      <c r="MM25" s="24">
        <v>18</v>
      </c>
      <c r="MN25" s="16"/>
      <c r="MO25" s="59"/>
      <c r="MP25" s="126"/>
      <c r="MQ25" s="20">
        <v>18</v>
      </c>
      <c r="MR25" s="19">
        <v>902.04</v>
      </c>
      <c r="MS25" s="17">
        <v>42305</v>
      </c>
      <c r="MT25" s="19">
        <v>902.04</v>
      </c>
      <c r="MU25" s="72" t="s">
        <v>769</v>
      </c>
      <c r="MV25" s="24">
        <v>31</v>
      </c>
      <c r="MW25" s="16"/>
      <c r="MX25" s="59"/>
      <c r="MY25" s="126"/>
      <c r="MZ25" s="20">
        <v>18</v>
      </c>
      <c r="NA25" s="19">
        <v>944.67</v>
      </c>
      <c r="NB25" s="17">
        <v>42305</v>
      </c>
      <c r="NC25" s="19">
        <v>944.67</v>
      </c>
      <c r="ND25" s="72" t="s">
        <v>773</v>
      </c>
      <c r="NE25" s="24">
        <v>31</v>
      </c>
      <c r="NF25" s="16"/>
      <c r="NG25" s="59"/>
      <c r="NH25" s="126"/>
      <c r="NI25" s="20">
        <v>18</v>
      </c>
      <c r="NJ25" s="19">
        <v>933</v>
      </c>
      <c r="NK25" s="17">
        <v>42306</v>
      </c>
      <c r="NL25" s="19">
        <v>933</v>
      </c>
      <c r="NM25" s="309" t="s">
        <v>779</v>
      </c>
      <c r="NN25" s="24">
        <v>30</v>
      </c>
      <c r="NO25" s="16"/>
      <c r="NP25" s="59"/>
      <c r="NQ25" s="126"/>
      <c r="NR25" s="20">
        <v>18</v>
      </c>
      <c r="NS25" s="19">
        <v>918.1</v>
      </c>
      <c r="NT25" s="17">
        <v>42307</v>
      </c>
      <c r="NU25" s="19">
        <v>918.1</v>
      </c>
      <c r="NV25" s="72" t="s">
        <v>784</v>
      </c>
      <c r="NW25" s="24">
        <v>30</v>
      </c>
      <c r="NX25" s="16"/>
      <c r="NY25" s="59"/>
      <c r="NZ25" s="126"/>
      <c r="OA25" s="20">
        <v>18</v>
      </c>
      <c r="OB25" s="19">
        <v>954.65</v>
      </c>
      <c r="OC25" s="17">
        <v>42307</v>
      </c>
      <c r="OD25" s="19">
        <v>954.65</v>
      </c>
      <c r="OE25" s="72" t="s">
        <v>782</v>
      </c>
      <c r="OF25" s="24">
        <v>30</v>
      </c>
      <c r="OG25" s="16"/>
      <c r="OH25" s="59"/>
      <c r="OI25" s="126"/>
      <c r="OJ25" s="20">
        <v>18</v>
      </c>
      <c r="OK25" s="19">
        <v>902.95</v>
      </c>
      <c r="OL25" s="17"/>
      <c r="OM25" s="19"/>
      <c r="ON25" s="72"/>
      <c r="OO25" s="24"/>
      <c r="OP25" s="16"/>
      <c r="OQ25" s="59"/>
      <c r="OR25" s="126"/>
      <c r="OS25" s="20">
        <v>18</v>
      </c>
      <c r="OT25" s="19">
        <v>958</v>
      </c>
      <c r="OU25" s="17"/>
      <c r="OV25" s="19"/>
      <c r="OW25" s="309"/>
      <c r="OX25" s="24"/>
      <c r="OY25" s="16"/>
      <c r="OZ25" s="59"/>
      <c r="PA25" s="126"/>
      <c r="PB25" s="20">
        <v>18</v>
      </c>
      <c r="PC25" s="19">
        <v>918.5</v>
      </c>
      <c r="PD25" s="17">
        <v>42308</v>
      </c>
      <c r="PE25" s="19">
        <v>918.5</v>
      </c>
      <c r="PF25" s="72" t="s">
        <v>793</v>
      </c>
      <c r="PG25" s="24">
        <v>29</v>
      </c>
      <c r="PH25" s="16"/>
      <c r="PI25" s="59"/>
      <c r="PJ25" s="126"/>
      <c r="PK25" s="20"/>
      <c r="PL25" s="19"/>
      <c r="PM25" s="17"/>
      <c r="PN25" s="19"/>
      <c r="PO25" s="72"/>
      <c r="PP25" s="24"/>
      <c r="PQ25" s="16"/>
      <c r="PR25" s="59"/>
      <c r="PS25" s="126"/>
      <c r="PT25" s="20"/>
      <c r="PU25" s="19"/>
      <c r="PV25" s="17"/>
      <c r="PW25" s="19"/>
      <c r="PX25" s="72"/>
      <c r="PY25" s="24"/>
      <c r="PZ25" s="16"/>
      <c r="QA25" s="59"/>
      <c r="QB25" s="126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>
        <v>18</v>
      </c>
      <c r="RN25" s="19"/>
      <c r="RO25" s="403"/>
      <c r="RP25" s="406"/>
      <c r="RQ25" s="404"/>
      <c r="RR25" s="405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4" t="str">
        <f t="shared" si="22"/>
        <v>PED. 5004080</v>
      </c>
      <c r="E26" s="162">
        <f t="shared" si="22"/>
        <v>42293</v>
      </c>
      <c r="F26" s="77">
        <f t="shared" si="22"/>
        <v>19316.63</v>
      </c>
      <c r="G26" s="15">
        <f t="shared" si="22"/>
        <v>21</v>
      </c>
      <c r="H26" s="65">
        <f t="shared" si="22"/>
        <v>19428.2</v>
      </c>
      <c r="I26" s="18">
        <f t="shared" si="22"/>
        <v>-111.56999999999971</v>
      </c>
      <c r="K26" s="59"/>
      <c r="L26" s="126"/>
      <c r="M26" s="20">
        <v>19</v>
      </c>
      <c r="N26" s="19">
        <v>873.2</v>
      </c>
      <c r="O26" s="339">
        <v>42278</v>
      </c>
      <c r="P26" s="226">
        <v>873.2</v>
      </c>
      <c r="Q26" s="340" t="s">
        <v>630</v>
      </c>
      <c r="R26" s="341">
        <v>30</v>
      </c>
      <c r="S26" s="16"/>
      <c r="T26" s="59"/>
      <c r="U26" s="126"/>
      <c r="V26" s="20">
        <v>19</v>
      </c>
      <c r="W26" s="19">
        <v>923.1</v>
      </c>
      <c r="X26" s="17">
        <v>42279</v>
      </c>
      <c r="Y26" s="19">
        <v>923.1</v>
      </c>
      <c r="Z26" s="72" t="s">
        <v>636</v>
      </c>
      <c r="AA26" s="24">
        <v>30</v>
      </c>
      <c r="AB26" s="16"/>
      <c r="AC26" s="59"/>
      <c r="AD26" s="126"/>
      <c r="AE26" s="20">
        <v>19</v>
      </c>
      <c r="AF26" s="19">
        <v>967</v>
      </c>
      <c r="AG26" s="110">
        <v>42280</v>
      </c>
      <c r="AH26" s="19">
        <v>967</v>
      </c>
      <c r="AI26" s="129" t="s">
        <v>642</v>
      </c>
      <c r="AJ26" s="116">
        <v>31</v>
      </c>
      <c r="AK26" s="16"/>
      <c r="AL26" s="59"/>
      <c r="AM26" s="126"/>
      <c r="AN26" s="20">
        <v>19</v>
      </c>
      <c r="AO26" s="19">
        <v>948.75</v>
      </c>
      <c r="AP26" s="17">
        <v>42280</v>
      </c>
      <c r="AQ26" s="19">
        <v>948.75</v>
      </c>
      <c r="AR26" s="72" t="s">
        <v>640</v>
      </c>
      <c r="AS26" s="24">
        <v>31</v>
      </c>
      <c r="AT26" s="16"/>
      <c r="AU26" s="59"/>
      <c r="AV26" s="175"/>
      <c r="AW26" s="20"/>
      <c r="AX26" s="19"/>
      <c r="AY26" s="110"/>
      <c r="AZ26" s="19"/>
      <c r="BA26" s="129"/>
      <c r="BB26" s="108"/>
      <c r="BC26" s="16"/>
      <c r="BD26" s="59"/>
      <c r="BE26" s="126"/>
      <c r="BF26" s="20">
        <v>19</v>
      </c>
      <c r="BG26" s="19">
        <v>907.6</v>
      </c>
      <c r="BH26" s="17">
        <v>42281</v>
      </c>
      <c r="BI26" s="19">
        <v>907.6</v>
      </c>
      <c r="BJ26" s="510" t="s">
        <v>644</v>
      </c>
      <c r="BK26" s="160">
        <v>31</v>
      </c>
      <c r="BL26" s="16"/>
      <c r="BM26" s="59"/>
      <c r="BN26" s="183" t="s">
        <v>448</v>
      </c>
      <c r="BO26" s="20">
        <v>19</v>
      </c>
      <c r="BP26" s="19">
        <v>831.75</v>
      </c>
      <c r="BQ26" s="17">
        <v>42283</v>
      </c>
      <c r="BR26" s="19">
        <v>831.75</v>
      </c>
      <c r="BS26" s="510" t="s">
        <v>653</v>
      </c>
      <c r="BT26" s="24">
        <v>18</v>
      </c>
      <c r="BU26" s="16"/>
      <c r="BV26" s="59"/>
      <c r="BW26" s="183"/>
      <c r="BX26" s="20">
        <v>19</v>
      </c>
      <c r="BY26" s="19">
        <v>894.78</v>
      </c>
      <c r="BZ26" s="17">
        <v>42283</v>
      </c>
      <c r="CA26" s="19">
        <v>894.78</v>
      </c>
      <c r="CB26" s="72" t="s">
        <v>652</v>
      </c>
      <c r="CC26" s="24">
        <v>31.5</v>
      </c>
      <c r="CD26" s="16"/>
      <c r="CE26" s="59"/>
      <c r="CF26" s="183" t="s">
        <v>657</v>
      </c>
      <c r="CG26" s="20">
        <v>19</v>
      </c>
      <c r="CH26" s="19">
        <v>816.33</v>
      </c>
      <c r="CI26" s="17">
        <v>42284</v>
      </c>
      <c r="CJ26" s="19">
        <v>847.62</v>
      </c>
      <c r="CK26" s="437" t="s">
        <v>658</v>
      </c>
      <c r="CL26" s="24">
        <v>18</v>
      </c>
      <c r="CM26" s="16"/>
      <c r="CN26" s="59"/>
      <c r="CO26" s="126"/>
      <c r="CP26" s="20">
        <v>19</v>
      </c>
      <c r="CQ26" s="19">
        <v>927.6</v>
      </c>
      <c r="CR26" s="17">
        <v>42285</v>
      </c>
      <c r="CS26" s="19">
        <v>927.6</v>
      </c>
      <c r="CT26" s="326" t="s">
        <v>664</v>
      </c>
      <c r="CU26" s="24">
        <v>31.5</v>
      </c>
      <c r="CV26" s="16"/>
      <c r="CW26" s="59"/>
      <c r="CX26" s="126"/>
      <c r="CY26" s="20">
        <v>19</v>
      </c>
      <c r="CZ26" s="202">
        <v>975</v>
      </c>
      <c r="DA26" s="17">
        <v>42287</v>
      </c>
      <c r="DB26" s="202">
        <v>975</v>
      </c>
      <c r="DC26" s="43" t="s">
        <v>671</v>
      </c>
      <c r="DD26" s="24">
        <v>32</v>
      </c>
      <c r="DE26" s="16"/>
      <c r="DF26" s="59"/>
      <c r="DG26" s="126"/>
      <c r="DH26" s="20">
        <v>19</v>
      </c>
      <c r="DI26" s="19">
        <v>912.6</v>
      </c>
      <c r="DJ26" s="17">
        <v>42286</v>
      </c>
      <c r="DK26" s="19">
        <v>912.6</v>
      </c>
      <c r="DL26" s="43" t="s">
        <v>668</v>
      </c>
      <c r="DM26" s="24">
        <v>32</v>
      </c>
      <c r="DN26" s="16"/>
      <c r="DO26" s="59"/>
      <c r="DP26" s="126"/>
      <c r="DQ26" s="20">
        <v>19</v>
      </c>
      <c r="DR26" s="30">
        <v>912.2</v>
      </c>
      <c r="DS26" s="58">
        <v>42287</v>
      </c>
      <c r="DT26" s="30">
        <v>912.2</v>
      </c>
      <c r="DU26" s="79" t="s">
        <v>673</v>
      </c>
      <c r="DV26" s="24">
        <v>32</v>
      </c>
      <c r="DW26" s="16"/>
      <c r="DX26" s="59"/>
      <c r="DY26" s="126"/>
      <c r="DZ26" s="20">
        <v>19</v>
      </c>
      <c r="EA26" s="30">
        <v>913.38</v>
      </c>
      <c r="EB26" s="58">
        <v>42290</v>
      </c>
      <c r="EC26" s="30">
        <v>913.38</v>
      </c>
      <c r="ED26" s="79" t="s">
        <v>685</v>
      </c>
      <c r="EE26" s="24">
        <v>30.3</v>
      </c>
      <c r="EF26" s="16"/>
      <c r="EG26" s="59"/>
      <c r="EH26" s="126"/>
      <c r="EI26" s="20">
        <v>19</v>
      </c>
      <c r="EJ26" s="19">
        <v>1017</v>
      </c>
      <c r="EK26" s="17">
        <v>42289</v>
      </c>
      <c r="EL26" s="18">
        <v>1017</v>
      </c>
      <c r="EM26" s="43" t="s">
        <v>676</v>
      </c>
      <c r="EN26" s="24">
        <v>32</v>
      </c>
      <c r="EO26" s="16"/>
      <c r="EP26" s="59"/>
      <c r="EQ26" s="126"/>
      <c r="ER26" s="20">
        <v>19</v>
      </c>
      <c r="ES26" s="19">
        <v>859.5</v>
      </c>
      <c r="ET26" s="17">
        <v>42289</v>
      </c>
      <c r="EU26" s="19">
        <v>859.5</v>
      </c>
      <c r="EV26" s="79" t="s">
        <v>678</v>
      </c>
      <c r="EW26" s="24">
        <v>32</v>
      </c>
      <c r="EX26" s="16"/>
      <c r="EY26" s="59"/>
      <c r="EZ26" s="183" t="s">
        <v>448</v>
      </c>
      <c r="FA26" s="20">
        <v>19</v>
      </c>
      <c r="FB26" s="19">
        <v>811.79</v>
      </c>
      <c r="FC26" s="17">
        <v>42290</v>
      </c>
      <c r="FD26" s="19">
        <v>811.79</v>
      </c>
      <c r="FE26" s="43" t="s">
        <v>689</v>
      </c>
      <c r="FF26" s="24">
        <v>32.5</v>
      </c>
      <c r="FG26" s="16"/>
      <c r="FH26" s="59"/>
      <c r="FI26" s="126"/>
      <c r="FJ26" s="20">
        <v>19</v>
      </c>
      <c r="FK26" s="30">
        <v>944.22</v>
      </c>
      <c r="FL26" s="58">
        <v>42290</v>
      </c>
      <c r="FM26" s="30">
        <v>944.22</v>
      </c>
      <c r="FN26" s="79" t="s">
        <v>691</v>
      </c>
      <c r="FO26" s="24">
        <v>32.5</v>
      </c>
      <c r="FP26" s="16"/>
      <c r="FQ26" s="59"/>
      <c r="FR26" s="126"/>
      <c r="FS26" s="20">
        <v>19</v>
      </c>
      <c r="FT26" s="30">
        <v>897.51</v>
      </c>
      <c r="FU26" s="58">
        <v>42291</v>
      </c>
      <c r="FV26" s="30">
        <v>897.51</v>
      </c>
      <c r="FW26" s="79" t="s">
        <v>697</v>
      </c>
      <c r="FX26" s="24">
        <v>32.5</v>
      </c>
      <c r="FY26" s="16"/>
      <c r="FZ26" s="59"/>
      <c r="GA26" s="126"/>
      <c r="GB26" s="20">
        <v>19</v>
      </c>
      <c r="GC26" s="19">
        <v>877.7</v>
      </c>
      <c r="GD26" s="17">
        <v>42291</v>
      </c>
      <c r="GE26" s="19">
        <v>877.7</v>
      </c>
      <c r="GF26" s="360" t="s">
        <v>693</v>
      </c>
      <c r="GG26" s="24">
        <v>32.5</v>
      </c>
      <c r="GH26" s="16"/>
      <c r="GI26" s="135"/>
      <c r="GJ26" s="126"/>
      <c r="GK26" s="20">
        <v>19</v>
      </c>
      <c r="GL26" s="19">
        <v>926.2</v>
      </c>
      <c r="GM26" s="17">
        <v>42292</v>
      </c>
      <c r="GN26" s="19">
        <v>926.2</v>
      </c>
      <c r="GO26" s="72" t="s">
        <v>702</v>
      </c>
      <c r="GP26" s="24">
        <v>32.5</v>
      </c>
      <c r="GQ26" s="16"/>
      <c r="GR26" s="59"/>
      <c r="GS26" s="126"/>
      <c r="GT26" s="20">
        <v>19</v>
      </c>
      <c r="GU26" s="19">
        <v>955.3</v>
      </c>
      <c r="GV26" s="17">
        <v>42293</v>
      </c>
      <c r="GW26" s="19">
        <v>955.3</v>
      </c>
      <c r="GX26" s="72" t="s">
        <v>704</v>
      </c>
      <c r="GY26" s="24">
        <v>32.5</v>
      </c>
      <c r="GZ26" s="16"/>
      <c r="HA26" s="59"/>
      <c r="HB26" s="126"/>
      <c r="HC26" s="20">
        <v>19</v>
      </c>
      <c r="HD26" s="19">
        <v>923.1</v>
      </c>
      <c r="HE26" s="17">
        <v>42293</v>
      </c>
      <c r="HF26" s="19">
        <v>923.1</v>
      </c>
      <c r="HG26" s="72" t="s">
        <v>714</v>
      </c>
      <c r="HH26" s="24">
        <v>33</v>
      </c>
      <c r="HI26" s="16"/>
      <c r="HJ26" s="135"/>
      <c r="HK26" s="126"/>
      <c r="HL26" s="20">
        <v>19</v>
      </c>
      <c r="HM26" s="19">
        <v>940.7</v>
      </c>
      <c r="HN26" s="17">
        <v>42293</v>
      </c>
      <c r="HO26" s="19">
        <v>940.7</v>
      </c>
      <c r="HP26" s="72" t="s">
        <v>716</v>
      </c>
      <c r="HQ26" s="24">
        <v>33</v>
      </c>
      <c r="HR26" s="16"/>
      <c r="HS26" s="135"/>
      <c r="HT26" s="126"/>
      <c r="HU26" s="20">
        <v>19</v>
      </c>
      <c r="HV26" s="19">
        <v>972</v>
      </c>
      <c r="HW26" s="17">
        <v>42294</v>
      </c>
      <c r="HX26" s="19">
        <v>972</v>
      </c>
      <c r="HY26" s="72" t="s">
        <v>720</v>
      </c>
      <c r="HZ26" s="24">
        <v>33</v>
      </c>
      <c r="IA26" s="16"/>
      <c r="IB26" s="135"/>
      <c r="IC26" s="126"/>
      <c r="ID26" s="20">
        <v>19</v>
      </c>
      <c r="IE26" s="19">
        <v>908.5</v>
      </c>
      <c r="IF26" s="17"/>
      <c r="IG26" s="19"/>
      <c r="IH26" s="72"/>
      <c r="II26" s="24"/>
      <c r="IJ26" s="16"/>
      <c r="IK26" s="59"/>
      <c r="IL26" s="126"/>
      <c r="IM26" s="20">
        <v>19</v>
      </c>
      <c r="IN26" s="19">
        <v>940.14</v>
      </c>
      <c r="IO26" s="17">
        <v>42297</v>
      </c>
      <c r="IP26" s="19">
        <v>940.14</v>
      </c>
      <c r="IQ26" s="72" t="s">
        <v>726</v>
      </c>
      <c r="IR26" s="24">
        <v>32.07</v>
      </c>
      <c r="IS26" s="16"/>
      <c r="IT26" s="59"/>
      <c r="IU26" s="126"/>
      <c r="IV26" s="20">
        <v>19</v>
      </c>
      <c r="IW26" s="19">
        <v>832.8</v>
      </c>
      <c r="IX26" s="110">
        <v>42296</v>
      </c>
      <c r="IY26" s="19">
        <v>832.8</v>
      </c>
      <c r="IZ26" s="129" t="s">
        <v>723</v>
      </c>
      <c r="JA26" s="108">
        <v>33.5</v>
      </c>
      <c r="JB26" s="16"/>
      <c r="JC26" s="59"/>
      <c r="JD26" s="126"/>
      <c r="JE26" s="20">
        <v>19</v>
      </c>
      <c r="JF26" s="19">
        <v>1018</v>
      </c>
      <c r="JG26" s="17">
        <v>42298</v>
      </c>
      <c r="JH26" s="19">
        <v>1018</v>
      </c>
      <c r="JI26" s="510" t="s">
        <v>733</v>
      </c>
      <c r="JJ26" s="24">
        <v>33.5</v>
      </c>
      <c r="JK26" s="16"/>
      <c r="JL26" s="59"/>
      <c r="JM26" s="126"/>
      <c r="JN26" s="20">
        <v>19</v>
      </c>
      <c r="JO26" s="19">
        <v>991</v>
      </c>
      <c r="JP26" s="17">
        <v>42298</v>
      </c>
      <c r="JQ26" s="19">
        <v>991</v>
      </c>
      <c r="JR26" s="72" t="s">
        <v>734</v>
      </c>
      <c r="JS26" s="24">
        <v>33.5</v>
      </c>
      <c r="JT26" s="16"/>
      <c r="JU26" s="59"/>
      <c r="JV26" s="126"/>
      <c r="JW26" s="20">
        <v>19</v>
      </c>
      <c r="JX26" s="19">
        <v>926.98</v>
      </c>
      <c r="JY26" s="17">
        <v>42297</v>
      </c>
      <c r="JZ26" s="19">
        <v>926.98</v>
      </c>
      <c r="KA26" s="72" t="s">
        <v>730</v>
      </c>
      <c r="KB26" s="24">
        <v>33.5</v>
      </c>
      <c r="KC26" s="16"/>
      <c r="KD26" s="59"/>
      <c r="KE26" s="139"/>
      <c r="KF26" s="20">
        <v>19</v>
      </c>
      <c r="KG26" s="202">
        <v>894.78</v>
      </c>
      <c r="KH26" s="110">
        <v>42299</v>
      </c>
      <c r="KI26" s="202">
        <v>894.78</v>
      </c>
      <c r="KJ26" s="129" t="s">
        <v>738</v>
      </c>
      <c r="KK26" s="108">
        <v>33.5</v>
      </c>
      <c r="KL26" s="16"/>
      <c r="KM26" s="59"/>
      <c r="KN26" s="126"/>
      <c r="KO26" s="20">
        <v>19</v>
      </c>
      <c r="KP26" s="202">
        <v>913.83</v>
      </c>
      <c r="KQ26" s="17">
        <v>42300</v>
      </c>
      <c r="KR26" s="202">
        <v>913.83</v>
      </c>
      <c r="KS26" s="72" t="s">
        <v>746</v>
      </c>
      <c r="KT26" s="24">
        <v>33.5</v>
      </c>
      <c r="KU26" s="16"/>
      <c r="KV26" s="59"/>
      <c r="KW26" s="126"/>
      <c r="KX26" s="20">
        <v>19</v>
      </c>
      <c r="KY26" s="19">
        <v>911.7</v>
      </c>
      <c r="KZ26" s="17">
        <v>42299</v>
      </c>
      <c r="LA26" s="19">
        <v>911.7</v>
      </c>
      <c r="LB26" s="72" t="s">
        <v>744</v>
      </c>
      <c r="LC26" s="24">
        <v>33.5</v>
      </c>
      <c r="LD26" s="16"/>
      <c r="LE26" s="59"/>
      <c r="LF26" s="126"/>
      <c r="LG26" s="20">
        <v>19</v>
      </c>
      <c r="LH26" s="202">
        <v>911.3</v>
      </c>
      <c r="LI26" s="17">
        <v>42301</v>
      </c>
      <c r="LJ26" s="202">
        <v>911.3</v>
      </c>
      <c r="LK26" s="72" t="s">
        <v>753</v>
      </c>
      <c r="LL26" s="24">
        <v>33.5</v>
      </c>
      <c r="LM26" s="16"/>
      <c r="LN26" s="59"/>
      <c r="LO26" s="126"/>
      <c r="LP26" s="20">
        <v>19</v>
      </c>
      <c r="LQ26" s="19">
        <v>925.62</v>
      </c>
      <c r="LR26" s="17">
        <v>42303</v>
      </c>
      <c r="LS26" s="19">
        <v>925.62</v>
      </c>
      <c r="LT26" s="72" t="s">
        <v>762</v>
      </c>
      <c r="LU26" s="24">
        <v>32.5</v>
      </c>
      <c r="LV26" s="16"/>
      <c r="LW26" s="59"/>
      <c r="LX26" s="126"/>
      <c r="LY26" s="20">
        <v>19</v>
      </c>
      <c r="LZ26" s="179">
        <v>910.8</v>
      </c>
      <c r="MA26" s="17">
        <v>42303</v>
      </c>
      <c r="MB26" s="19">
        <v>910.8</v>
      </c>
      <c r="MC26" s="72" t="s">
        <v>758</v>
      </c>
      <c r="MD26" s="24">
        <v>32.5</v>
      </c>
      <c r="ME26" s="16"/>
      <c r="MF26" s="59"/>
      <c r="MG26" s="183" t="s">
        <v>448</v>
      </c>
      <c r="MH26" s="20">
        <v>19</v>
      </c>
      <c r="MI26" s="19">
        <v>834.01</v>
      </c>
      <c r="MJ26" s="17">
        <v>42304</v>
      </c>
      <c r="MK26" s="19">
        <v>834.01</v>
      </c>
      <c r="ML26" s="72" t="s">
        <v>768</v>
      </c>
      <c r="MM26" s="24">
        <v>18</v>
      </c>
      <c r="MN26" s="16"/>
      <c r="MO26" s="59"/>
      <c r="MP26" s="126"/>
      <c r="MQ26" s="20">
        <v>19</v>
      </c>
      <c r="MR26" s="19">
        <v>942.4</v>
      </c>
      <c r="MS26" s="17">
        <v>42305</v>
      </c>
      <c r="MT26" s="19">
        <v>942.4</v>
      </c>
      <c r="MU26" s="72" t="s">
        <v>769</v>
      </c>
      <c r="MV26" s="24">
        <v>31</v>
      </c>
      <c r="MW26" s="16"/>
      <c r="MX26" s="59"/>
      <c r="MY26" s="126"/>
      <c r="MZ26" s="20">
        <v>19</v>
      </c>
      <c r="NA26" s="19">
        <v>944.22</v>
      </c>
      <c r="NB26" s="17">
        <v>42305</v>
      </c>
      <c r="NC26" s="19">
        <v>944.22</v>
      </c>
      <c r="ND26" s="72" t="s">
        <v>773</v>
      </c>
      <c r="NE26" s="24">
        <v>31</v>
      </c>
      <c r="NF26" s="16"/>
      <c r="NG26" s="59"/>
      <c r="NH26" s="207"/>
      <c r="NI26" s="20">
        <v>19</v>
      </c>
      <c r="NJ26" s="19">
        <v>887.7</v>
      </c>
      <c r="NK26" s="17">
        <v>42306</v>
      </c>
      <c r="NL26" s="19">
        <v>887.7</v>
      </c>
      <c r="NM26" s="309" t="s">
        <v>779</v>
      </c>
      <c r="NN26" s="24">
        <v>30</v>
      </c>
      <c r="NO26" s="16"/>
      <c r="NP26" s="59"/>
      <c r="NQ26" s="126"/>
      <c r="NR26" s="20">
        <v>19</v>
      </c>
      <c r="NS26" s="19">
        <v>913.5</v>
      </c>
      <c r="NT26" s="17">
        <v>42307</v>
      </c>
      <c r="NU26" s="19">
        <v>913.5</v>
      </c>
      <c r="NV26" s="72" t="s">
        <v>784</v>
      </c>
      <c r="NW26" s="24">
        <v>30</v>
      </c>
      <c r="NX26" s="16"/>
      <c r="NY26" s="59"/>
      <c r="NZ26" s="126"/>
      <c r="OA26" s="20">
        <v>19</v>
      </c>
      <c r="OB26" s="19">
        <v>941.5</v>
      </c>
      <c r="OC26" s="17">
        <v>42307</v>
      </c>
      <c r="OD26" s="19">
        <v>941.5</v>
      </c>
      <c r="OE26" s="617" t="s">
        <v>782</v>
      </c>
      <c r="OF26" s="24">
        <v>30</v>
      </c>
      <c r="OG26" s="16"/>
      <c r="OH26" s="59"/>
      <c r="OI26" s="126"/>
      <c r="OJ26" s="20">
        <v>19</v>
      </c>
      <c r="OK26" s="19">
        <v>903.4</v>
      </c>
      <c r="OL26" s="17"/>
      <c r="OM26" s="19"/>
      <c r="ON26" s="72"/>
      <c r="OO26" s="24"/>
      <c r="OP26" s="16"/>
      <c r="OQ26" s="59"/>
      <c r="OR26" s="207"/>
      <c r="OS26" s="20">
        <v>19</v>
      </c>
      <c r="OT26" s="19">
        <v>991</v>
      </c>
      <c r="OU26" s="17"/>
      <c r="OV26" s="19"/>
      <c r="OW26" s="309"/>
      <c r="OX26" s="24"/>
      <c r="OY26" s="16"/>
      <c r="OZ26" s="59"/>
      <c r="PA26" s="126"/>
      <c r="PB26" s="20">
        <v>19</v>
      </c>
      <c r="PC26" s="19">
        <v>921.2</v>
      </c>
      <c r="PD26" s="17">
        <v>42308</v>
      </c>
      <c r="PE26" s="19">
        <v>921.2</v>
      </c>
      <c r="PF26" s="72" t="s">
        <v>793</v>
      </c>
      <c r="PG26" s="24">
        <v>29</v>
      </c>
      <c r="PH26" s="16"/>
      <c r="PI26" s="59"/>
      <c r="PJ26" s="126"/>
      <c r="PK26" s="20"/>
      <c r="PL26" s="19"/>
      <c r="PM26" s="17"/>
      <c r="PN26" s="19"/>
      <c r="PO26" s="72"/>
      <c r="PP26" s="24"/>
      <c r="PQ26" s="16"/>
      <c r="PR26" s="59"/>
      <c r="PS26" s="126"/>
      <c r="PT26" s="20"/>
      <c r="PU26" s="19"/>
      <c r="PV26" s="17"/>
      <c r="PW26" s="19"/>
      <c r="PX26" s="72"/>
      <c r="PY26" s="24"/>
      <c r="PZ26" s="16"/>
      <c r="QA26" s="59"/>
      <c r="QB26" s="126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>
        <v>19</v>
      </c>
      <c r="RN26" s="19"/>
      <c r="RO26" s="403"/>
      <c r="RP26" s="406"/>
      <c r="RQ26" s="404"/>
      <c r="RR26" s="405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GRANJERO FELIZ</v>
      </c>
      <c r="C27" s="16" t="str">
        <f t="shared" si="23"/>
        <v>Seaboard</v>
      </c>
      <c r="D27" s="74" t="str">
        <f t="shared" si="23"/>
        <v>PED. 5010091</v>
      </c>
      <c r="E27" s="162">
        <f t="shared" si="23"/>
        <v>42293</v>
      </c>
      <c r="F27" s="77">
        <f t="shared" si="23"/>
        <v>19400.61</v>
      </c>
      <c r="G27" s="15">
        <f t="shared" si="23"/>
        <v>21</v>
      </c>
      <c r="H27" s="65">
        <f t="shared" si="23"/>
        <v>19471.7</v>
      </c>
      <c r="I27" s="18">
        <f t="shared" si="23"/>
        <v>-71.090000000000146</v>
      </c>
      <c r="K27" s="59"/>
      <c r="L27" s="126"/>
      <c r="M27" s="20">
        <v>20</v>
      </c>
      <c r="N27" s="19">
        <v>924.9</v>
      </c>
      <c r="O27" s="339">
        <v>42278</v>
      </c>
      <c r="P27" s="226">
        <v>924.9</v>
      </c>
      <c r="Q27" s="340" t="s">
        <v>630</v>
      </c>
      <c r="R27" s="341">
        <v>30</v>
      </c>
      <c r="S27" s="16"/>
      <c r="T27" s="59"/>
      <c r="U27" s="126"/>
      <c r="V27" s="20">
        <v>20</v>
      </c>
      <c r="W27" s="19">
        <v>915.3</v>
      </c>
      <c r="X27" s="17">
        <v>42279</v>
      </c>
      <c r="Y27" s="19">
        <v>915.3</v>
      </c>
      <c r="Z27" s="72" t="s">
        <v>636</v>
      </c>
      <c r="AA27" s="24">
        <v>30</v>
      </c>
      <c r="AB27" s="16"/>
      <c r="AC27" s="59"/>
      <c r="AD27" s="126"/>
      <c r="AE27" s="20"/>
      <c r="AF27" s="19"/>
      <c r="AG27" s="110"/>
      <c r="AH27" s="19"/>
      <c r="AI27" s="129"/>
      <c r="AJ27" s="116"/>
      <c r="AK27" s="16"/>
      <c r="AL27" s="59"/>
      <c r="AM27" s="126"/>
      <c r="AN27" s="20">
        <v>20</v>
      </c>
      <c r="AO27" s="19">
        <v>944.67</v>
      </c>
      <c r="AP27" s="17">
        <v>42280</v>
      </c>
      <c r="AQ27" s="19">
        <v>944.67</v>
      </c>
      <c r="AR27" s="72" t="s">
        <v>640</v>
      </c>
      <c r="AS27" s="24">
        <v>31</v>
      </c>
      <c r="AT27" s="16"/>
      <c r="AU27" s="59"/>
      <c r="AV27" s="183"/>
      <c r="AW27" s="20"/>
      <c r="AX27" s="19"/>
      <c r="AY27" s="110"/>
      <c r="AZ27" s="19"/>
      <c r="BA27" s="129"/>
      <c r="BB27" s="108"/>
      <c r="BC27" s="16"/>
      <c r="BD27" s="59"/>
      <c r="BE27" s="126"/>
      <c r="BF27" s="20">
        <v>20</v>
      </c>
      <c r="BG27" s="19">
        <v>929.4</v>
      </c>
      <c r="BH27" s="17">
        <v>42281</v>
      </c>
      <c r="BI27" s="19">
        <v>929.4</v>
      </c>
      <c r="BJ27" s="510" t="s">
        <v>644</v>
      </c>
      <c r="BK27" s="160">
        <v>31</v>
      </c>
      <c r="BL27" s="16"/>
      <c r="BM27" s="59"/>
      <c r="BN27" s="658" t="s">
        <v>448</v>
      </c>
      <c r="BO27" s="20">
        <v>20</v>
      </c>
      <c r="BP27" s="19">
        <v>780.95</v>
      </c>
      <c r="BQ27" s="17">
        <v>42283</v>
      </c>
      <c r="BR27" s="19">
        <v>780.95</v>
      </c>
      <c r="BS27" s="72" t="s">
        <v>654</v>
      </c>
      <c r="BT27" s="24">
        <v>18</v>
      </c>
      <c r="BU27" s="16"/>
      <c r="BV27" s="59"/>
      <c r="BW27" s="183"/>
      <c r="BX27" s="20">
        <v>20</v>
      </c>
      <c r="BY27" s="19">
        <v>902.95</v>
      </c>
      <c r="BZ27" s="17">
        <v>42283</v>
      </c>
      <c r="CA27" s="19">
        <v>902.95</v>
      </c>
      <c r="CB27" s="72" t="s">
        <v>652</v>
      </c>
      <c r="CC27" s="24">
        <v>31.5</v>
      </c>
      <c r="CD27" s="16"/>
      <c r="CE27" s="59"/>
      <c r="CF27" s="183" t="s">
        <v>657</v>
      </c>
      <c r="CG27" s="20">
        <v>20</v>
      </c>
      <c r="CH27" s="19">
        <v>847.62</v>
      </c>
      <c r="CI27" s="17">
        <v>42284</v>
      </c>
      <c r="CJ27" s="19">
        <v>816.33</v>
      </c>
      <c r="CK27" s="437" t="s">
        <v>658</v>
      </c>
      <c r="CL27" s="24">
        <v>18</v>
      </c>
      <c r="CM27" s="16"/>
      <c r="CN27" s="59"/>
      <c r="CO27" s="126"/>
      <c r="CP27" s="20">
        <v>20</v>
      </c>
      <c r="CQ27" s="19">
        <v>926.7</v>
      </c>
      <c r="CR27" s="17">
        <v>42285</v>
      </c>
      <c r="CS27" s="19">
        <v>926.7</v>
      </c>
      <c r="CT27" s="326" t="s">
        <v>664</v>
      </c>
      <c r="CU27" s="24">
        <v>31.5</v>
      </c>
      <c r="CV27" s="16"/>
      <c r="CW27" s="59"/>
      <c r="CX27" s="126"/>
      <c r="CY27" s="20"/>
      <c r="CZ27" s="202"/>
      <c r="DA27" s="17"/>
      <c r="DB27" s="202"/>
      <c r="DC27" s="43"/>
      <c r="DD27" s="24"/>
      <c r="DE27" s="16"/>
      <c r="DF27" s="59"/>
      <c r="DG27" s="126"/>
      <c r="DH27" s="20">
        <v>20</v>
      </c>
      <c r="DI27" s="19">
        <v>917.2</v>
      </c>
      <c r="DJ27" s="17">
        <v>42286</v>
      </c>
      <c r="DK27" s="19">
        <v>917.2</v>
      </c>
      <c r="DL27" s="43" t="s">
        <v>668</v>
      </c>
      <c r="DM27" s="24">
        <v>32</v>
      </c>
      <c r="DN27" s="16"/>
      <c r="DO27" s="59"/>
      <c r="DP27" s="207"/>
      <c r="DQ27" s="20">
        <v>20</v>
      </c>
      <c r="DR27" s="30">
        <v>925.3</v>
      </c>
      <c r="DS27" s="58">
        <v>42287</v>
      </c>
      <c r="DT27" s="30">
        <v>925.3</v>
      </c>
      <c r="DU27" s="79" t="s">
        <v>673</v>
      </c>
      <c r="DV27" s="24">
        <v>32</v>
      </c>
      <c r="DW27" s="16"/>
      <c r="DX27" s="59"/>
      <c r="DY27" s="126"/>
      <c r="DZ27" s="20">
        <v>20</v>
      </c>
      <c r="EA27" s="30">
        <v>948.75</v>
      </c>
      <c r="EB27" s="58">
        <v>42290</v>
      </c>
      <c r="EC27" s="30">
        <v>948.75</v>
      </c>
      <c r="ED27" s="79" t="s">
        <v>685</v>
      </c>
      <c r="EE27" s="24">
        <v>30.3</v>
      </c>
      <c r="EF27" s="16"/>
      <c r="EG27" s="59"/>
      <c r="EH27" s="126"/>
      <c r="EI27" s="20"/>
      <c r="EJ27" s="19"/>
      <c r="EK27" s="17"/>
      <c r="EL27" s="18"/>
      <c r="EM27" s="43"/>
      <c r="EN27" s="24"/>
      <c r="EO27" s="16"/>
      <c r="EP27" s="59"/>
      <c r="EQ27" s="126"/>
      <c r="ER27" s="20">
        <v>20</v>
      </c>
      <c r="ES27" s="19">
        <v>926.6</v>
      </c>
      <c r="ET27" s="17">
        <v>42289</v>
      </c>
      <c r="EU27" s="19">
        <v>926.6</v>
      </c>
      <c r="EV27" s="79" t="s">
        <v>678</v>
      </c>
      <c r="EW27" s="24">
        <v>32</v>
      </c>
      <c r="EX27" s="16"/>
      <c r="EY27" s="59"/>
      <c r="EZ27" s="183" t="s">
        <v>448</v>
      </c>
      <c r="FA27" s="20">
        <v>20</v>
      </c>
      <c r="FB27" s="19">
        <v>762.81</v>
      </c>
      <c r="FC27" s="17">
        <v>42290</v>
      </c>
      <c r="FD27" s="19">
        <v>762.81</v>
      </c>
      <c r="FE27" s="43" t="s">
        <v>689</v>
      </c>
      <c r="FF27" s="24">
        <v>32.5</v>
      </c>
      <c r="FG27" s="16"/>
      <c r="FH27" s="59"/>
      <c r="FI27" s="126"/>
      <c r="FJ27" s="20">
        <v>20</v>
      </c>
      <c r="FK27" s="30">
        <v>944.22</v>
      </c>
      <c r="FL27" s="58">
        <v>42290</v>
      </c>
      <c r="FM27" s="30">
        <v>944.22</v>
      </c>
      <c r="FN27" s="79" t="s">
        <v>691</v>
      </c>
      <c r="FO27" s="24">
        <v>32.5</v>
      </c>
      <c r="FP27" s="16"/>
      <c r="FQ27" s="59"/>
      <c r="FR27" s="126"/>
      <c r="FS27" s="20">
        <v>20</v>
      </c>
      <c r="FT27" s="30">
        <v>964.63</v>
      </c>
      <c r="FU27" s="58">
        <v>42291</v>
      </c>
      <c r="FV27" s="30">
        <v>964.63</v>
      </c>
      <c r="FW27" s="79" t="s">
        <v>697</v>
      </c>
      <c r="FX27" s="24">
        <v>32.5</v>
      </c>
      <c r="FY27" s="16"/>
      <c r="FZ27" s="59"/>
      <c r="GA27" s="126"/>
      <c r="GB27" s="20">
        <v>20</v>
      </c>
      <c r="GC27" s="19">
        <v>920.8</v>
      </c>
      <c r="GD27" s="17">
        <v>42291</v>
      </c>
      <c r="GE27" s="19">
        <v>920.8</v>
      </c>
      <c r="GF27" s="360" t="s">
        <v>693</v>
      </c>
      <c r="GG27" s="24">
        <v>32.5</v>
      </c>
      <c r="GH27" s="16"/>
      <c r="GI27" s="135"/>
      <c r="GJ27" s="126"/>
      <c r="GK27" s="20">
        <v>20</v>
      </c>
      <c r="GL27" s="19">
        <v>933</v>
      </c>
      <c r="GM27" s="17">
        <v>42292</v>
      </c>
      <c r="GN27" s="19">
        <v>933</v>
      </c>
      <c r="GO27" s="72" t="s">
        <v>702</v>
      </c>
      <c r="GP27" s="24">
        <v>32.5</v>
      </c>
      <c r="GQ27" s="16"/>
      <c r="GR27" s="59"/>
      <c r="GS27" s="126"/>
      <c r="GT27" s="20">
        <v>20</v>
      </c>
      <c r="GU27" s="19">
        <v>937.1</v>
      </c>
      <c r="GV27" s="17">
        <v>42293</v>
      </c>
      <c r="GW27" s="19">
        <v>937.1</v>
      </c>
      <c r="GX27" s="72" t="s">
        <v>704</v>
      </c>
      <c r="GY27" s="24">
        <v>32.5</v>
      </c>
      <c r="GZ27" s="16"/>
      <c r="HA27" s="59"/>
      <c r="HB27" s="126"/>
      <c r="HC27" s="20">
        <v>20</v>
      </c>
      <c r="HD27" s="19">
        <v>959.8</v>
      </c>
      <c r="HE27" s="17">
        <v>42293</v>
      </c>
      <c r="HF27" s="19">
        <v>959.8</v>
      </c>
      <c r="HG27" s="72" t="s">
        <v>714</v>
      </c>
      <c r="HH27" s="24">
        <v>33</v>
      </c>
      <c r="HI27" s="16"/>
      <c r="HJ27" s="135"/>
      <c r="HK27" s="126"/>
      <c r="HL27" s="20">
        <v>20</v>
      </c>
      <c r="HM27" s="19">
        <v>917.2</v>
      </c>
      <c r="HN27" s="17">
        <v>42293</v>
      </c>
      <c r="HO27" s="19">
        <v>917.2</v>
      </c>
      <c r="HP27" s="72" t="s">
        <v>716</v>
      </c>
      <c r="HQ27" s="24">
        <v>33</v>
      </c>
      <c r="HR27" s="16"/>
      <c r="HS27" s="135"/>
      <c r="HT27" s="126"/>
      <c r="HU27" s="20"/>
      <c r="HV27" s="19"/>
      <c r="HW27" s="17"/>
      <c r="HX27" s="19"/>
      <c r="HY27" s="72"/>
      <c r="HZ27" s="24"/>
      <c r="IA27" s="16"/>
      <c r="IB27" s="135"/>
      <c r="IC27" s="126"/>
      <c r="ID27" s="20">
        <v>20</v>
      </c>
      <c r="IE27" s="19">
        <v>921.2</v>
      </c>
      <c r="IF27" s="17">
        <v>42296</v>
      </c>
      <c r="IG27" s="19">
        <v>921.2</v>
      </c>
      <c r="IH27" s="72" t="s">
        <v>724</v>
      </c>
      <c r="II27" s="24">
        <v>33.5</v>
      </c>
      <c r="IJ27" s="16"/>
      <c r="IK27" s="59"/>
      <c r="IL27" s="126"/>
      <c r="IM27" s="20">
        <v>20</v>
      </c>
      <c r="IN27" s="19">
        <v>912.93</v>
      </c>
      <c r="IO27" s="17">
        <v>42297</v>
      </c>
      <c r="IP27" s="19">
        <v>912.93</v>
      </c>
      <c r="IQ27" s="72" t="s">
        <v>726</v>
      </c>
      <c r="IR27" s="24">
        <v>32.07</v>
      </c>
      <c r="IS27" s="16"/>
      <c r="IT27" s="59"/>
      <c r="IU27" s="126"/>
      <c r="IV27" s="20">
        <v>20</v>
      </c>
      <c r="IW27" s="19">
        <v>868.6</v>
      </c>
      <c r="IX27" s="110">
        <v>42296</v>
      </c>
      <c r="IY27" s="19">
        <v>868.6</v>
      </c>
      <c r="IZ27" s="129" t="s">
        <v>723</v>
      </c>
      <c r="JA27" s="108">
        <v>33.5</v>
      </c>
      <c r="JB27" s="16"/>
      <c r="JC27" s="59"/>
      <c r="JD27" s="126"/>
      <c r="JE27" s="20"/>
      <c r="JF27" s="19"/>
      <c r="JG27" s="17"/>
      <c r="JH27" s="19"/>
      <c r="JI27" s="510"/>
      <c r="JJ27" s="24"/>
      <c r="JK27" s="16"/>
      <c r="JL27" s="59"/>
      <c r="JM27" s="126"/>
      <c r="JN27" s="20"/>
      <c r="JO27" s="19"/>
      <c r="JP27" s="17"/>
      <c r="JQ27" s="19"/>
      <c r="JR27" s="72"/>
      <c r="JS27" s="24"/>
      <c r="JT27" s="16"/>
      <c r="JU27" s="59"/>
      <c r="JV27" s="126"/>
      <c r="JW27" s="20">
        <v>20</v>
      </c>
      <c r="JX27" s="19">
        <v>762.81</v>
      </c>
      <c r="JY27" s="17">
        <v>42297</v>
      </c>
      <c r="JZ27" s="19">
        <v>762.81</v>
      </c>
      <c r="KA27" s="72" t="s">
        <v>730</v>
      </c>
      <c r="KB27" s="24">
        <v>18</v>
      </c>
      <c r="KC27" s="16"/>
      <c r="KD27" s="59"/>
      <c r="KE27" s="139"/>
      <c r="KF27" s="20">
        <v>20</v>
      </c>
      <c r="KG27" s="202">
        <v>915.19</v>
      </c>
      <c r="KH27" s="110">
        <v>42299</v>
      </c>
      <c r="KI27" s="202">
        <v>915.19</v>
      </c>
      <c r="KJ27" s="129" t="s">
        <v>738</v>
      </c>
      <c r="KK27" s="108">
        <v>33.5</v>
      </c>
      <c r="KL27" s="16"/>
      <c r="KM27" s="59"/>
      <c r="KN27" s="126"/>
      <c r="KO27" s="20">
        <v>20</v>
      </c>
      <c r="KP27" s="202">
        <v>926.08</v>
      </c>
      <c r="KQ27" s="17">
        <v>42300</v>
      </c>
      <c r="KR27" s="202">
        <v>926.08</v>
      </c>
      <c r="KS27" s="72" t="s">
        <v>747</v>
      </c>
      <c r="KT27" s="24">
        <v>33.5</v>
      </c>
      <c r="KU27" s="16"/>
      <c r="KV27" s="59"/>
      <c r="KW27" s="126"/>
      <c r="KX27" s="20">
        <v>20</v>
      </c>
      <c r="KY27" s="19">
        <v>923.1</v>
      </c>
      <c r="KZ27" s="17">
        <v>42300</v>
      </c>
      <c r="LA27" s="19">
        <v>923.1</v>
      </c>
      <c r="LB27" s="72" t="s">
        <v>743</v>
      </c>
      <c r="LC27" s="24">
        <v>33.5</v>
      </c>
      <c r="LD27" s="16"/>
      <c r="LE27" s="59"/>
      <c r="LF27" s="126"/>
      <c r="LG27" s="20">
        <v>20</v>
      </c>
      <c r="LH27" s="202">
        <v>916.7</v>
      </c>
      <c r="LI27" s="17">
        <v>42301</v>
      </c>
      <c r="LJ27" s="202">
        <v>916.7</v>
      </c>
      <c r="LK27" s="72" t="s">
        <v>751</v>
      </c>
      <c r="LL27" s="24">
        <v>33.5</v>
      </c>
      <c r="LM27" s="16"/>
      <c r="LN27" s="59"/>
      <c r="LO27" s="126"/>
      <c r="LP27" s="20">
        <v>20</v>
      </c>
      <c r="LQ27" s="19">
        <v>959.64</v>
      </c>
      <c r="LR27" s="17">
        <v>42303</v>
      </c>
      <c r="LS27" s="19">
        <v>959.64</v>
      </c>
      <c r="LT27" s="72" t="s">
        <v>762</v>
      </c>
      <c r="LU27" s="24">
        <v>32.5</v>
      </c>
      <c r="LV27" s="16"/>
      <c r="LW27" s="59"/>
      <c r="LX27" s="126"/>
      <c r="LY27" s="20">
        <v>20</v>
      </c>
      <c r="LZ27" s="179">
        <v>916.3</v>
      </c>
      <c r="MA27" s="17">
        <v>42303</v>
      </c>
      <c r="MB27" s="19">
        <v>916.3</v>
      </c>
      <c r="MC27" s="72" t="s">
        <v>756</v>
      </c>
      <c r="MD27" s="24">
        <v>32.5</v>
      </c>
      <c r="ME27" s="16"/>
      <c r="MF27" s="59"/>
      <c r="MG27" s="126"/>
      <c r="MH27" s="20">
        <v>20</v>
      </c>
      <c r="MI27" s="19">
        <v>908.39</v>
      </c>
      <c r="MJ27" s="17">
        <v>42304</v>
      </c>
      <c r="MK27" s="19">
        <v>908.39</v>
      </c>
      <c r="ML27" s="72" t="s">
        <v>768</v>
      </c>
      <c r="MM27" s="24">
        <v>31</v>
      </c>
      <c r="MN27" s="16"/>
      <c r="MO27" s="59"/>
      <c r="MP27" s="126"/>
      <c r="MQ27" s="20">
        <v>20</v>
      </c>
      <c r="MR27" s="19">
        <v>925.62</v>
      </c>
      <c r="MS27" s="17">
        <v>42305</v>
      </c>
      <c r="MT27" s="19">
        <v>925.62</v>
      </c>
      <c r="MU27" s="72" t="s">
        <v>769</v>
      </c>
      <c r="MV27" s="24">
        <v>31</v>
      </c>
      <c r="MW27" s="16"/>
      <c r="MX27" s="59"/>
      <c r="MY27" s="183" t="s">
        <v>448</v>
      </c>
      <c r="MZ27" s="20">
        <v>20</v>
      </c>
      <c r="NA27" s="19">
        <v>796.83</v>
      </c>
      <c r="NB27" s="17">
        <v>42305</v>
      </c>
      <c r="NC27" s="19">
        <v>796.83</v>
      </c>
      <c r="ND27" s="72" t="s">
        <v>773</v>
      </c>
      <c r="NE27" s="24">
        <v>18</v>
      </c>
      <c r="NF27" s="16"/>
      <c r="NG27" s="59"/>
      <c r="NH27" s="207"/>
      <c r="NI27" s="20">
        <v>20</v>
      </c>
      <c r="NJ27" s="19">
        <v>916.7</v>
      </c>
      <c r="NK27" s="17">
        <v>42306</v>
      </c>
      <c r="NL27" s="19">
        <v>916.7</v>
      </c>
      <c r="NM27" s="309" t="s">
        <v>779</v>
      </c>
      <c r="NN27" s="24">
        <v>30</v>
      </c>
      <c r="NO27" s="16"/>
      <c r="NP27" s="59"/>
      <c r="NQ27" s="126"/>
      <c r="NR27" s="20">
        <v>20</v>
      </c>
      <c r="NS27" s="19">
        <v>926.2</v>
      </c>
      <c r="NT27" s="17">
        <v>42307</v>
      </c>
      <c r="NU27" s="19">
        <v>926.2</v>
      </c>
      <c r="NV27" s="72" t="s">
        <v>784</v>
      </c>
      <c r="NW27" s="24">
        <v>30</v>
      </c>
      <c r="NX27" s="16"/>
      <c r="NY27" s="59"/>
      <c r="NZ27" s="126"/>
      <c r="OA27" s="20">
        <v>20</v>
      </c>
      <c r="OB27" s="19">
        <v>936.96</v>
      </c>
      <c r="OC27" s="17">
        <v>42307</v>
      </c>
      <c r="OD27" s="19">
        <v>936.96</v>
      </c>
      <c r="OE27" s="72" t="s">
        <v>782</v>
      </c>
      <c r="OF27" s="24">
        <v>30</v>
      </c>
      <c r="OG27" s="16"/>
      <c r="OH27" s="59"/>
      <c r="OI27" s="126"/>
      <c r="OJ27" s="20">
        <v>20</v>
      </c>
      <c r="OK27" s="19">
        <v>927.89</v>
      </c>
      <c r="OL27" s="17"/>
      <c r="OM27" s="19"/>
      <c r="ON27" s="72"/>
      <c r="OO27" s="24"/>
      <c r="OP27" s="16"/>
      <c r="OQ27" s="59"/>
      <c r="OR27" s="207"/>
      <c r="OS27" s="20"/>
      <c r="OT27" s="19"/>
      <c r="OU27" s="17"/>
      <c r="OV27" s="19"/>
      <c r="OW27" s="309"/>
      <c r="OX27" s="24"/>
      <c r="OY27" s="16"/>
      <c r="OZ27" s="59"/>
      <c r="PA27" s="126"/>
      <c r="PB27" s="20">
        <v>20</v>
      </c>
      <c r="PC27" s="19">
        <v>914.4</v>
      </c>
      <c r="PD27" s="17">
        <v>42308</v>
      </c>
      <c r="PE27" s="19">
        <v>914.4</v>
      </c>
      <c r="PF27" s="72" t="s">
        <v>793</v>
      </c>
      <c r="PG27" s="24">
        <v>29</v>
      </c>
      <c r="PH27" s="16"/>
      <c r="PI27" s="59"/>
      <c r="PJ27" s="126"/>
      <c r="PK27" s="20"/>
      <c r="PL27" s="19"/>
      <c r="PM27" s="17"/>
      <c r="PN27" s="19"/>
      <c r="PO27" s="72"/>
      <c r="PP27" s="24"/>
      <c r="PQ27" s="16"/>
      <c r="PR27" s="59"/>
      <c r="PS27" s="126"/>
      <c r="PT27" s="20"/>
      <c r="PU27" s="19"/>
      <c r="PV27" s="17"/>
      <c r="PW27" s="19"/>
      <c r="PX27" s="72"/>
      <c r="PY27" s="24"/>
      <c r="PZ27" s="16"/>
      <c r="QA27" s="59"/>
      <c r="QB27" s="126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>
        <v>20</v>
      </c>
      <c r="RN27" s="19"/>
      <c r="RO27" s="403"/>
      <c r="RP27" s="406"/>
      <c r="RQ27" s="404"/>
      <c r="RR27" s="405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INDIANA PACKERS Co</v>
      </c>
      <c r="C28" s="16" t="str">
        <f t="shared" si="24"/>
        <v>INDIANA</v>
      </c>
      <c r="D28" s="74" t="str">
        <f t="shared" si="24"/>
        <v>PED. 5004088</v>
      </c>
      <c r="E28" s="162">
        <f t="shared" si="24"/>
        <v>42294</v>
      </c>
      <c r="F28" s="77">
        <f t="shared" si="24"/>
        <v>17895.990000000002</v>
      </c>
      <c r="G28" s="15">
        <f t="shared" si="24"/>
        <v>19</v>
      </c>
      <c r="H28" s="65">
        <f t="shared" si="24"/>
        <v>17974</v>
      </c>
      <c r="I28" s="18">
        <f t="shared" si="24"/>
        <v>-78.009999999998399</v>
      </c>
      <c r="K28" s="59"/>
      <c r="L28" s="126"/>
      <c r="M28" s="20">
        <v>21</v>
      </c>
      <c r="N28" s="19">
        <v>889.9</v>
      </c>
      <c r="O28" s="339">
        <v>42278</v>
      </c>
      <c r="P28" s="226">
        <v>889.9</v>
      </c>
      <c r="Q28" s="340" t="s">
        <v>630</v>
      </c>
      <c r="R28" s="341">
        <v>30</v>
      </c>
      <c r="S28" s="16"/>
      <c r="T28" s="59"/>
      <c r="U28" s="126"/>
      <c r="V28" s="20">
        <v>21</v>
      </c>
      <c r="W28" s="19">
        <v>923.5</v>
      </c>
      <c r="X28" s="17">
        <v>42279</v>
      </c>
      <c r="Y28" s="19">
        <v>923.5</v>
      </c>
      <c r="Z28" s="72" t="s">
        <v>636</v>
      </c>
      <c r="AA28" s="24">
        <v>30</v>
      </c>
      <c r="AB28" s="16"/>
      <c r="AC28" s="59"/>
      <c r="AD28" s="126"/>
      <c r="AE28" s="20"/>
      <c r="AF28" s="19"/>
      <c r="AG28" s="110"/>
      <c r="AH28" s="19"/>
      <c r="AI28" s="129"/>
      <c r="AJ28" s="116"/>
      <c r="AK28" s="16"/>
      <c r="AL28" s="59"/>
      <c r="AM28" s="126"/>
      <c r="AN28" s="20"/>
      <c r="AO28" s="19"/>
      <c r="AP28" s="17"/>
      <c r="AQ28" s="19"/>
      <c r="AR28" s="72"/>
      <c r="AS28" s="24"/>
      <c r="AT28" s="16"/>
      <c r="AU28" s="59"/>
      <c r="AV28" s="183"/>
      <c r="AW28" s="20"/>
      <c r="AX28" s="19"/>
      <c r="AY28" s="110"/>
      <c r="AZ28" s="19"/>
      <c r="BA28" s="129"/>
      <c r="BB28" s="108"/>
      <c r="BC28" s="16"/>
      <c r="BD28" s="59"/>
      <c r="BE28" s="126"/>
      <c r="BF28" s="20">
        <v>21</v>
      </c>
      <c r="BG28" s="19">
        <v>920.3</v>
      </c>
      <c r="BH28" s="17">
        <v>42281</v>
      </c>
      <c r="BI28" s="19">
        <v>920.3</v>
      </c>
      <c r="BJ28" s="72" t="s">
        <v>644</v>
      </c>
      <c r="BK28" s="160">
        <v>31</v>
      </c>
      <c r="BL28" s="16"/>
      <c r="BM28" s="59"/>
      <c r="BN28" s="183"/>
      <c r="BO28" s="20"/>
      <c r="BP28" s="19"/>
      <c r="BQ28" s="17"/>
      <c r="BR28" s="19"/>
      <c r="BS28" s="72"/>
      <c r="BT28" s="24"/>
      <c r="BU28" s="16"/>
      <c r="BV28" s="59"/>
      <c r="BW28" s="183"/>
      <c r="BX28" s="20"/>
      <c r="BY28" s="19"/>
      <c r="BZ28" s="17"/>
      <c r="CA28" s="19"/>
      <c r="CB28" s="72"/>
      <c r="CC28" s="24"/>
      <c r="CD28" s="16"/>
      <c r="CE28" s="59"/>
      <c r="CF28" s="183"/>
      <c r="CG28" s="20"/>
      <c r="CH28" s="19"/>
      <c r="CI28" s="17"/>
      <c r="CJ28" s="179"/>
      <c r="CK28" s="437"/>
      <c r="CL28" s="24"/>
      <c r="CM28" s="16"/>
      <c r="CN28" s="59"/>
      <c r="CO28" s="207"/>
      <c r="CP28" s="20">
        <v>21</v>
      </c>
      <c r="CQ28" s="19">
        <v>926.7</v>
      </c>
      <c r="CR28" s="17">
        <v>42285</v>
      </c>
      <c r="CS28" s="19">
        <v>926.7</v>
      </c>
      <c r="CT28" s="326" t="s">
        <v>664</v>
      </c>
      <c r="CU28" s="24">
        <v>31.5</v>
      </c>
      <c r="CV28" s="16"/>
      <c r="CW28" s="59"/>
      <c r="CX28" s="126"/>
      <c r="CY28" s="20"/>
      <c r="CZ28" s="202"/>
      <c r="DA28" s="17"/>
      <c r="DB28" s="202"/>
      <c r="DC28" s="43"/>
      <c r="DD28" s="24"/>
      <c r="DE28" s="16"/>
      <c r="DF28" s="59"/>
      <c r="DG28" s="126"/>
      <c r="DH28" s="20"/>
      <c r="DI28" s="19"/>
      <c r="DJ28" s="17"/>
      <c r="DK28" s="19"/>
      <c r="DL28" s="43"/>
      <c r="DM28" s="24"/>
      <c r="DN28" s="16"/>
      <c r="DO28" s="59"/>
      <c r="DP28" s="126"/>
      <c r="DQ28" s="20">
        <v>21</v>
      </c>
      <c r="DR28" s="30">
        <v>927.6</v>
      </c>
      <c r="DS28" s="58">
        <v>42287</v>
      </c>
      <c r="DT28" s="30">
        <v>927.6</v>
      </c>
      <c r="DU28" s="79" t="s">
        <v>673</v>
      </c>
      <c r="DV28" s="24">
        <v>32</v>
      </c>
      <c r="DW28" s="16"/>
      <c r="DX28" s="59"/>
      <c r="DY28" s="126"/>
      <c r="DZ28" s="20"/>
      <c r="EA28" s="30"/>
      <c r="EB28" s="58"/>
      <c r="EC28" s="30"/>
      <c r="ED28" s="79"/>
      <c r="EE28" s="24"/>
      <c r="EF28" s="16"/>
      <c r="EG28" s="59"/>
      <c r="EH28" s="126"/>
      <c r="EI28" s="20"/>
      <c r="EJ28" s="19"/>
      <c r="EK28" s="17"/>
      <c r="EL28" s="18"/>
      <c r="EM28" s="43"/>
      <c r="EN28" s="24"/>
      <c r="EO28" s="16"/>
      <c r="EP28" s="59"/>
      <c r="EQ28" s="126"/>
      <c r="ER28" s="20">
        <v>21</v>
      </c>
      <c r="ES28" s="19">
        <v>889.5</v>
      </c>
      <c r="ET28" s="17">
        <v>42289</v>
      </c>
      <c r="EU28" s="19">
        <v>889.5</v>
      </c>
      <c r="EV28" s="79" t="s">
        <v>678</v>
      </c>
      <c r="EW28" s="24">
        <v>32</v>
      </c>
      <c r="EX28" s="16"/>
      <c r="EY28" s="59"/>
      <c r="EZ28" s="126"/>
      <c r="FA28" s="20"/>
      <c r="FB28" s="19"/>
      <c r="FC28" s="17"/>
      <c r="FD28" s="19"/>
      <c r="FE28" s="43"/>
      <c r="FF28" s="24"/>
      <c r="FG28" s="16"/>
      <c r="FH28" s="59"/>
      <c r="FI28" s="126"/>
      <c r="FJ28" s="20">
        <v>21</v>
      </c>
      <c r="FK28" s="30">
        <v>443</v>
      </c>
      <c r="FL28" s="58">
        <v>42290</v>
      </c>
      <c r="FM28" s="30">
        <v>443</v>
      </c>
      <c r="FN28" s="79" t="s">
        <v>691</v>
      </c>
      <c r="FO28" s="24">
        <v>31.5</v>
      </c>
      <c r="FP28" s="16"/>
      <c r="FQ28" s="59"/>
      <c r="FR28" s="126"/>
      <c r="FS28" s="20"/>
      <c r="FT28" s="30"/>
      <c r="FU28" s="58"/>
      <c r="FV28" s="30"/>
      <c r="FW28" s="79"/>
      <c r="FX28" s="24"/>
      <c r="FY28" s="16"/>
      <c r="FZ28" s="59"/>
      <c r="GA28" s="126"/>
      <c r="GB28" s="20">
        <v>21</v>
      </c>
      <c r="GC28" s="19">
        <v>891.7</v>
      </c>
      <c r="GD28" s="17">
        <v>42291</v>
      </c>
      <c r="GE28" s="30">
        <v>891.7</v>
      </c>
      <c r="GF28" s="360" t="s">
        <v>693</v>
      </c>
      <c r="GG28" s="24">
        <v>32.5</v>
      </c>
      <c r="GH28" s="16"/>
      <c r="GI28" s="135"/>
      <c r="GJ28" s="126"/>
      <c r="GK28" s="20">
        <v>21</v>
      </c>
      <c r="GL28" s="19">
        <v>912.6</v>
      </c>
      <c r="GM28" s="17">
        <v>42292</v>
      </c>
      <c r="GN28" s="19">
        <v>912.6</v>
      </c>
      <c r="GO28" s="72" t="s">
        <v>702</v>
      </c>
      <c r="GP28" s="24">
        <v>32.5</v>
      </c>
      <c r="GQ28" s="16"/>
      <c r="GR28" s="59"/>
      <c r="GS28" s="126"/>
      <c r="GT28" s="20"/>
      <c r="GU28" s="19"/>
      <c r="GV28" s="17"/>
      <c r="GW28" s="19"/>
      <c r="GX28" s="72"/>
      <c r="GY28" s="24"/>
      <c r="GZ28" s="16"/>
      <c r="HA28" s="59"/>
      <c r="HB28" s="126"/>
      <c r="HC28" s="20">
        <v>21</v>
      </c>
      <c r="HD28" s="19">
        <v>917.2</v>
      </c>
      <c r="HE28" s="17">
        <v>42293</v>
      </c>
      <c r="HF28" s="19">
        <v>917.2</v>
      </c>
      <c r="HG28" s="72" t="s">
        <v>714</v>
      </c>
      <c r="HH28" s="24">
        <v>33</v>
      </c>
      <c r="HI28" s="16"/>
      <c r="HJ28" s="135"/>
      <c r="HK28" s="126"/>
      <c r="HL28" s="20">
        <v>21</v>
      </c>
      <c r="HM28" s="19">
        <v>951.2</v>
      </c>
      <c r="HN28" s="17">
        <v>42293</v>
      </c>
      <c r="HO28" s="19">
        <v>951.2</v>
      </c>
      <c r="HP28" s="72" t="s">
        <v>716</v>
      </c>
      <c r="HQ28" s="24">
        <v>33</v>
      </c>
      <c r="HR28" s="16"/>
      <c r="HS28" s="135"/>
      <c r="HT28" s="126"/>
      <c r="HU28" s="20"/>
      <c r="HV28" s="19"/>
      <c r="HW28" s="17"/>
      <c r="HX28" s="19"/>
      <c r="HY28" s="72"/>
      <c r="HZ28" s="24"/>
      <c r="IA28" s="16"/>
      <c r="IB28" s="135"/>
      <c r="IC28" s="183"/>
      <c r="ID28" s="20">
        <v>21</v>
      </c>
      <c r="IE28" s="179">
        <v>896.3</v>
      </c>
      <c r="IF28" s="17">
        <v>42296</v>
      </c>
      <c r="IG28" s="19">
        <v>896.3</v>
      </c>
      <c r="IH28" s="72" t="s">
        <v>724</v>
      </c>
      <c r="II28" s="24">
        <v>33.5</v>
      </c>
      <c r="IJ28" s="16"/>
      <c r="IK28" s="59"/>
      <c r="IL28" s="126"/>
      <c r="IM28" s="20"/>
      <c r="IN28" s="19"/>
      <c r="IO28" s="17"/>
      <c r="IP28" s="726">
        <v>3.18</v>
      </c>
      <c r="IQ28" s="72" t="s">
        <v>726</v>
      </c>
      <c r="IR28" s="24">
        <v>32.07</v>
      </c>
      <c r="IS28" s="16"/>
      <c r="IT28" s="59"/>
      <c r="IU28" s="126"/>
      <c r="IV28" s="20">
        <v>21</v>
      </c>
      <c r="IW28" s="19">
        <v>882.2</v>
      </c>
      <c r="IX28" s="110">
        <v>42296</v>
      </c>
      <c r="IY28" s="19">
        <v>882.2</v>
      </c>
      <c r="IZ28" s="129" t="s">
        <v>723</v>
      </c>
      <c r="JA28" s="108">
        <v>33.5</v>
      </c>
      <c r="JB28" s="16"/>
      <c r="JC28" s="59"/>
      <c r="JD28" s="126"/>
      <c r="JE28" s="20"/>
      <c r="JF28" s="19"/>
      <c r="JG28" s="17"/>
      <c r="JH28" s="19"/>
      <c r="JI28" s="510"/>
      <c r="JJ28" s="24"/>
      <c r="JK28" s="16"/>
      <c r="JL28" s="59"/>
      <c r="JM28" s="207"/>
      <c r="JN28" s="20"/>
      <c r="JO28" s="19"/>
      <c r="JP28" s="17"/>
      <c r="JQ28" s="19"/>
      <c r="JR28" s="72"/>
      <c r="JS28" s="24"/>
      <c r="JT28" s="16"/>
      <c r="JU28" s="59"/>
      <c r="JV28" s="126"/>
      <c r="JW28" s="20"/>
      <c r="JX28" s="19"/>
      <c r="JY28" s="17"/>
      <c r="JZ28" s="19"/>
      <c r="KA28" s="72"/>
      <c r="KB28" s="24"/>
      <c r="KC28" s="16"/>
      <c r="KD28" s="59"/>
      <c r="KE28" s="139"/>
      <c r="KF28" s="20"/>
      <c r="KG28" s="202"/>
      <c r="KH28" s="110"/>
      <c r="KI28" s="202"/>
      <c r="KJ28" s="129"/>
      <c r="KK28" s="108"/>
      <c r="KL28" s="16"/>
      <c r="KM28" s="59"/>
      <c r="KN28" s="126"/>
      <c r="KO28" s="20"/>
      <c r="KP28" s="202"/>
      <c r="KQ28" s="17"/>
      <c r="KR28" s="202"/>
      <c r="KS28" s="72"/>
      <c r="KT28" s="24"/>
      <c r="KU28" s="16"/>
      <c r="KV28" s="59"/>
      <c r="KW28" s="183"/>
      <c r="KX28" s="20">
        <v>21</v>
      </c>
      <c r="KY28" s="19">
        <v>920.3</v>
      </c>
      <c r="KZ28" s="17">
        <v>42300</v>
      </c>
      <c r="LA28" s="19">
        <v>920.3</v>
      </c>
      <c r="LB28" s="72" t="s">
        <v>744</v>
      </c>
      <c r="LC28" s="24">
        <v>33.5</v>
      </c>
      <c r="LD28" s="16"/>
      <c r="LE28" s="59"/>
      <c r="LF28" s="126"/>
      <c r="LG28" s="20">
        <v>21</v>
      </c>
      <c r="LH28" s="202">
        <v>922.1</v>
      </c>
      <c r="LI28" s="17">
        <v>42301</v>
      </c>
      <c r="LJ28" s="202">
        <v>922.1</v>
      </c>
      <c r="LK28" s="72" t="s">
        <v>752</v>
      </c>
      <c r="LL28" s="24">
        <v>33.5</v>
      </c>
      <c r="LM28" s="16"/>
      <c r="LN28" s="59"/>
      <c r="LO28" s="126"/>
      <c r="LP28" s="20"/>
      <c r="LQ28" s="19"/>
      <c r="LR28" s="17"/>
      <c r="LS28" s="726">
        <v>7.5</v>
      </c>
      <c r="LT28" s="72" t="s">
        <v>762</v>
      </c>
      <c r="LU28" s="24">
        <v>32.5</v>
      </c>
      <c r="LV28" s="16"/>
      <c r="LW28" s="59"/>
      <c r="LX28" s="126"/>
      <c r="LY28" s="20">
        <v>21</v>
      </c>
      <c r="LZ28" s="179">
        <v>918.1</v>
      </c>
      <c r="MA28" s="17">
        <v>42303</v>
      </c>
      <c r="MB28" s="19">
        <v>918.1</v>
      </c>
      <c r="MC28" s="72" t="s">
        <v>756</v>
      </c>
      <c r="MD28" s="24">
        <v>32.5</v>
      </c>
      <c r="ME28" s="16"/>
      <c r="MF28" s="59"/>
      <c r="MG28" s="126"/>
      <c r="MH28" s="20"/>
      <c r="MI28" s="19"/>
      <c r="MJ28" s="17"/>
      <c r="MK28" s="19"/>
      <c r="ML28" s="72"/>
      <c r="MM28" s="24"/>
      <c r="MN28" s="16"/>
      <c r="MO28" s="59"/>
      <c r="MP28" s="126"/>
      <c r="MQ28" s="20"/>
      <c r="MR28" s="19"/>
      <c r="MS28" s="17"/>
      <c r="MT28" s="19"/>
      <c r="MU28" s="72"/>
      <c r="MV28" s="24"/>
      <c r="MW28" s="16"/>
      <c r="MX28" s="59"/>
      <c r="MY28" s="126"/>
      <c r="MZ28" s="20"/>
      <c r="NA28" s="19"/>
      <c r="NB28" s="17"/>
      <c r="NC28" s="19"/>
      <c r="ND28" s="72"/>
      <c r="NE28" s="24"/>
      <c r="NF28" s="16"/>
      <c r="NG28" s="59"/>
      <c r="NH28" s="126"/>
      <c r="NI28" s="20">
        <v>21</v>
      </c>
      <c r="NJ28" s="19">
        <v>926.2</v>
      </c>
      <c r="NK28" s="17">
        <v>42306</v>
      </c>
      <c r="NL28" s="19">
        <v>926.2</v>
      </c>
      <c r="NM28" s="309" t="s">
        <v>779</v>
      </c>
      <c r="NN28" s="24">
        <v>30</v>
      </c>
      <c r="NO28" s="16"/>
      <c r="NP28" s="59"/>
      <c r="NQ28" s="126"/>
      <c r="NR28" s="20">
        <v>21</v>
      </c>
      <c r="NS28" s="19">
        <v>906.3</v>
      </c>
      <c r="NT28" s="17">
        <v>42307</v>
      </c>
      <c r="NU28" s="19">
        <v>906.3</v>
      </c>
      <c r="NV28" s="72" t="s">
        <v>784</v>
      </c>
      <c r="NW28" s="24">
        <v>30</v>
      </c>
      <c r="NX28" s="16"/>
      <c r="NY28" s="59"/>
      <c r="NZ28" s="126"/>
      <c r="OA28" s="20"/>
      <c r="OB28" s="19"/>
      <c r="OC28" s="17"/>
      <c r="OD28" s="19"/>
      <c r="OE28" s="72"/>
      <c r="OF28" s="24"/>
      <c r="OG28" s="16"/>
      <c r="OH28" s="59"/>
      <c r="OI28" s="126"/>
      <c r="OJ28" s="20"/>
      <c r="OK28" s="19"/>
      <c r="OL28" s="17"/>
      <c r="OM28" s="19"/>
      <c r="ON28" s="72"/>
      <c r="OO28" s="24"/>
      <c r="OP28" s="16"/>
      <c r="OQ28" s="59"/>
      <c r="OR28" s="126"/>
      <c r="OS28" s="20"/>
      <c r="OT28" s="19"/>
      <c r="OU28" s="17"/>
      <c r="OV28" s="19"/>
      <c r="OW28" s="309"/>
      <c r="OX28" s="24"/>
      <c r="OY28" s="16"/>
      <c r="OZ28" s="59"/>
      <c r="PA28" s="126"/>
      <c r="PB28" s="20">
        <v>21</v>
      </c>
      <c r="PC28" s="19">
        <v>919.4</v>
      </c>
      <c r="PD28" s="17">
        <v>42308</v>
      </c>
      <c r="PE28" s="19">
        <v>919.4</v>
      </c>
      <c r="PF28" s="72" t="s">
        <v>793</v>
      </c>
      <c r="PG28" s="24">
        <v>29</v>
      </c>
      <c r="PH28" s="16"/>
      <c r="PI28" s="59"/>
      <c r="PJ28" s="126"/>
      <c r="PK28" s="20"/>
      <c r="PL28" s="19"/>
      <c r="PM28" s="17"/>
      <c r="PN28" s="19"/>
      <c r="PO28" s="72"/>
      <c r="PP28" s="24"/>
      <c r="PQ28" s="16"/>
      <c r="PR28" s="59"/>
      <c r="PS28" s="126"/>
      <c r="PT28" s="20"/>
      <c r="PU28" s="19"/>
      <c r="PV28" s="17"/>
      <c r="PW28" s="19"/>
      <c r="PX28" s="72"/>
      <c r="PY28" s="24"/>
      <c r="PZ28" s="16"/>
      <c r="QA28" s="59"/>
      <c r="QB28" s="126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4" t="str">
        <f t="shared" si="25"/>
        <v>PED. 5004325</v>
      </c>
      <c r="E29" s="162">
        <f t="shared" si="25"/>
        <v>42294</v>
      </c>
      <c r="F29" s="77">
        <f t="shared" si="25"/>
        <v>19242.919999999998</v>
      </c>
      <c r="G29" s="15">
        <f t="shared" si="25"/>
        <v>21</v>
      </c>
      <c r="H29" s="65">
        <f t="shared" si="25"/>
        <v>19322.400000000001</v>
      </c>
      <c r="I29" s="18">
        <f t="shared" si="25"/>
        <v>-79.480000000003201</v>
      </c>
      <c r="K29" s="59"/>
      <c r="L29" s="126"/>
      <c r="M29" s="20"/>
      <c r="N29" s="19"/>
      <c r="O29" s="17"/>
      <c r="P29" s="19"/>
      <c r="Q29" s="72"/>
      <c r="R29" s="24"/>
      <c r="S29" s="16"/>
      <c r="T29" s="59"/>
      <c r="U29" s="126"/>
      <c r="V29" s="20"/>
      <c r="W29" s="19"/>
      <c r="X29" s="17"/>
      <c r="Y29" s="19"/>
      <c r="Z29" s="72"/>
      <c r="AA29" s="24"/>
      <c r="AB29" s="16"/>
      <c r="AC29" s="59"/>
      <c r="AD29" s="126"/>
      <c r="AE29" s="20"/>
      <c r="AF29" s="19"/>
      <c r="AG29" s="110"/>
      <c r="AH29" s="19"/>
      <c r="AI29" s="129"/>
      <c r="AJ29" s="116"/>
      <c r="AK29" s="16"/>
      <c r="AL29" s="59"/>
      <c r="AM29" s="126"/>
      <c r="AN29" s="20"/>
      <c r="AO29" s="19"/>
      <c r="AP29" s="17"/>
      <c r="AQ29" s="19"/>
      <c r="AR29" s="72"/>
      <c r="AS29" s="24"/>
      <c r="AT29" s="16"/>
      <c r="AU29" s="59"/>
      <c r="AV29" s="175"/>
      <c r="AW29" s="20"/>
      <c r="AX29" s="19"/>
      <c r="AY29" s="110"/>
      <c r="AZ29" s="19"/>
      <c r="BA29" s="129"/>
      <c r="BB29" s="108"/>
      <c r="BC29" s="16"/>
      <c r="BD29" s="59"/>
      <c r="BE29" s="126"/>
      <c r="BF29" s="20"/>
      <c r="BG29" s="30"/>
      <c r="BH29" s="17"/>
      <c r="BI29" s="19"/>
      <c r="BJ29" s="72"/>
      <c r="BK29" s="160"/>
      <c r="BL29" s="16"/>
      <c r="BM29" s="59"/>
      <c r="BN29" s="183"/>
      <c r="BO29" s="20"/>
      <c r="BP29" s="19"/>
      <c r="BQ29" s="17"/>
      <c r="BR29" s="19"/>
      <c r="BS29" s="72"/>
      <c r="BT29" s="24"/>
      <c r="BU29" s="16"/>
      <c r="BV29" s="59"/>
      <c r="BW29" s="183"/>
      <c r="BX29" s="20"/>
      <c r="BY29" s="19"/>
      <c r="BZ29" s="17"/>
      <c r="CA29" s="19"/>
      <c r="CB29" s="72"/>
      <c r="CC29" s="24"/>
      <c r="CD29" s="16"/>
      <c r="CE29" s="59"/>
      <c r="CF29" s="126"/>
      <c r="CG29" s="20"/>
      <c r="CH29" s="19"/>
      <c r="CI29" s="17"/>
      <c r="CJ29" s="19"/>
      <c r="CK29" s="437"/>
      <c r="CL29" s="24"/>
      <c r="CM29" s="16"/>
      <c r="CN29" s="59"/>
      <c r="CO29" s="207"/>
      <c r="CP29" s="20"/>
      <c r="CQ29" s="19"/>
      <c r="CR29" s="17"/>
      <c r="CS29" s="19"/>
      <c r="CT29" s="326"/>
      <c r="CU29" s="24"/>
      <c r="CV29" s="16"/>
      <c r="CW29" s="59"/>
      <c r="CX29" s="126"/>
      <c r="CY29" s="20"/>
      <c r="CZ29" s="202"/>
      <c r="DA29" s="17"/>
      <c r="DB29" s="202"/>
      <c r="DC29" s="43"/>
      <c r="DD29" s="24"/>
      <c r="DE29" s="16"/>
      <c r="DF29" s="59"/>
      <c r="DG29" s="126"/>
      <c r="DH29" s="20"/>
      <c r="DI29" s="19"/>
      <c r="DJ29" s="17"/>
      <c r="DK29" s="19"/>
      <c r="DL29" s="43"/>
      <c r="DM29" s="24"/>
      <c r="DN29" s="16"/>
      <c r="DO29" s="59"/>
      <c r="DP29" s="126"/>
      <c r="DQ29" s="20"/>
      <c r="DR29" s="30"/>
      <c r="DS29" s="58"/>
      <c r="DT29" s="30"/>
      <c r="DU29" s="79"/>
      <c r="DV29" s="24"/>
      <c r="DW29" s="16"/>
      <c r="DX29" s="59"/>
      <c r="DY29" s="126"/>
      <c r="DZ29" s="20"/>
      <c r="EA29" s="30"/>
      <c r="EB29" s="58"/>
      <c r="EC29" s="30"/>
      <c r="ED29" s="79"/>
      <c r="EE29" s="24"/>
      <c r="EF29" s="16"/>
      <c r="EG29" s="59"/>
      <c r="EH29" s="126"/>
      <c r="EI29" s="20"/>
      <c r="EJ29" s="19"/>
      <c r="EK29" s="17"/>
      <c r="EL29" s="18"/>
      <c r="EM29" s="43"/>
      <c r="EN29" s="24"/>
      <c r="EO29" s="16"/>
      <c r="EP29" s="59"/>
      <c r="EQ29" s="126"/>
      <c r="ER29" s="20"/>
      <c r="ES29" s="19"/>
      <c r="ET29" s="17"/>
      <c r="EU29" s="19"/>
      <c r="EV29" s="79"/>
      <c r="EW29" s="24"/>
      <c r="EX29" s="16"/>
      <c r="EY29" s="59"/>
      <c r="EZ29" s="126"/>
      <c r="FA29" s="20"/>
      <c r="FB29" s="19"/>
      <c r="FC29" s="17"/>
      <c r="FD29" s="19"/>
      <c r="FE29" s="43"/>
      <c r="FF29" s="24"/>
      <c r="FG29" s="16"/>
      <c r="FH29" s="59"/>
      <c r="FI29" s="126"/>
      <c r="FJ29" s="20"/>
      <c r="FK29" s="30"/>
      <c r="FL29" s="58"/>
      <c r="FM29" s="30"/>
      <c r="FN29" s="79"/>
      <c r="FO29" s="24"/>
      <c r="FP29" s="16"/>
      <c r="FQ29" s="59"/>
      <c r="FR29" s="126"/>
      <c r="FS29" s="20"/>
      <c r="FT29" s="30"/>
      <c r="FU29" s="58"/>
      <c r="FV29" s="225"/>
      <c r="FW29" s="79"/>
      <c r="FX29" s="24"/>
      <c r="FY29" s="16"/>
      <c r="FZ29" s="59"/>
      <c r="GA29" s="126"/>
      <c r="GB29" s="20"/>
      <c r="GC29" s="19"/>
      <c r="GD29" s="17"/>
      <c r="GE29" s="30"/>
      <c r="GF29" s="360"/>
      <c r="GG29" s="24"/>
      <c r="GH29" s="16"/>
      <c r="GI29" s="135"/>
      <c r="GJ29" s="126"/>
      <c r="GK29" s="20"/>
      <c r="GL29" s="19"/>
      <c r="GM29" s="17"/>
      <c r="GN29" s="19"/>
      <c r="GO29" s="72"/>
      <c r="GP29" s="24"/>
      <c r="GQ29" s="16"/>
      <c r="GR29" s="59"/>
      <c r="GS29" s="126"/>
      <c r="GT29" s="20"/>
      <c r="GU29" s="19"/>
      <c r="GV29" s="17"/>
      <c r="GW29" s="19"/>
      <c r="GX29" s="72"/>
      <c r="GY29" s="24"/>
      <c r="GZ29" s="16"/>
      <c r="HA29" s="59"/>
      <c r="HB29" s="126"/>
      <c r="HC29" s="20"/>
      <c r="HD29" s="19"/>
      <c r="HE29" s="17"/>
      <c r="HF29" s="19"/>
      <c r="HG29" s="72"/>
      <c r="HH29" s="24"/>
      <c r="HI29" s="16"/>
      <c r="HJ29" s="135"/>
      <c r="HK29" s="126"/>
      <c r="HL29" s="20"/>
      <c r="HM29" s="19"/>
      <c r="HN29" s="17"/>
      <c r="HO29" s="19"/>
      <c r="HP29" s="72"/>
      <c r="HQ29" s="24"/>
      <c r="HR29" s="16"/>
      <c r="HS29" s="135"/>
      <c r="HT29" s="126"/>
      <c r="HU29" s="20"/>
      <c r="HV29" s="19"/>
      <c r="HW29" s="17"/>
      <c r="HX29" s="19"/>
      <c r="HY29" s="72"/>
      <c r="HZ29" s="24"/>
      <c r="IA29" s="16"/>
      <c r="IB29" s="135"/>
      <c r="IC29" s="126"/>
      <c r="ID29" s="20"/>
      <c r="IE29" s="19"/>
      <c r="IF29" s="17"/>
      <c r="IG29" s="19"/>
      <c r="IH29" s="72"/>
      <c r="II29" s="24"/>
      <c r="IJ29" s="16"/>
      <c r="IK29" s="59"/>
      <c r="IL29" s="126"/>
      <c r="IM29" s="20"/>
      <c r="IN29" s="19"/>
      <c r="IO29" s="17"/>
      <c r="IP29" s="19"/>
      <c r="IQ29" s="72"/>
      <c r="IR29" s="24"/>
      <c r="IS29" s="16"/>
      <c r="IT29" s="59"/>
      <c r="IU29" s="126"/>
      <c r="IV29" s="20">
        <v>22</v>
      </c>
      <c r="IW29" s="19">
        <v>820.5</v>
      </c>
      <c r="IX29" s="110">
        <v>42296</v>
      </c>
      <c r="IY29" s="19">
        <v>820.5</v>
      </c>
      <c r="IZ29" s="129" t="s">
        <v>723</v>
      </c>
      <c r="JA29" s="108">
        <v>33.5</v>
      </c>
      <c r="JB29" s="16"/>
      <c r="JC29" s="59"/>
      <c r="JD29" s="126"/>
      <c r="JE29" s="20"/>
      <c r="JF29" s="19"/>
      <c r="JG29" s="17"/>
      <c r="JH29" s="19"/>
      <c r="JI29" s="510"/>
      <c r="JJ29" s="24"/>
      <c r="JK29" s="16"/>
      <c r="JL29" s="59"/>
      <c r="JM29" s="207"/>
      <c r="JN29" s="20"/>
      <c r="JO29" s="19"/>
      <c r="JP29" s="17"/>
      <c r="JQ29" s="19"/>
      <c r="JR29" s="72"/>
      <c r="JS29" s="24"/>
      <c r="JT29" s="16"/>
      <c r="JU29" s="59"/>
      <c r="JV29" s="126"/>
      <c r="JW29" s="20"/>
      <c r="JX29" s="19"/>
      <c r="JY29" s="17"/>
      <c r="JZ29" s="19"/>
      <c r="KA29" s="72"/>
      <c r="KB29" s="24"/>
      <c r="KC29" s="16"/>
      <c r="KD29" s="59"/>
      <c r="KE29" s="139"/>
      <c r="KF29" s="20"/>
      <c r="KG29" s="202"/>
      <c r="KH29" s="110"/>
      <c r="KI29" s="202"/>
      <c r="KJ29" s="129"/>
      <c r="KK29" s="108"/>
      <c r="KL29" s="16"/>
      <c r="KM29" s="59"/>
      <c r="KN29" s="126"/>
      <c r="KO29" s="20"/>
      <c r="KP29" s="202"/>
      <c r="KQ29" s="17"/>
      <c r="KR29" s="202"/>
      <c r="KS29" s="72"/>
      <c r="KT29" s="24"/>
      <c r="KU29" s="16"/>
      <c r="KV29" s="59"/>
      <c r="KW29" s="183"/>
      <c r="KX29" s="20"/>
      <c r="KY29" s="19"/>
      <c r="KZ29" s="17"/>
      <c r="LA29" s="19"/>
      <c r="LB29" s="72"/>
      <c r="LC29" s="24"/>
      <c r="LD29" s="16"/>
      <c r="LE29" s="59"/>
      <c r="LF29" s="126"/>
      <c r="LG29" s="20"/>
      <c r="LH29" s="202"/>
      <c r="LI29" s="17"/>
      <c r="LJ29" s="202"/>
      <c r="LK29" s="72"/>
      <c r="LL29" s="24"/>
      <c r="LM29" s="16"/>
      <c r="LN29" s="59"/>
      <c r="LO29" s="126"/>
      <c r="LP29" s="20"/>
      <c r="LQ29" s="19"/>
      <c r="LR29" s="17"/>
      <c r="LS29" s="19"/>
      <c r="LT29" s="72"/>
      <c r="LU29" s="24"/>
      <c r="LV29" s="16"/>
      <c r="LW29" s="59"/>
      <c r="LX29" s="126"/>
      <c r="LY29" s="20"/>
      <c r="LZ29" s="19"/>
      <c r="MA29" s="17"/>
      <c r="MB29" s="19"/>
      <c r="MC29" s="72"/>
      <c r="MD29" s="24"/>
      <c r="ME29" s="16"/>
      <c r="MF29" s="59"/>
      <c r="MG29" s="126"/>
      <c r="MH29" s="20"/>
      <c r="MI29" s="19"/>
      <c r="MJ29" s="17"/>
      <c r="MK29" s="19"/>
      <c r="ML29" s="72"/>
      <c r="MM29" s="24"/>
      <c r="MN29" s="16"/>
      <c r="MO29" s="59"/>
      <c r="MP29" s="126"/>
      <c r="MQ29" s="20"/>
      <c r="MR29" s="19"/>
      <c r="MS29" s="17"/>
      <c r="MT29" s="19"/>
      <c r="MU29" s="72"/>
      <c r="MV29" s="24"/>
      <c r="MW29" s="16"/>
      <c r="MX29" s="59"/>
      <c r="MY29" s="126"/>
      <c r="MZ29" s="20"/>
      <c r="NA29" s="19"/>
      <c r="NB29" s="17"/>
      <c r="NC29" s="19"/>
      <c r="ND29" s="72"/>
      <c r="NE29" s="24"/>
      <c r="NF29" s="16"/>
      <c r="NG29" s="59"/>
      <c r="NH29" s="126"/>
      <c r="NI29" s="20"/>
      <c r="NJ29" s="19"/>
      <c r="NK29" s="17"/>
      <c r="NL29" s="19"/>
      <c r="NM29" s="72"/>
      <c r="NN29" s="24"/>
      <c r="NO29" s="16"/>
      <c r="NP29" s="59"/>
      <c r="NQ29" s="126"/>
      <c r="NR29" s="20"/>
      <c r="NS29" s="19"/>
      <c r="NT29" s="17"/>
      <c r="NU29" s="19"/>
      <c r="NV29" s="72"/>
      <c r="NW29" s="24"/>
      <c r="NX29" s="16"/>
      <c r="NY29" s="59"/>
      <c r="NZ29" s="126"/>
      <c r="OA29" s="20"/>
      <c r="OB29" s="19"/>
      <c r="OC29" s="17"/>
      <c r="OD29" s="19"/>
      <c r="OE29" s="72"/>
      <c r="OF29" s="24"/>
      <c r="OG29" s="16"/>
      <c r="OH29" s="59"/>
      <c r="OI29" s="126"/>
      <c r="OJ29" s="20"/>
      <c r="OK29" s="19"/>
      <c r="OL29" s="17"/>
      <c r="OM29" s="19"/>
      <c r="ON29" s="72"/>
      <c r="OO29" s="24"/>
      <c r="OP29" s="16"/>
      <c r="OQ29" s="59"/>
      <c r="OR29" s="126"/>
      <c r="OS29" s="20"/>
      <c r="OT29" s="19"/>
      <c r="OU29" s="17"/>
      <c r="OV29" s="19"/>
      <c r="OW29" s="72"/>
      <c r="OX29" s="24"/>
      <c r="OY29" s="16"/>
      <c r="OZ29" s="59"/>
      <c r="PA29" s="126"/>
      <c r="PB29" s="20"/>
      <c r="PC29" s="19"/>
      <c r="PD29" s="17"/>
      <c r="PE29" s="19"/>
      <c r="PF29" s="72"/>
      <c r="PG29" s="24"/>
      <c r="PH29" s="16"/>
      <c r="PI29" s="59"/>
      <c r="PJ29" s="126"/>
      <c r="PK29" s="20"/>
      <c r="PL29" s="19"/>
      <c r="PM29" s="17"/>
      <c r="PN29" s="19"/>
      <c r="PO29" s="72"/>
      <c r="PP29" s="24"/>
      <c r="PQ29" s="16"/>
      <c r="PR29" s="59"/>
      <c r="PS29" s="126"/>
      <c r="PT29" s="20"/>
      <c r="PU29" s="19"/>
      <c r="PV29" s="17"/>
      <c r="PW29" s="19"/>
      <c r="PX29" s="72"/>
      <c r="PY29" s="24"/>
      <c r="PZ29" s="16"/>
      <c r="QA29" s="59"/>
      <c r="QB29" s="126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Smithfield</v>
      </c>
      <c r="D30" s="74" t="str">
        <f t="shared" si="26"/>
        <v>PED. 5004086</v>
      </c>
      <c r="E30" s="162">
        <f t="shared" si="26"/>
        <v>42294</v>
      </c>
      <c r="F30" s="77">
        <f t="shared" si="26"/>
        <v>18371.97</v>
      </c>
      <c r="G30" s="15">
        <f t="shared" si="26"/>
        <v>20</v>
      </c>
      <c r="H30" s="65">
        <f t="shared" si="26"/>
        <v>18476.48</v>
      </c>
      <c r="I30" s="18">
        <f>F30-H30</f>
        <v>-104.5099999999984</v>
      </c>
      <c r="K30" s="59"/>
      <c r="L30" s="126"/>
      <c r="M30" s="20"/>
      <c r="N30" s="30"/>
      <c r="O30" s="17"/>
      <c r="P30" s="30"/>
      <c r="Q30" s="72"/>
      <c r="R30" s="24"/>
      <c r="S30" s="16"/>
      <c r="T30" s="59"/>
      <c r="U30" s="59"/>
      <c r="V30" s="20"/>
      <c r="W30" s="30"/>
      <c r="X30" s="17"/>
      <c r="Y30" s="30"/>
      <c r="Z30" s="72"/>
      <c r="AA30" s="24"/>
      <c r="AB30" s="16"/>
      <c r="AC30" s="59"/>
      <c r="AD30" s="126"/>
      <c r="AE30" s="20"/>
      <c r="AF30" s="30"/>
      <c r="AG30" s="17"/>
      <c r="AH30" s="30"/>
      <c r="AI30" s="72"/>
      <c r="AJ30" s="24"/>
      <c r="AK30" s="16"/>
      <c r="AL30" s="59"/>
      <c r="AM30" s="126"/>
      <c r="AN30" s="20"/>
      <c r="AO30" s="30"/>
      <c r="AP30" s="17"/>
      <c r="AQ30" s="30"/>
      <c r="AR30" s="72"/>
      <c r="AS30" s="24"/>
      <c r="AT30" s="16"/>
      <c r="AU30" s="59"/>
      <c r="AV30" s="175"/>
      <c r="AW30" s="20"/>
      <c r="AX30" s="19"/>
      <c r="AY30" s="110"/>
      <c r="AZ30" s="19"/>
      <c r="BA30" s="129"/>
      <c r="BB30" s="108"/>
      <c r="BC30" s="16"/>
      <c r="BD30" s="59"/>
      <c r="BE30" s="126"/>
      <c r="BF30" s="20"/>
      <c r="BG30" s="30"/>
      <c r="BH30" s="17"/>
      <c r="BI30" s="19"/>
      <c r="BJ30" s="72"/>
      <c r="BK30" s="160"/>
      <c r="BL30" s="16"/>
      <c r="BM30" s="59"/>
      <c r="BN30" s="126"/>
      <c r="BO30" s="20"/>
      <c r="BP30" s="30"/>
      <c r="BQ30" s="17"/>
      <c r="BR30" s="19"/>
      <c r="BS30" s="72"/>
      <c r="BT30" s="24"/>
      <c r="BU30" s="16"/>
      <c r="BV30" s="59"/>
      <c r="BW30" s="126"/>
      <c r="BX30" s="20"/>
      <c r="BY30" s="30"/>
      <c r="BZ30" s="17"/>
      <c r="CA30" s="19"/>
      <c r="CB30" s="72"/>
      <c r="CC30" s="24"/>
      <c r="CD30" s="16"/>
      <c r="CE30" s="59"/>
      <c r="CF30" s="126"/>
      <c r="CG30" s="20"/>
      <c r="CH30" s="30"/>
      <c r="CI30" s="17"/>
      <c r="CJ30" s="18"/>
      <c r="CK30" s="43"/>
      <c r="CL30" s="24"/>
      <c r="CM30" s="16"/>
      <c r="CN30" s="59"/>
      <c r="CO30" s="126"/>
      <c r="CP30" s="20"/>
      <c r="CQ30" s="30"/>
      <c r="CR30" s="17"/>
      <c r="CS30" s="18"/>
      <c r="CT30" s="326"/>
      <c r="CU30" s="24"/>
      <c r="CV30" s="16"/>
      <c r="CW30" s="59"/>
      <c r="CX30" s="126"/>
      <c r="CY30" s="20"/>
      <c r="CZ30" s="202"/>
      <c r="DA30" s="17"/>
      <c r="DB30" s="19"/>
      <c r="DC30" s="43"/>
      <c r="DD30" s="24"/>
      <c r="DE30" s="16"/>
      <c r="DF30" s="59"/>
      <c r="DG30" s="126"/>
      <c r="DH30" s="20"/>
      <c r="DI30" s="19"/>
      <c r="DJ30" s="17"/>
      <c r="DK30" s="19"/>
      <c r="DL30" s="43"/>
      <c r="DM30" s="24"/>
      <c r="DN30" s="16"/>
      <c r="DO30" s="59"/>
      <c r="DP30" s="126"/>
      <c r="DQ30" s="20"/>
      <c r="DR30" s="30"/>
      <c r="DS30" s="58"/>
      <c r="DT30" s="225"/>
      <c r="DU30" s="79"/>
      <c r="DV30" s="24"/>
      <c r="DW30" s="16"/>
      <c r="DX30" s="59"/>
      <c r="DY30" s="126"/>
      <c r="DZ30" s="20"/>
      <c r="EA30" s="30"/>
      <c r="EB30" s="58"/>
      <c r="EC30" s="225"/>
      <c r="ED30" s="79"/>
      <c r="EE30" s="24"/>
      <c r="EF30" s="16"/>
      <c r="EG30" s="59"/>
      <c r="EH30" s="126"/>
      <c r="EI30" s="20"/>
      <c r="EJ30" s="19"/>
      <c r="EK30" s="17"/>
      <c r="EL30" s="18"/>
      <c r="EM30" s="43"/>
      <c r="EN30" s="24"/>
      <c r="EO30" s="16"/>
      <c r="EP30" s="59"/>
      <c r="EQ30" s="136"/>
      <c r="ER30" s="20"/>
      <c r="ES30" s="30"/>
      <c r="ET30" s="17"/>
      <c r="EU30" s="19"/>
      <c r="EV30" s="79"/>
      <c r="EW30" s="24"/>
      <c r="EX30" s="16"/>
      <c r="EY30" s="59"/>
      <c r="EZ30" s="126"/>
      <c r="FA30" s="20"/>
      <c r="FB30" s="19"/>
      <c r="FC30" s="17"/>
      <c r="FD30" s="19"/>
      <c r="FE30" s="43"/>
      <c r="FF30" s="24"/>
      <c r="FG30" s="16"/>
      <c r="FH30" s="59"/>
      <c r="FI30" s="126"/>
      <c r="FJ30" s="20"/>
      <c r="FK30" s="30"/>
      <c r="FL30" s="58"/>
      <c r="FM30" s="225"/>
      <c r="FN30" s="79"/>
      <c r="FO30" s="24"/>
      <c r="FP30" s="16"/>
      <c r="FQ30" s="59"/>
      <c r="FR30" s="126"/>
      <c r="FS30" s="20"/>
      <c r="FT30" s="30"/>
      <c r="FU30" s="58"/>
      <c r="FV30" s="225"/>
      <c r="FW30" s="79"/>
      <c r="FX30" s="24"/>
      <c r="FY30" s="16"/>
      <c r="FZ30" s="59"/>
      <c r="GA30" s="126"/>
      <c r="GB30" s="20"/>
      <c r="GC30" s="19"/>
      <c r="GD30" s="17"/>
      <c r="GE30" s="18"/>
      <c r="GF30" s="43"/>
      <c r="GG30" s="24"/>
      <c r="GH30" s="16"/>
      <c r="GI30" s="135"/>
      <c r="GJ30" s="126"/>
      <c r="GK30" s="20"/>
      <c r="GL30" s="30"/>
      <c r="GM30" s="339"/>
      <c r="GN30" s="226"/>
      <c r="GO30" s="340"/>
      <c r="GP30" s="341"/>
      <c r="GQ30" s="16"/>
      <c r="GR30" s="59"/>
      <c r="GS30" s="126"/>
      <c r="GT30" s="20"/>
      <c r="GU30" s="30"/>
      <c r="GV30" s="71"/>
      <c r="GW30" s="30"/>
      <c r="GX30" s="81"/>
      <c r="GY30" s="24"/>
      <c r="GZ30" s="16"/>
      <c r="HA30" s="59"/>
      <c r="HB30" s="126"/>
      <c r="HC30" s="20"/>
      <c r="HD30" s="30"/>
      <c r="HE30" s="71"/>
      <c r="HF30" s="30"/>
      <c r="HG30" s="81"/>
      <c r="HH30" s="24"/>
      <c r="HI30" s="16"/>
      <c r="HJ30" s="135"/>
      <c r="HK30" s="126"/>
      <c r="HL30" s="20"/>
      <c r="HM30" s="19"/>
      <c r="HN30" s="17"/>
      <c r="HO30" s="19"/>
      <c r="HP30" s="72"/>
      <c r="HQ30" s="24"/>
      <c r="HR30" s="16"/>
      <c r="HS30" s="135"/>
      <c r="HT30" s="126"/>
      <c r="HU30" s="20"/>
      <c r="HV30" s="19"/>
      <c r="HW30" s="17"/>
      <c r="HX30" s="19"/>
      <c r="HY30" s="72"/>
      <c r="HZ30" s="24"/>
      <c r="IA30" s="16"/>
      <c r="IB30" s="135"/>
      <c r="IC30" s="126"/>
      <c r="ID30" s="20"/>
      <c r="IE30" s="30"/>
      <c r="IF30" s="339"/>
      <c r="IG30" s="226"/>
      <c r="IH30" s="340"/>
      <c r="II30" s="341"/>
      <c r="IJ30" s="16"/>
      <c r="IK30" s="59"/>
      <c r="IL30" s="126"/>
      <c r="IM30" s="20"/>
      <c r="IN30" s="30"/>
      <c r="IO30" s="71"/>
      <c r="IP30" s="30"/>
      <c r="IQ30" s="81"/>
      <c r="IR30" s="24"/>
      <c r="IS30" s="16"/>
      <c r="IT30" s="59"/>
      <c r="IU30" s="126"/>
      <c r="IV30" s="20"/>
      <c r="IW30" s="19"/>
      <c r="IX30" s="17"/>
      <c r="IY30" s="30"/>
      <c r="IZ30" s="72"/>
      <c r="JA30" s="24"/>
      <c r="JB30" s="16"/>
      <c r="JC30" s="59"/>
      <c r="JD30" s="59"/>
      <c r="JE30" s="20"/>
      <c r="JF30" s="30"/>
      <c r="JG30" s="17"/>
      <c r="JH30" s="30"/>
      <c r="JI30" s="72"/>
      <c r="JJ30" s="24"/>
      <c r="JK30" s="16"/>
      <c r="JL30" s="59"/>
      <c r="JM30" s="126"/>
      <c r="JN30" s="20"/>
      <c r="JO30" s="19"/>
      <c r="JP30" s="17"/>
      <c r="JQ30" s="19"/>
      <c r="JR30" s="72"/>
      <c r="JS30" s="24"/>
      <c r="JT30" s="16"/>
      <c r="JU30" s="59"/>
      <c r="JV30" s="126"/>
      <c r="JW30" s="20"/>
      <c r="JX30" s="30"/>
      <c r="JY30" s="17"/>
      <c r="JZ30" s="30"/>
      <c r="KA30" s="72"/>
      <c r="KB30" s="24"/>
      <c r="KC30" s="16"/>
      <c r="KD30" s="59"/>
      <c r="KE30" s="139"/>
      <c r="KF30" s="20"/>
      <c r="KG30" s="202"/>
      <c r="KH30" s="71"/>
      <c r="KI30" s="30"/>
      <c r="KJ30" s="81"/>
      <c r="KK30" s="118"/>
      <c r="KL30" s="16"/>
      <c r="KM30" s="59"/>
      <c r="KN30" s="126"/>
      <c r="KO30" s="20"/>
      <c r="KP30" s="202"/>
      <c r="KQ30" s="17"/>
      <c r="KR30" s="30"/>
      <c r="KS30" s="72"/>
      <c r="KT30" s="24"/>
      <c r="KU30" s="16"/>
      <c r="KV30" s="59"/>
      <c r="KW30" s="126"/>
      <c r="KX30" s="20"/>
      <c r="KY30" s="30"/>
      <c r="KZ30" s="17"/>
      <c r="LA30" s="30"/>
      <c r="LB30" s="72"/>
      <c r="LC30" s="24"/>
      <c r="LD30" s="16"/>
      <c r="LE30" s="59"/>
      <c r="LF30" s="126"/>
      <c r="LG30" s="20"/>
      <c r="LH30" s="202"/>
      <c r="LI30" s="17"/>
      <c r="LJ30" s="30"/>
      <c r="LK30" s="72"/>
      <c r="LL30" s="24"/>
      <c r="LM30" s="16"/>
      <c r="LN30" s="59"/>
      <c r="LO30" s="59"/>
      <c r="LP30" s="20"/>
      <c r="LQ30" s="30"/>
      <c r="LR30" s="17"/>
      <c r="LS30" s="30"/>
      <c r="LT30" s="72"/>
      <c r="LU30" s="24"/>
      <c r="LV30" s="16"/>
      <c r="LW30" s="59"/>
      <c r="LX30" s="126"/>
      <c r="LY30" s="20"/>
      <c r="LZ30" s="30"/>
      <c r="MA30" s="17"/>
      <c r="MB30" s="30"/>
      <c r="MC30" s="72"/>
      <c r="MD30" s="24"/>
      <c r="ME30" s="16"/>
      <c r="MF30" s="59"/>
      <c r="MG30" s="59"/>
      <c r="MH30" s="20"/>
      <c r="MI30" s="30"/>
      <c r="MJ30" s="17"/>
      <c r="MK30" s="30"/>
      <c r="ML30" s="72"/>
      <c r="MM30" s="24"/>
      <c r="MN30" s="16"/>
      <c r="MO30" s="59"/>
      <c r="MP30" s="126"/>
      <c r="MQ30" s="20"/>
      <c r="MR30" s="30"/>
      <c r="MS30" s="71"/>
      <c r="MT30" s="30"/>
      <c r="MU30" s="81"/>
      <c r="MV30" s="24"/>
      <c r="MW30" s="16"/>
      <c r="MX30" s="59"/>
      <c r="MY30" s="126"/>
      <c r="MZ30" s="20"/>
      <c r="NA30" s="30"/>
      <c r="NB30" s="17"/>
      <c r="NC30" s="19"/>
      <c r="ND30" s="72"/>
      <c r="NE30" s="24"/>
      <c r="NF30" s="16"/>
      <c r="NG30" s="59"/>
      <c r="NH30" s="126"/>
      <c r="NI30" s="20"/>
      <c r="NJ30" s="30"/>
      <c r="NK30" s="59"/>
      <c r="NL30" s="30"/>
      <c r="NM30" s="59"/>
      <c r="NN30" s="16"/>
      <c r="NO30" s="16"/>
      <c r="NP30" s="59"/>
      <c r="NQ30" s="126"/>
      <c r="NR30" s="20"/>
      <c r="NS30" s="30"/>
      <c r="NT30" s="17"/>
      <c r="NU30" s="30"/>
      <c r="NV30" s="81"/>
      <c r="NW30" s="24"/>
      <c r="NX30" s="16"/>
      <c r="NY30" s="59"/>
      <c r="NZ30" s="126"/>
      <c r="OA30" s="20"/>
      <c r="OB30" s="30"/>
      <c r="OC30" s="59"/>
      <c r="OD30" s="30"/>
      <c r="OE30" s="59"/>
      <c r="OF30" s="16"/>
      <c r="OG30" s="16"/>
      <c r="OH30" s="59"/>
      <c r="OI30" s="126"/>
      <c r="OJ30" s="20"/>
      <c r="OK30" s="30"/>
      <c r="OL30" s="17"/>
      <c r="OM30" s="19"/>
      <c r="ON30" s="72"/>
      <c r="OO30" s="24"/>
      <c r="OP30" s="16"/>
      <c r="OQ30" s="59"/>
      <c r="OR30" s="126"/>
      <c r="OS30" s="20"/>
      <c r="OT30" s="30"/>
      <c r="OU30" s="59"/>
      <c r="OV30" s="30"/>
      <c r="OW30" s="59"/>
      <c r="OX30" s="16"/>
      <c r="OY30" s="16"/>
      <c r="OZ30" s="59"/>
      <c r="PA30" s="126"/>
      <c r="PB30" s="20"/>
      <c r="PC30" s="30"/>
      <c r="PD30" s="17"/>
      <c r="PE30" s="30"/>
      <c r="PF30" s="72"/>
      <c r="PG30" s="24"/>
      <c r="PH30" s="16"/>
      <c r="PI30" s="59"/>
      <c r="PJ30" s="126"/>
      <c r="PK30" s="20"/>
      <c r="PL30" s="30"/>
      <c r="PM30" s="17"/>
      <c r="PN30" s="30"/>
      <c r="PO30" s="81"/>
      <c r="PP30" s="24"/>
      <c r="PQ30" s="16"/>
      <c r="PR30" s="59"/>
      <c r="PS30" s="126"/>
      <c r="PT30" s="20"/>
      <c r="PU30" s="30"/>
      <c r="PV30" s="59"/>
      <c r="PW30" s="30"/>
      <c r="PX30" s="59"/>
      <c r="PY30" s="16"/>
      <c r="PZ30" s="16"/>
      <c r="QA30" s="59"/>
      <c r="QB30" s="126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GRANJERO FELIZ</v>
      </c>
      <c r="C31" s="16" t="str">
        <f t="shared" si="27"/>
        <v>Jhon Morrell</v>
      </c>
      <c r="D31" s="74" t="str">
        <f t="shared" si="27"/>
        <v>PED 5010144</v>
      </c>
      <c r="E31" s="162">
        <f t="shared" si="27"/>
        <v>42296</v>
      </c>
      <c r="F31" s="77">
        <f t="shared" si="27"/>
        <v>19314.73</v>
      </c>
      <c r="G31" s="15">
        <f t="shared" si="27"/>
        <v>22</v>
      </c>
      <c r="H31" s="65">
        <f t="shared" si="27"/>
        <v>19180.2</v>
      </c>
      <c r="I31" s="18">
        <f t="shared" ref="I31:I63" si="28">F31-H31</f>
        <v>134.52999999999884</v>
      </c>
      <c r="J31" s="16"/>
      <c r="K31" s="59"/>
      <c r="L31" s="128"/>
      <c r="M31" s="172"/>
      <c r="N31" s="141"/>
      <c r="O31" s="335"/>
      <c r="P31" s="141"/>
      <c r="Q31" s="137"/>
      <c r="R31" s="16"/>
      <c r="S31" s="16"/>
      <c r="T31" s="59"/>
      <c r="U31" s="172"/>
      <c r="V31" s="48"/>
      <c r="W31" s="137"/>
      <c r="X31" s="123"/>
      <c r="Y31" s="137"/>
      <c r="Z31" s="138"/>
      <c r="AA31" s="145"/>
      <c r="AB31" s="16"/>
      <c r="AC31" s="59"/>
      <c r="AD31" s="128"/>
      <c r="AE31" s="48"/>
      <c r="AF31" s="141"/>
      <c r="AG31" s="236"/>
      <c r="AH31" s="282"/>
      <c r="AI31" s="283"/>
      <c r="AJ31" s="341"/>
      <c r="AK31" s="16"/>
      <c r="AL31" s="59"/>
      <c r="AM31" s="128"/>
      <c r="AN31" s="48"/>
      <c r="AO31" s="142"/>
      <c r="AP31" s="123"/>
      <c r="AQ31" s="142"/>
      <c r="AR31" s="138"/>
      <c r="AS31" s="145"/>
      <c r="AT31" s="16"/>
      <c r="AU31" s="59"/>
      <c r="AV31" s="187"/>
      <c r="AW31" s="48"/>
      <c r="AX31" s="143"/>
      <c r="AY31" s="424"/>
      <c r="AZ31" s="143"/>
      <c r="BA31" s="129"/>
      <c r="BB31" s="108"/>
      <c r="BC31" s="16"/>
      <c r="BD31" s="59"/>
      <c r="BE31" s="128"/>
      <c r="BF31" s="48"/>
      <c r="BG31" s="141"/>
      <c r="BH31" s="123"/>
      <c r="BI31" s="165"/>
      <c r="BJ31" s="138"/>
      <c r="BK31" s="161"/>
      <c r="BL31" s="16"/>
      <c r="BM31" s="59"/>
      <c r="BN31" s="128"/>
      <c r="BO31" s="48"/>
      <c r="BP31" s="142"/>
      <c r="BQ31" s="123"/>
      <c r="BR31" s="165"/>
      <c r="BS31" s="138"/>
      <c r="BT31" s="145"/>
      <c r="BU31" s="16"/>
      <c r="BV31" s="59"/>
      <c r="BW31" s="128"/>
      <c r="BX31" s="48"/>
      <c r="BY31" s="142"/>
      <c r="BZ31" s="123"/>
      <c r="CA31" s="165"/>
      <c r="CB31" s="138"/>
      <c r="CC31" s="145"/>
      <c r="CD31" s="16"/>
      <c r="CE31" s="59"/>
      <c r="CF31" s="128"/>
      <c r="CG31" s="48"/>
      <c r="CH31" s="142"/>
      <c r="CI31" s="123"/>
      <c r="CJ31" s="142"/>
      <c r="CK31" s="78"/>
      <c r="CL31" s="145"/>
      <c r="CM31" s="16"/>
      <c r="CN31" s="59"/>
      <c r="CO31" s="127"/>
      <c r="CP31" s="48"/>
      <c r="CQ31" s="140"/>
      <c r="CR31" s="123"/>
      <c r="CS31" s="142"/>
      <c r="CT31" s="78"/>
      <c r="CU31" s="145"/>
      <c r="CV31" s="16"/>
      <c r="CW31" s="59"/>
      <c r="CX31" s="128"/>
      <c r="CY31" s="48"/>
      <c r="CZ31" s="203"/>
      <c r="DA31" s="123"/>
      <c r="DB31" s="165"/>
      <c r="DC31" s="78"/>
      <c r="DD31" s="145"/>
      <c r="DE31" s="16"/>
      <c r="DF31" s="59"/>
      <c r="DG31" s="128"/>
      <c r="DH31" s="48"/>
      <c r="DI31" s="143"/>
      <c r="DJ31" s="117"/>
      <c r="DK31" s="143"/>
      <c r="DL31" s="78"/>
      <c r="DM31" s="145"/>
      <c r="DN31" s="16"/>
      <c r="DO31" s="59"/>
      <c r="DP31" s="128"/>
      <c r="DQ31" s="48"/>
      <c r="DR31" s="141"/>
      <c r="DS31" s="117"/>
      <c r="DT31" s="142"/>
      <c r="DU31" s="249"/>
      <c r="DV31" s="145"/>
      <c r="DW31" s="16"/>
      <c r="DX31" s="59"/>
      <c r="DY31" s="128"/>
      <c r="DZ31" s="48"/>
      <c r="EA31" s="141"/>
      <c r="EB31" s="117"/>
      <c r="EC31" s="142"/>
      <c r="ED31" s="249"/>
      <c r="EE31" s="145"/>
      <c r="EF31" s="16"/>
      <c r="EG31" s="59"/>
      <c r="EH31" s="128"/>
      <c r="EI31" s="48"/>
      <c r="EJ31" s="143"/>
      <c r="EK31" s="117"/>
      <c r="EL31" s="142"/>
      <c r="EM31" s="78"/>
      <c r="EN31" s="145"/>
      <c r="EO31" s="16"/>
      <c r="EP31" s="59"/>
      <c r="EQ31" s="144"/>
      <c r="ER31" s="48"/>
      <c r="ES31" s="141"/>
      <c r="ET31" s="123"/>
      <c r="EU31" s="141"/>
      <c r="EV31" s="249"/>
      <c r="EW31" s="145"/>
      <c r="EX31" s="16"/>
      <c r="EY31" s="59"/>
      <c r="EZ31" s="128"/>
      <c r="FA31" s="48"/>
      <c r="FB31" s="143"/>
      <c r="FC31" s="117"/>
      <c r="FD31" s="143"/>
      <c r="FE31" s="78"/>
      <c r="FF31" s="145"/>
      <c r="FG31" s="16"/>
      <c r="FH31" s="59"/>
      <c r="FI31" s="128"/>
      <c r="FJ31" s="48"/>
      <c r="FK31" s="141"/>
      <c r="FL31" s="117"/>
      <c r="FM31" s="142"/>
      <c r="FN31" s="249"/>
      <c r="FO31" s="145"/>
      <c r="FP31" s="16"/>
      <c r="FQ31" s="59"/>
      <c r="FR31" s="128"/>
      <c r="FS31" s="48"/>
      <c r="FT31" s="141"/>
      <c r="FU31" s="117"/>
      <c r="FV31" s="142"/>
      <c r="FW31" s="249"/>
      <c r="FX31" s="145"/>
      <c r="FY31" s="16"/>
      <c r="FZ31" s="59"/>
      <c r="GA31" s="128"/>
      <c r="GB31" s="48"/>
      <c r="GC31" s="143"/>
      <c r="GD31" s="117"/>
      <c r="GE31" s="142"/>
      <c r="GF31" s="78"/>
      <c r="GG31" s="145"/>
      <c r="GH31" s="16"/>
      <c r="GI31" s="135"/>
      <c r="GJ31" s="127"/>
      <c r="GK31" s="80"/>
      <c r="GL31" s="140"/>
      <c r="GM31" s="342"/>
      <c r="GN31" s="343"/>
      <c r="GO31" s="344"/>
      <c r="GP31" s="345"/>
      <c r="GQ31" s="16"/>
      <c r="GR31" s="59"/>
      <c r="GS31" s="128"/>
      <c r="GT31" s="172"/>
      <c r="GU31" s="141"/>
      <c r="GV31" s="335"/>
      <c r="GW31" s="141"/>
      <c r="GX31" s="137"/>
      <c r="GY31" s="16"/>
      <c r="GZ31" s="130"/>
      <c r="HA31" s="59"/>
      <c r="HB31" s="128"/>
      <c r="HC31" s="172"/>
      <c r="HD31" s="141"/>
      <c r="HE31" s="335"/>
      <c r="HF31" s="141"/>
      <c r="HG31" s="137"/>
      <c r="HH31" s="16"/>
      <c r="HI31" s="16"/>
      <c r="HJ31" s="135"/>
      <c r="HK31" s="127"/>
      <c r="HL31" s="80"/>
      <c r="HM31" s="140"/>
      <c r="HN31" s="342"/>
      <c r="HO31" s="343"/>
      <c r="HP31" s="344"/>
      <c r="HQ31" s="345"/>
      <c r="HR31" s="16"/>
      <c r="HS31" s="135"/>
      <c r="HT31" s="127"/>
      <c r="HU31" s="80"/>
      <c r="HV31" s="140"/>
      <c r="HW31" s="342"/>
      <c r="HX31" s="343"/>
      <c r="HY31" s="344"/>
      <c r="HZ31" s="345"/>
      <c r="IA31" s="16"/>
      <c r="IB31" s="135"/>
      <c r="IC31" s="127"/>
      <c r="ID31" s="80"/>
      <c r="IE31" s="140"/>
      <c r="IF31" s="342"/>
      <c r="IG31" s="343"/>
      <c r="IH31" s="344"/>
      <c r="II31" s="345"/>
      <c r="IJ31" s="16"/>
      <c r="IK31" s="59"/>
      <c r="IL31" s="128"/>
      <c r="IM31" s="172"/>
      <c r="IN31" s="141"/>
      <c r="IO31" s="335"/>
      <c r="IP31" s="141"/>
      <c r="IQ31" s="137"/>
      <c r="IR31" s="16"/>
      <c r="IS31" s="130"/>
      <c r="IT31" s="59"/>
      <c r="IU31" s="128"/>
      <c r="IV31" s="172"/>
      <c r="IW31" s="141"/>
      <c r="IX31" s="123"/>
      <c r="IY31" s="141"/>
      <c r="IZ31" s="138"/>
      <c r="JA31" s="145"/>
      <c r="JB31" s="16"/>
      <c r="JC31" s="59"/>
      <c r="JD31" s="172"/>
      <c r="JE31" s="48"/>
      <c r="JF31" s="137"/>
      <c r="JG31" s="123"/>
      <c r="JH31" s="142"/>
      <c r="JI31" s="138"/>
      <c r="JJ31" s="145"/>
      <c r="JK31" s="16"/>
      <c r="JL31" s="59"/>
      <c r="JM31" s="128"/>
      <c r="JN31" s="48"/>
      <c r="JO31" s="143"/>
      <c r="JP31" s="117"/>
      <c r="JQ31" s="143"/>
      <c r="JR31" s="138"/>
      <c r="JS31" s="145"/>
      <c r="JT31" s="16"/>
      <c r="JU31" s="59"/>
      <c r="JV31" s="128"/>
      <c r="JW31" s="48"/>
      <c r="JX31" s="142"/>
      <c r="JY31" s="123"/>
      <c r="JZ31" s="141"/>
      <c r="KA31" s="138"/>
      <c r="KB31" s="161"/>
      <c r="KC31" s="16"/>
      <c r="KD31" s="59"/>
      <c r="KE31" s="146"/>
      <c r="KF31" s="48"/>
      <c r="KG31" s="263"/>
      <c r="KH31" s="123"/>
      <c r="KI31" s="137"/>
      <c r="KJ31" s="138"/>
      <c r="KK31" s="118"/>
      <c r="KL31" s="16"/>
      <c r="KM31" s="59"/>
      <c r="KN31" s="128"/>
      <c r="KO31" s="48"/>
      <c r="KP31" s="203"/>
      <c r="KQ31" s="123"/>
      <c r="KR31" s="141"/>
      <c r="KS31" s="72"/>
      <c r="KT31" s="24"/>
      <c r="KU31" s="16"/>
      <c r="KV31" s="59"/>
      <c r="KW31" s="128"/>
      <c r="KX31" s="48"/>
      <c r="KY31" s="141"/>
      <c r="KZ31" s="236"/>
      <c r="LA31" s="282"/>
      <c r="LB31" s="283"/>
      <c r="LC31" s="341"/>
      <c r="LD31" s="16"/>
      <c r="LE31" s="59"/>
      <c r="LF31" s="128"/>
      <c r="LG31" s="48"/>
      <c r="LH31" s="203"/>
      <c r="LI31" s="123"/>
      <c r="LJ31" s="141"/>
      <c r="LK31" s="72"/>
      <c r="LL31" s="24"/>
      <c r="LM31" s="16"/>
      <c r="LN31" s="59"/>
      <c r="LO31" s="172"/>
      <c r="LP31" s="48"/>
      <c r="LQ31" s="137"/>
      <c r="LR31" s="123"/>
      <c r="LS31" s="137"/>
      <c r="LT31" s="138"/>
      <c r="LU31" s="145"/>
      <c r="LV31" s="16"/>
      <c r="LW31" s="59"/>
      <c r="LX31" s="128"/>
      <c r="LY31" s="48"/>
      <c r="LZ31" s="141"/>
      <c r="MA31" s="236"/>
      <c r="MB31" s="282"/>
      <c r="MC31" s="283"/>
      <c r="MD31" s="341"/>
      <c r="ME31" s="16"/>
      <c r="MF31" s="59"/>
      <c r="MG31" s="172"/>
      <c r="MH31" s="48"/>
      <c r="MI31" s="137"/>
      <c r="MJ31" s="123"/>
      <c r="MK31" s="137"/>
      <c r="ML31" s="138"/>
      <c r="MM31" s="145"/>
      <c r="MN31" s="16"/>
      <c r="MO31" s="59"/>
      <c r="MP31" s="128"/>
      <c r="MQ31" s="48"/>
      <c r="MR31" s="141"/>
      <c r="MS31" s="123"/>
      <c r="MT31" s="141"/>
      <c r="MU31" s="138"/>
      <c r="MV31" s="24"/>
      <c r="MW31" s="16"/>
      <c r="MX31" s="59"/>
      <c r="MY31" s="128"/>
      <c r="MZ31" s="172"/>
      <c r="NA31" s="237"/>
      <c r="NB31" s="239"/>
      <c r="NC31" s="237"/>
      <c r="ND31" s="238"/>
      <c r="NE31" s="106"/>
      <c r="NF31" s="130"/>
      <c r="NG31" s="59"/>
      <c r="NH31" s="128"/>
      <c r="NI31" s="172"/>
      <c r="NJ31" s="141"/>
      <c r="NK31" s="335"/>
      <c r="NL31" s="141"/>
      <c r="NM31" s="137"/>
      <c r="NN31" s="16"/>
      <c r="NO31" s="16"/>
      <c r="NP31" s="59"/>
      <c r="NQ31" s="128"/>
      <c r="NR31" s="172"/>
      <c r="NS31" s="141"/>
      <c r="NT31" s="335"/>
      <c r="NU31" s="141"/>
      <c r="NV31" s="137"/>
      <c r="NW31" s="16"/>
      <c r="NX31" s="16"/>
      <c r="NY31" s="59"/>
      <c r="NZ31" s="128"/>
      <c r="OA31" s="172"/>
      <c r="OB31" s="141"/>
      <c r="OC31" s="335"/>
      <c r="OD31" s="141"/>
      <c r="OE31" s="137"/>
      <c r="OF31" s="16"/>
      <c r="OG31" s="16"/>
      <c r="OH31" s="59"/>
      <c r="OI31" s="128"/>
      <c r="OJ31" s="172"/>
      <c r="OK31" s="237"/>
      <c r="OL31" s="239"/>
      <c r="OM31" s="237"/>
      <c r="ON31" s="238"/>
      <c r="OO31" s="106"/>
      <c r="OP31" s="130"/>
      <c r="OQ31" s="59"/>
      <c r="OR31" s="128"/>
      <c r="OS31" s="172"/>
      <c r="OT31" s="141"/>
      <c r="OU31" s="335"/>
      <c r="OV31" s="141"/>
      <c r="OW31" s="137"/>
      <c r="OX31" s="16"/>
      <c r="OY31" s="16"/>
      <c r="OZ31" s="59"/>
      <c r="PA31" s="128"/>
      <c r="PB31" s="172"/>
      <c r="PC31" s="141"/>
      <c r="PD31" s="335"/>
      <c r="PE31" s="141"/>
      <c r="PF31" s="137"/>
      <c r="PG31" s="16"/>
      <c r="PH31" s="16"/>
      <c r="PI31" s="59"/>
      <c r="PJ31" s="128"/>
      <c r="PK31" s="48"/>
      <c r="PL31" s="141"/>
      <c r="PM31" s="123"/>
      <c r="PN31" s="141"/>
      <c r="PO31" s="137"/>
      <c r="PP31" s="24"/>
      <c r="PQ31" s="16"/>
      <c r="PR31" s="59"/>
      <c r="PS31" s="128"/>
      <c r="PT31" s="172"/>
      <c r="PU31" s="141"/>
      <c r="PV31" s="335"/>
      <c r="PW31" s="141"/>
      <c r="PX31" s="137"/>
      <c r="PY31" s="16"/>
      <c r="PZ31" s="16"/>
      <c r="QA31" s="59"/>
      <c r="QB31" s="128"/>
      <c r="QC31" s="48"/>
      <c r="QD31" s="141"/>
      <c r="QE31" s="17"/>
      <c r="QF31" s="141"/>
      <c r="QG31" s="138"/>
      <c r="QH31" s="24"/>
      <c r="QJ31" s="7"/>
      <c r="QK31" s="149"/>
      <c r="QL31" s="235"/>
      <c r="QM31" s="148"/>
      <c r="QN31" s="240"/>
      <c r="QO31" s="148"/>
      <c r="QP31" s="32"/>
      <c r="QS31" s="7"/>
      <c r="QT31" s="149"/>
      <c r="QU31" s="235"/>
      <c r="QV31" s="148"/>
      <c r="QW31" s="240"/>
      <c r="QX31" s="148"/>
      <c r="QY31" s="32"/>
      <c r="RB31" s="7"/>
      <c r="RC31" s="149"/>
      <c r="RD31" s="235"/>
      <c r="RE31" s="148"/>
      <c r="RF31" s="240"/>
      <c r="RG31" s="148"/>
      <c r="RH31" s="32"/>
      <c r="RK31" s="7"/>
      <c r="RL31" s="149"/>
      <c r="RM31" s="235"/>
      <c r="RN31" s="148"/>
      <c r="RO31" s="240"/>
      <c r="RP31" s="148"/>
      <c r="RQ31" s="32"/>
      <c r="RT31" s="7"/>
      <c r="RU31" s="149"/>
      <c r="RV31" s="235"/>
      <c r="RW31" s="148"/>
      <c r="RX31" s="240"/>
      <c r="RY31" s="148"/>
      <c r="RZ31" s="32"/>
      <c r="SC31" s="7"/>
      <c r="SD31" s="149"/>
      <c r="SE31" s="235"/>
      <c r="SF31" s="148"/>
      <c r="SG31" s="240"/>
      <c r="SH31" s="148"/>
      <c r="SI31" s="32"/>
      <c r="SL31" s="7"/>
      <c r="SM31" s="149"/>
      <c r="SN31" s="235"/>
      <c r="SO31" s="148"/>
      <c r="SP31" s="240"/>
      <c r="SQ31" s="148"/>
      <c r="SR31" s="32"/>
      <c r="SU31" s="7"/>
      <c r="SV31" s="149"/>
      <c r="SW31" s="294">
        <v>24</v>
      </c>
      <c r="SX31" s="148"/>
      <c r="SY31" s="240"/>
      <c r="SZ31" s="148"/>
      <c r="TA31" s="32"/>
      <c r="TD31" s="7"/>
      <c r="TE31" s="149"/>
      <c r="TF31" s="294">
        <v>24</v>
      </c>
      <c r="TG31" s="148"/>
      <c r="TH31" s="17"/>
      <c r="TI31" s="148"/>
      <c r="TJ31" s="32"/>
      <c r="TK31" s="24"/>
    </row>
    <row r="32" spans="1:531" s="131" customFormat="1" ht="18.75" customHeight="1" thickTop="1" thickBot="1" x14ac:dyDescent="0.3">
      <c r="A32" s="303">
        <v>29</v>
      </c>
      <c r="B32" s="358" t="str">
        <f t="shared" ref="B32:H32" si="29">JC5</f>
        <v xml:space="preserve">INDIANA PACKERS Co </v>
      </c>
      <c r="C32" s="358" t="str">
        <f t="shared" si="29"/>
        <v>INDIANA</v>
      </c>
      <c r="D32" s="196" t="str">
        <f t="shared" si="29"/>
        <v>PED. 5004098</v>
      </c>
      <c r="E32" s="293">
        <f t="shared" si="29"/>
        <v>42297</v>
      </c>
      <c r="F32" s="171">
        <f t="shared" si="29"/>
        <v>19090.13</v>
      </c>
      <c r="G32" s="124">
        <f t="shared" si="29"/>
        <v>19</v>
      </c>
      <c r="H32" s="65">
        <f t="shared" si="29"/>
        <v>19090</v>
      </c>
      <c r="I32" s="204">
        <f t="shared" si="28"/>
        <v>0.13000000000101863</v>
      </c>
      <c r="N32" s="289">
        <f>SUM(N8:N31)</f>
        <v>19157.800000000007</v>
      </c>
      <c r="P32" s="289">
        <f>SUM(P8:P31)</f>
        <v>19157.800000000007</v>
      </c>
      <c r="W32" s="289">
        <f>SUM(W8:W31)</f>
        <v>19292.899999999998</v>
      </c>
      <c r="Y32" s="289">
        <f>SUM(Y8:Y31)</f>
        <v>19292.899999999998</v>
      </c>
      <c r="AF32" s="290">
        <f>SUM(AF8:AF31)</f>
        <v>18825</v>
      </c>
      <c r="AH32" s="290">
        <f>SUM(AH8:AH31)</f>
        <v>18825</v>
      </c>
      <c r="AK32" s="133"/>
      <c r="AL32" s="133"/>
      <c r="AN32" s="546">
        <v>17521</v>
      </c>
      <c r="AO32" s="290">
        <f>SUM(AO8:AO31)</f>
        <v>18445.37</v>
      </c>
      <c r="AQ32" s="308">
        <f>SUM(AQ8:AQ31)</f>
        <v>18445.37</v>
      </c>
      <c r="AT32" s="133"/>
      <c r="AU32" s="133"/>
      <c r="AV32" s="547">
        <v>19234</v>
      </c>
      <c r="AW32" s="133"/>
      <c r="AX32" s="204">
        <f>SUM(AX8:AX31)</f>
        <v>19046.21</v>
      </c>
      <c r="AY32" s="204"/>
      <c r="AZ32" s="204">
        <f>SUM(AZ8:AZ31)</f>
        <v>19046.21</v>
      </c>
      <c r="BA32" s="133"/>
      <c r="BB32" s="133"/>
      <c r="BC32" s="133"/>
      <c r="BD32" s="133"/>
      <c r="BE32" s="133"/>
      <c r="BF32" s="133"/>
      <c r="BG32" s="204">
        <f>SUM(BG8:BG31)</f>
        <v>19286.699999999997</v>
      </c>
      <c r="BH32" s="204"/>
      <c r="BI32" s="204">
        <f>SUM(BI8:BI31)</f>
        <v>19286.699999999997</v>
      </c>
      <c r="BJ32" s="133"/>
      <c r="BK32" s="133"/>
      <c r="BL32" s="133"/>
      <c r="BM32" s="133"/>
      <c r="BN32" s="133"/>
      <c r="BO32" s="133"/>
      <c r="BP32" s="310">
        <f>SUM(BP8:BP31)</f>
        <v>18621.760000000002</v>
      </c>
      <c r="BQ32" s="133"/>
      <c r="BR32" s="204">
        <f>SUM(BR8:BR31)</f>
        <v>18621.760000000002</v>
      </c>
      <c r="BS32" s="133"/>
      <c r="BT32" s="133"/>
      <c r="BU32" s="133"/>
      <c r="BV32" s="133"/>
      <c r="BW32" s="133"/>
      <c r="BX32" s="133"/>
      <c r="BY32" s="310">
        <f>SUM(BY8:BY31)</f>
        <v>18463.939999999999</v>
      </c>
      <c r="BZ32" s="133"/>
      <c r="CA32" s="204">
        <f>SUM(CA8:CA31)</f>
        <v>18463.939999999999</v>
      </c>
      <c r="CB32" s="133"/>
      <c r="CC32" s="133"/>
      <c r="CD32" s="133"/>
      <c r="CE32" s="133"/>
      <c r="CF32" s="133"/>
      <c r="CG32" s="133"/>
      <c r="CH32" s="310">
        <f>SUM(CH8:CH31)</f>
        <v>18480.27</v>
      </c>
      <c r="CI32" s="133"/>
      <c r="CJ32" s="204">
        <f>SUM(CJ8:CJ31)</f>
        <v>18480.27</v>
      </c>
      <c r="CK32" s="133"/>
      <c r="CL32" s="133"/>
      <c r="CM32" s="133"/>
      <c r="CN32" s="133"/>
      <c r="CO32" s="133"/>
      <c r="CP32" s="133"/>
      <c r="CQ32" s="204">
        <f>SUM(CQ8:CQ31)</f>
        <v>19349.300000000003</v>
      </c>
      <c r="CR32" s="133"/>
      <c r="CS32" s="204">
        <f>SUM(CS8:CS31)</f>
        <v>19349.300000000003</v>
      </c>
      <c r="CT32" s="133"/>
      <c r="CU32" s="133"/>
      <c r="CV32" s="133"/>
      <c r="CW32" s="133"/>
      <c r="CX32" s="133"/>
      <c r="CY32" s="133"/>
      <c r="CZ32" s="204">
        <f>SUM(CZ8:CZ31)</f>
        <v>19031</v>
      </c>
      <c r="DA32" s="204"/>
      <c r="DB32" s="204">
        <f>SUM(DB8:DB31)</f>
        <v>19031</v>
      </c>
      <c r="DC32" s="133"/>
      <c r="DD32" s="133"/>
      <c r="DE32" s="133"/>
      <c r="DF32" s="133"/>
      <c r="DG32" s="133"/>
      <c r="DH32" s="133"/>
      <c r="DI32" s="204">
        <f>SUM(DI8:DI31)</f>
        <v>18383.099999999995</v>
      </c>
      <c r="DJ32" s="204"/>
      <c r="DK32" s="204">
        <f>SUM(DK8:DK31)</f>
        <v>18383.099999999995</v>
      </c>
      <c r="DL32" s="133" t="s">
        <v>37</v>
      </c>
      <c r="DM32" s="133"/>
      <c r="DN32" s="133"/>
      <c r="DO32" s="133"/>
      <c r="DP32" s="133"/>
      <c r="DQ32" s="133"/>
      <c r="DR32" s="204">
        <f>SUM(DR8:DR31)</f>
        <v>19305</v>
      </c>
      <c r="DS32" s="133"/>
      <c r="DT32" s="204">
        <f>SUM(DT8:DT31)</f>
        <v>19305</v>
      </c>
      <c r="DU32" s="133"/>
      <c r="DV32" s="133"/>
      <c r="DW32" s="133"/>
      <c r="DX32" s="133"/>
      <c r="DY32" s="133"/>
      <c r="DZ32" s="133"/>
      <c r="EA32" s="204">
        <f>SUM(EA8:EA31)</f>
        <v>18999.549999999996</v>
      </c>
      <c r="EB32" s="133"/>
      <c r="EC32" s="204">
        <f>SUM(EC8:EC31)</f>
        <v>18999.549999999996</v>
      </c>
      <c r="ED32" s="133"/>
      <c r="EE32" s="133"/>
      <c r="EF32" s="133"/>
      <c r="EG32" s="133"/>
      <c r="EH32" s="133"/>
      <c r="EI32" s="133"/>
      <c r="EJ32" s="204">
        <f>SUM(EJ8:EJ31)</f>
        <v>18771</v>
      </c>
      <c r="EK32" s="133"/>
      <c r="EL32" s="204">
        <f>SUM(EL8:EL31)</f>
        <v>18771</v>
      </c>
      <c r="EM32" s="133"/>
      <c r="EN32" s="133"/>
      <c r="EO32" s="133"/>
      <c r="EP32" s="133"/>
      <c r="EQ32" s="133"/>
      <c r="ER32" s="133"/>
      <c r="ES32" s="274">
        <f>SUM(ES8:ES31)</f>
        <v>18819.400000000001</v>
      </c>
      <c r="ET32" s="133"/>
      <c r="EU32" s="204">
        <f>SUM(EU8:EU31)</f>
        <v>18819.400000000001</v>
      </c>
      <c r="EV32" s="133"/>
      <c r="EW32" s="133"/>
      <c r="EX32" s="133"/>
      <c r="EY32" s="133"/>
      <c r="EZ32" s="133"/>
      <c r="FA32" s="133"/>
      <c r="FB32" s="204">
        <f>SUM(FB8:FB31)</f>
        <v>18323.800000000003</v>
      </c>
      <c r="FC32" s="204"/>
      <c r="FD32" s="204">
        <f>SUM(FD8:FD31)</f>
        <v>18323.800000000003</v>
      </c>
      <c r="FE32" s="133" t="s">
        <v>37</v>
      </c>
      <c r="FF32" s="133"/>
      <c r="FG32" s="133"/>
      <c r="FH32" s="133"/>
      <c r="FI32" s="133"/>
      <c r="FJ32" s="133"/>
      <c r="FK32" s="204">
        <f>SUM(FK8:FK31)</f>
        <v>19165.890000000003</v>
      </c>
      <c r="FL32" s="133"/>
      <c r="FM32" s="204">
        <f>SUM(FM8:FM31)</f>
        <v>19165.890000000003</v>
      </c>
      <c r="FN32" s="133"/>
      <c r="FO32" s="133"/>
      <c r="FP32" s="133"/>
      <c r="FQ32" s="133"/>
      <c r="FR32" s="133"/>
      <c r="FS32" s="133"/>
      <c r="FT32" s="204">
        <f>SUM(FT8:FT31)</f>
        <v>18479.37</v>
      </c>
      <c r="FU32" s="133"/>
      <c r="FV32" s="204">
        <f>SUM(FV8:FV31)</f>
        <v>18479.37</v>
      </c>
      <c r="FW32" s="133"/>
      <c r="FX32" s="133"/>
      <c r="FY32" s="133"/>
      <c r="FZ32" s="133"/>
      <c r="GA32" s="133"/>
      <c r="GB32" s="133"/>
      <c r="GC32" s="204">
        <f>SUM(GC8:GC31)</f>
        <v>18813.2</v>
      </c>
      <c r="GD32" s="133"/>
      <c r="GE32" s="204">
        <f>SUM(GE8:GE31)</f>
        <v>18813.2</v>
      </c>
      <c r="GF32" s="133"/>
      <c r="GG32" s="133"/>
      <c r="GH32" s="133"/>
      <c r="GI32" s="133"/>
      <c r="GJ32" s="133"/>
      <c r="GK32" s="133"/>
      <c r="GL32" s="204">
        <f>SUM(GL8:GL31)</f>
        <v>19420.8</v>
      </c>
      <c r="GM32" s="133"/>
      <c r="GN32" s="274">
        <f>SUM(GN8:GN31)</f>
        <v>19420.8</v>
      </c>
      <c r="GO32" s="133"/>
      <c r="GP32" s="133"/>
      <c r="GQ32" s="133"/>
      <c r="GR32" s="133"/>
      <c r="GS32" s="133"/>
      <c r="GT32" s="133"/>
      <c r="GU32" s="204">
        <f>SUM(GU8:GU31)</f>
        <v>18464.499999999996</v>
      </c>
      <c r="GV32" s="133"/>
      <c r="GW32" s="204">
        <f>SUM(GW8:GW31)</f>
        <v>18464.499999999996</v>
      </c>
      <c r="GX32" s="133"/>
      <c r="GY32" s="133"/>
      <c r="HA32" s="133"/>
      <c r="HB32" s="133"/>
      <c r="HC32" s="133"/>
      <c r="HD32" s="204">
        <f>SUM(HD8:HD31)</f>
        <v>19428.2</v>
      </c>
      <c r="HE32" s="133"/>
      <c r="HF32" s="204">
        <f>SUM(HF8:HF31)</f>
        <v>19428.2</v>
      </c>
      <c r="HG32" s="133"/>
      <c r="HH32" s="133"/>
      <c r="HM32" s="289">
        <f>SUM(HM8:HM31)</f>
        <v>19471.700000000004</v>
      </c>
      <c r="HO32" s="289">
        <f>SUM(HO8:HO31)</f>
        <v>19471.700000000004</v>
      </c>
      <c r="HV32" s="289">
        <f>SUM(HV8:HV31)</f>
        <v>17974</v>
      </c>
      <c r="HX32" s="289">
        <f>SUM(HX8:HX31)</f>
        <v>17974</v>
      </c>
      <c r="IE32" s="289">
        <f>SUM(IE8:IE31)</f>
        <v>19322.399999999998</v>
      </c>
      <c r="IG32" s="289">
        <f>SUM(IG8:IG31)</f>
        <v>18413.899999999998</v>
      </c>
      <c r="IN32" s="289">
        <f>SUM(IN8:IN31)</f>
        <v>18476.48</v>
      </c>
      <c r="IP32" s="289">
        <f>SUM(IP8:IP31)</f>
        <v>18479.66</v>
      </c>
      <c r="IW32" s="289">
        <f>SUM(IW8:IW31)</f>
        <v>19180.199999999997</v>
      </c>
      <c r="IY32" s="289">
        <f>SUM(IY8:IY31)</f>
        <v>19180.199999999997</v>
      </c>
      <c r="JF32" s="289">
        <f>SUM(JF8:JF31)</f>
        <v>19090</v>
      </c>
      <c r="JH32" s="289">
        <f>SUM(JH8:JH31)</f>
        <v>19090</v>
      </c>
      <c r="JO32" s="290">
        <f>SUM(JO8:JO31)</f>
        <v>18878</v>
      </c>
      <c r="JQ32" s="289">
        <f>SUM(JQ8:JQ31)</f>
        <v>18878</v>
      </c>
      <c r="JW32" s="311"/>
      <c r="JX32" s="290">
        <f>SUM(JX8:JX31)</f>
        <v>18024.47</v>
      </c>
      <c r="JY32" s="290"/>
      <c r="JZ32" s="290">
        <f>SUM(JZ8:JZ31)</f>
        <v>18024.47</v>
      </c>
      <c r="KG32" s="289">
        <f>SUM(KG8:KG31)</f>
        <v>18062.119999999995</v>
      </c>
      <c r="KI32" s="289">
        <f>SUM(KI8:KI31)</f>
        <v>18062.119999999995</v>
      </c>
      <c r="KP32" s="289">
        <f>SUM(KP8:KP31)</f>
        <v>18201.850000000002</v>
      </c>
      <c r="KR32" s="289">
        <f>SUM(KR8:KR31)</f>
        <v>18201.850000000002</v>
      </c>
      <c r="KY32" s="290">
        <f>SUM(KY8:KY31)</f>
        <v>19447.699999999993</v>
      </c>
      <c r="LA32" s="290">
        <f>SUM(LA8:LA31)</f>
        <v>19447.699999999993</v>
      </c>
      <c r="LH32" s="289">
        <f>SUM(LH8:LH31)</f>
        <v>19372.3</v>
      </c>
      <c r="LJ32" s="289">
        <f>SUM(LJ8:LJ31)</f>
        <v>19372.3</v>
      </c>
      <c r="LQ32" s="289">
        <f>SUM(LQ8:LQ31)</f>
        <v>18617.32</v>
      </c>
      <c r="LS32" s="289">
        <f>SUM(LS8:LS31)</f>
        <v>18624.82</v>
      </c>
      <c r="LZ32" s="290">
        <f>SUM(LZ8:LZ31)</f>
        <v>19296.899999999994</v>
      </c>
      <c r="MB32" s="290">
        <f>SUM(MB8:MB31)</f>
        <v>19296.899999999994</v>
      </c>
      <c r="MI32" s="289">
        <f>SUM(MI8:MI31)</f>
        <v>18339.66</v>
      </c>
      <c r="MK32" s="289">
        <f>SUM(MK8:MK31)</f>
        <v>18339.66</v>
      </c>
      <c r="MR32" s="289">
        <f>SUM(MR8:MR31)</f>
        <v>18518.349999999999</v>
      </c>
      <c r="MS32" s="289"/>
      <c r="MT32" s="289">
        <f t="shared" ref="MT32" si="30">SUM(MT8:MT31)</f>
        <v>18518.349999999999</v>
      </c>
      <c r="NA32" s="289">
        <f>SUM(NA8:NA31)</f>
        <v>18216.780000000006</v>
      </c>
      <c r="NC32" s="289">
        <f>SUM(NC8:NC31)</f>
        <v>18216.780000000006</v>
      </c>
      <c r="NJ32" s="289">
        <f>SUM(NJ8:NJ31)</f>
        <v>19349.500000000004</v>
      </c>
      <c r="NL32" s="289">
        <f>SUM(NL8:NL31)</f>
        <v>19349.500000000004</v>
      </c>
      <c r="NS32" s="289">
        <f>SUM(NS8:NS31)</f>
        <v>19317.600000000002</v>
      </c>
      <c r="NT32" s="289"/>
      <c r="NU32" s="289">
        <f t="shared" ref="NU32" si="31">SUM(NU8:NU31)</f>
        <v>19317.600000000002</v>
      </c>
      <c r="OB32" s="289">
        <f>SUM(OB8:OB31)</f>
        <v>18575.98</v>
      </c>
      <c r="OD32" s="289">
        <f>SUM(OD8:OD31)</f>
        <v>18575.98</v>
      </c>
      <c r="OK32" s="289">
        <f>SUM(OK8:OK31)</f>
        <v>18397.280000000002</v>
      </c>
      <c r="OM32" s="289">
        <f>SUM(OM8:OM31)</f>
        <v>0</v>
      </c>
      <c r="OT32" s="289">
        <f>SUM(OT8:OT31)</f>
        <v>18600</v>
      </c>
      <c r="OV32" s="289">
        <f>SUM(OV8:OV31)</f>
        <v>8867</v>
      </c>
      <c r="PC32" s="289">
        <f>SUM(PC8:PC31)</f>
        <v>19292.500000000004</v>
      </c>
      <c r="PE32" s="289">
        <f>SUM(PE8:PE31)</f>
        <v>19292.500000000004</v>
      </c>
      <c r="PL32" s="289">
        <f>SUM(PL8:PL31)</f>
        <v>0</v>
      </c>
      <c r="PN32" s="289">
        <f>SUM(PN8:PN31)</f>
        <v>0</v>
      </c>
      <c r="PU32" s="289">
        <f>SUM(PU8:PU31)</f>
        <v>0</v>
      </c>
      <c r="PW32" s="289">
        <f>SUM(PW8:PW31)</f>
        <v>0</v>
      </c>
      <c r="QD32" s="289">
        <f>SUM(QD8:QD31)</f>
        <v>0</v>
      </c>
      <c r="QF32" s="289">
        <f>SUM(QF8:QF31)</f>
        <v>0</v>
      </c>
      <c r="QM32" s="289">
        <f>SUM(QM8:QM31)</f>
        <v>0</v>
      </c>
      <c r="QO32" s="289">
        <f>SUM(QO8:QO31)</f>
        <v>0</v>
      </c>
      <c r="QV32" s="289">
        <f>SUM(QV8:QV31)</f>
        <v>0</v>
      </c>
      <c r="QX32" s="289">
        <f>SUM(QX8:QX31)</f>
        <v>0</v>
      </c>
      <c r="RE32" s="289">
        <f>SUM(RE8:RE31)</f>
        <v>0</v>
      </c>
      <c r="RG32" s="289">
        <f>SUM(RG8:RG31)</f>
        <v>0</v>
      </c>
      <c r="RN32" s="289">
        <f>SUM(RN8:RN31)</f>
        <v>0</v>
      </c>
      <c r="RP32" s="289">
        <f>SUM(RP8:RP31)</f>
        <v>0</v>
      </c>
      <c r="RW32" s="289">
        <f>SUM(RW8:RW31)</f>
        <v>0</v>
      </c>
      <c r="RY32" s="289">
        <f>SUM(RY8:RY31)</f>
        <v>0</v>
      </c>
      <c r="SF32" s="289">
        <f>SUM(SF8:SF31)</f>
        <v>0</v>
      </c>
      <c r="SH32" s="289">
        <f>SUM(SH8:SH31)</f>
        <v>0</v>
      </c>
      <c r="SO32" s="289">
        <f>SUM(SO8:SO31)</f>
        <v>0</v>
      </c>
      <c r="SQ32" s="289">
        <f>SUM(SQ8:SQ31)</f>
        <v>0</v>
      </c>
      <c r="SX32" s="289">
        <f>SUM(SX8:SX31)</f>
        <v>0</v>
      </c>
      <c r="SZ32" s="289">
        <f>SUM(SZ8:SZ31)</f>
        <v>0</v>
      </c>
      <c r="TG32" s="289">
        <f>SUM(TG8:TG31)</f>
        <v>0</v>
      </c>
      <c r="TI32" s="289">
        <f>SUM(TI8:TI31)</f>
        <v>0</v>
      </c>
    </row>
    <row r="33" spans="1:529" s="131" customFormat="1" ht="18.75" customHeight="1" thickTop="1" thickBot="1" x14ac:dyDescent="0.3">
      <c r="A33" s="303">
        <v>30</v>
      </c>
      <c r="B33" s="133" t="str">
        <f t="shared" ref="B33:H33" si="32">JL5</f>
        <v>ADAMAS Int MORELIA</v>
      </c>
      <c r="C33" s="133" t="str">
        <f t="shared" si="32"/>
        <v xml:space="preserve">INDIANA </v>
      </c>
      <c r="D33" s="196" t="str">
        <f t="shared" si="32"/>
        <v>PED. 5022220</v>
      </c>
      <c r="E33" s="293">
        <f t="shared" si="32"/>
        <v>42297</v>
      </c>
      <c r="F33" s="171">
        <f t="shared" si="32"/>
        <v>18860.13</v>
      </c>
      <c r="G33" s="124">
        <f t="shared" si="32"/>
        <v>19</v>
      </c>
      <c r="H33" s="65">
        <f t="shared" si="32"/>
        <v>18878</v>
      </c>
      <c r="I33" s="204">
        <f t="shared" si="28"/>
        <v>-17.869999999998981</v>
      </c>
      <c r="N33" s="747" t="s">
        <v>21</v>
      </c>
      <c r="O33" s="748"/>
      <c r="P33" s="312">
        <f>SUM(Q5-P32)</f>
        <v>-7.2759576141834259E-12</v>
      </c>
      <c r="W33" s="502" t="s">
        <v>21</v>
      </c>
      <c r="X33" s="503"/>
      <c r="Y33" s="312">
        <f>Z5-Y32</f>
        <v>0</v>
      </c>
      <c r="AF33" s="747" t="s">
        <v>21</v>
      </c>
      <c r="AG33" s="748"/>
      <c r="AH33" s="312">
        <f>AI5-AH32</f>
        <v>0</v>
      </c>
      <c r="AO33" s="747" t="s">
        <v>21</v>
      </c>
      <c r="AP33" s="748"/>
      <c r="AQ33" s="312">
        <f>AR5-AQ32</f>
        <v>0</v>
      </c>
      <c r="AV33" s="229"/>
      <c r="AX33" s="747" t="s">
        <v>21</v>
      </c>
      <c r="AY33" s="748"/>
      <c r="AZ33" s="312">
        <f>BA5-AZ32</f>
        <v>0</v>
      </c>
      <c r="BP33" s="747" t="s">
        <v>21</v>
      </c>
      <c r="BQ33" s="748"/>
      <c r="BR33" s="215">
        <f>BS5-BR32</f>
        <v>0</v>
      </c>
      <c r="BY33" s="747" t="s">
        <v>21</v>
      </c>
      <c r="BZ33" s="748"/>
      <c r="CA33" s="215">
        <f>CB5-CA32</f>
        <v>0</v>
      </c>
      <c r="CH33" s="747" t="s">
        <v>21</v>
      </c>
      <c r="CI33" s="748"/>
      <c r="CJ33" s="313">
        <f>CK5-CJ32</f>
        <v>0</v>
      </c>
      <c r="CQ33" s="747" t="s">
        <v>21</v>
      </c>
      <c r="CR33" s="748"/>
      <c r="CS33" s="312">
        <f>CT5-CS32</f>
        <v>0</v>
      </c>
      <c r="CZ33" s="747" t="s">
        <v>21</v>
      </c>
      <c r="DA33" s="748"/>
      <c r="DB33" s="312">
        <f>DC5-DB32</f>
        <v>0</v>
      </c>
      <c r="DI33" s="747" t="s">
        <v>21</v>
      </c>
      <c r="DJ33" s="748"/>
      <c r="DK33" s="312">
        <f>DL5-DK32</f>
        <v>0</v>
      </c>
      <c r="DR33" s="747" t="s">
        <v>21</v>
      </c>
      <c r="DS33" s="748"/>
      <c r="DT33" s="312">
        <f>DU5-DT32</f>
        <v>0</v>
      </c>
      <c r="EA33" s="747" t="s">
        <v>21</v>
      </c>
      <c r="EB33" s="748"/>
      <c r="EC33" s="312">
        <f>ED5-EC32</f>
        <v>0</v>
      </c>
      <c r="EJ33" s="747" t="s">
        <v>21</v>
      </c>
      <c r="EK33" s="748"/>
      <c r="EL33" s="312">
        <f>EM5-EL32</f>
        <v>0</v>
      </c>
      <c r="ES33" s="299" t="s">
        <v>21</v>
      </c>
      <c r="ET33" s="300"/>
      <c r="EU33" s="312">
        <f>EV5-EU32</f>
        <v>0</v>
      </c>
      <c r="FB33" s="747" t="s">
        <v>21</v>
      </c>
      <c r="FC33" s="748"/>
      <c r="FD33" s="312">
        <f>FE5-FD32</f>
        <v>0</v>
      </c>
      <c r="FK33" s="747" t="s">
        <v>21</v>
      </c>
      <c r="FL33" s="748"/>
      <c r="FM33" s="312">
        <f>FN5-FM32</f>
        <v>0</v>
      </c>
      <c r="FT33" s="747" t="s">
        <v>21</v>
      </c>
      <c r="FU33" s="748"/>
      <c r="FV33" s="312">
        <f>FW5-FV32</f>
        <v>0</v>
      </c>
      <c r="GC33" s="747" t="s">
        <v>21</v>
      </c>
      <c r="GD33" s="748"/>
      <c r="GE33" s="312">
        <f>GF5-GE32</f>
        <v>0</v>
      </c>
      <c r="GL33" s="299" t="s">
        <v>21</v>
      </c>
      <c r="GM33" s="300"/>
      <c r="GN33" s="312">
        <f>GO5-GN32</f>
        <v>0</v>
      </c>
      <c r="GR33" s="133"/>
      <c r="GS33" s="133"/>
      <c r="GT33" s="133"/>
      <c r="GU33" s="752" t="s">
        <v>21</v>
      </c>
      <c r="GV33" s="753"/>
      <c r="GW33" s="313">
        <f>GX5-GW32</f>
        <v>0</v>
      </c>
      <c r="GX33" s="133"/>
      <c r="GY33" s="133"/>
      <c r="HA33" s="133"/>
      <c r="HB33" s="133"/>
      <c r="HC33" s="133"/>
      <c r="HD33" s="563" t="s">
        <v>21</v>
      </c>
      <c r="HE33" s="564"/>
      <c r="HF33" s="313">
        <f>HG5-HF32</f>
        <v>0</v>
      </c>
      <c r="HG33" s="133"/>
      <c r="HH33" s="133"/>
      <c r="HM33" s="557" t="s">
        <v>21</v>
      </c>
      <c r="HN33" s="558"/>
      <c r="HO33" s="312">
        <f>HP5-HO32</f>
        <v>0</v>
      </c>
      <c r="HV33" s="557" t="s">
        <v>21</v>
      </c>
      <c r="HW33" s="558"/>
      <c r="HX33" s="312">
        <f>HY5-HX32</f>
        <v>0</v>
      </c>
      <c r="IE33" s="557" t="s">
        <v>21</v>
      </c>
      <c r="IF33" s="558"/>
      <c r="IG33" s="312">
        <f>IH5-IG32</f>
        <v>908.50000000000364</v>
      </c>
      <c r="IN33" s="557" t="s">
        <v>21</v>
      </c>
      <c r="IO33" s="558"/>
      <c r="IP33" s="312">
        <f>IQ5-IP32</f>
        <v>-3.180000000000291</v>
      </c>
      <c r="IW33" s="557" t="s">
        <v>21</v>
      </c>
      <c r="IX33" s="558"/>
      <c r="IY33" s="312">
        <f>IZ5-IY32</f>
        <v>0</v>
      </c>
      <c r="JF33" s="557" t="s">
        <v>21</v>
      </c>
      <c r="JG33" s="558"/>
      <c r="JH33" s="312">
        <f>JI5-JH32</f>
        <v>0</v>
      </c>
      <c r="JO33" s="557" t="s">
        <v>21</v>
      </c>
      <c r="JP33" s="558"/>
      <c r="JQ33" s="312">
        <f>JR5-JQ32</f>
        <v>0</v>
      </c>
      <c r="KG33" s="557" t="s">
        <v>21</v>
      </c>
      <c r="KH33" s="558"/>
      <c r="KI33" s="312">
        <f>KJ5-KI32</f>
        <v>0</v>
      </c>
      <c r="KP33" s="557" t="s">
        <v>21</v>
      </c>
      <c r="KQ33" s="558"/>
      <c r="KR33" s="312">
        <f>KS5-KR32</f>
        <v>0</v>
      </c>
      <c r="KY33" s="557" t="s">
        <v>21</v>
      </c>
      <c r="KZ33" s="558"/>
      <c r="LA33" s="312">
        <f>LB5-LA32</f>
        <v>0</v>
      </c>
      <c r="LH33" s="557" t="s">
        <v>21</v>
      </c>
      <c r="LI33" s="558"/>
      <c r="LJ33" s="312">
        <f>LK5-LJ32</f>
        <v>0</v>
      </c>
      <c r="LQ33" s="557" t="s">
        <v>21</v>
      </c>
      <c r="LR33" s="558"/>
      <c r="LS33" s="312">
        <f>LT5-LS32</f>
        <v>-7.5</v>
      </c>
      <c r="LZ33" s="557" t="s">
        <v>21</v>
      </c>
      <c r="MA33" s="558"/>
      <c r="MB33" s="312">
        <f>MC5-MB32</f>
        <v>0</v>
      </c>
      <c r="MI33" s="557" t="s">
        <v>21</v>
      </c>
      <c r="MJ33" s="558"/>
      <c r="MK33" s="312">
        <f>ML5-MK32</f>
        <v>0</v>
      </c>
      <c r="MR33" s="557" t="s">
        <v>21</v>
      </c>
      <c r="MS33" s="558"/>
      <c r="MT33" s="312">
        <f>MU5-MT32</f>
        <v>0</v>
      </c>
      <c r="NA33" s="557" t="s">
        <v>21</v>
      </c>
      <c r="NB33" s="558"/>
      <c r="NC33" s="312">
        <f>ND5-NC32</f>
        <v>0</v>
      </c>
      <c r="NJ33" s="557" t="s">
        <v>21</v>
      </c>
      <c r="NK33" s="558"/>
      <c r="NL33" s="312">
        <f>NM5-NL32</f>
        <v>0</v>
      </c>
      <c r="NS33" s="747" t="s">
        <v>21</v>
      </c>
      <c r="NT33" s="748"/>
      <c r="NU33" s="312">
        <f>NV5-NU32</f>
        <v>0</v>
      </c>
      <c r="OB33" s="747" t="s">
        <v>21</v>
      </c>
      <c r="OC33" s="748"/>
      <c r="OD33" s="312">
        <f>OE5-OD32</f>
        <v>0</v>
      </c>
      <c r="OE33" s="672"/>
      <c r="OF33" s="133"/>
      <c r="OG33" s="133"/>
      <c r="OK33" s="653" t="s">
        <v>21</v>
      </c>
      <c r="OL33" s="654"/>
      <c r="OM33" s="312">
        <f>ON5-OM32</f>
        <v>18397.28</v>
      </c>
      <c r="OT33" s="653" t="s">
        <v>21</v>
      </c>
      <c r="OU33" s="654"/>
      <c r="OV33" s="312">
        <f>OW5-OV32</f>
        <v>9733</v>
      </c>
      <c r="PC33" s="747" t="s">
        <v>21</v>
      </c>
      <c r="PD33" s="748"/>
      <c r="PE33" s="312">
        <f>SUM(PF5-PE32)</f>
        <v>-3.637978807091713E-12</v>
      </c>
      <c r="PL33" s="747" t="s">
        <v>21</v>
      </c>
      <c r="PM33" s="748"/>
      <c r="PN33" s="312">
        <f>SUM(PO5-PN32)</f>
        <v>0</v>
      </c>
      <c r="PU33" s="747" t="s">
        <v>21</v>
      </c>
      <c r="PV33" s="748"/>
      <c r="PW33" s="312">
        <f>SUM(PX5-PW32)</f>
        <v>0</v>
      </c>
      <c r="QD33" s="747" t="s">
        <v>21</v>
      </c>
      <c r="QE33" s="748"/>
      <c r="QF33" s="312">
        <f>SUM(QG5-QF32)</f>
        <v>0</v>
      </c>
      <c r="QM33" s="747" t="s">
        <v>21</v>
      </c>
      <c r="QN33" s="748"/>
      <c r="QO33" s="312">
        <f>SUM(QP5-QO32)</f>
        <v>0</v>
      </c>
      <c r="QV33" s="747" t="s">
        <v>21</v>
      </c>
      <c r="QW33" s="748"/>
      <c r="QX33" s="312">
        <f>SUM(QY5-QX32)</f>
        <v>0</v>
      </c>
      <c r="RE33" s="747" t="s">
        <v>21</v>
      </c>
      <c r="RF33" s="748"/>
      <c r="RG33" s="312">
        <f>SUM(RH5-RG32)</f>
        <v>0</v>
      </c>
      <c r="RN33" s="747" t="s">
        <v>21</v>
      </c>
      <c r="RO33" s="748"/>
      <c r="RP33" s="312">
        <f>SUM(RQ5-RP32)</f>
        <v>0</v>
      </c>
      <c r="RW33" s="747" t="s">
        <v>21</v>
      </c>
      <c r="RX33" s="748"/>
      <c r="RY33" s="312">
        <f>SUM(RZ5-RY32)</f>
        <v>0</v>
      </c>
      <c r="SF33" s="747" t="s">
        <v>21</v>
      </c>
      <c r="SG33" s="748"/>
      <c r="SH33" s="312">
        <f>SUM(SI5-SH32)</f>
        <v>0</v>
      </c>
      <c r="SO33" s="747" t="s">
        <v>21</v>
      </c>
      <c r="SP33" s="748"/>
      <c r="SQ33" s="312">
        <f>SUM(SR5-SQ32)</f>
        <v>0</v>
      </c>
      <c r="SX33" s="747" t="s">
        <v>21</v>
      </c>
      <c r="SY33" s="748"/>
      <c r="SZ33" s="312">
        <f>SUM(TA5-SZ32)</f>
        <v>0</v>
      </c>
      <c r="TG33" s="747" t="s">
        <v>21</v>
      </c>
      <c r="TH33" s="748"/>
      <c r="TI33" s="312">
        <f>TJ5-TI32</f>
        <v>0</v>
      </c>
    </row>
    <row r="34" spans="1:529" s="131" customFormat="1" ht="16.5" thickBot="1" x14ac:dyDescent="0.3">
      <c r="A34" s="303">
        <v>31</v>
      </c>
      <c r="B34" s="133" t="str">
        <f t="shared" ref="B34:H34" si="33">JU5</f>
        <v>SMITHFIELD FARMLAND</v>
      </c>
      <c r="C34" s="133" t="str">
        <f t="shared" si="33"/>
        <v>Smithfield</v>
      </c>
      <c r="D34" s="196" t="str">
        <f t="shared" si="33"/>
        <v>PED. 5004092</v>
      </c>
      <c r="E34" s="293">
        <f t="shared" si="33"/>
        <v>42297</v>
      </c>
      <c r="F34" s="171">
        <f t="shared" si="33"/>
        <v>17981.060000000001</v>
      </c>
      <c r="G34" s="124">
        <f t="shared" si="33"/>
        <v>20</v>
      </c>
      <c r="H34" s="65">
        <f t="shared" si="33"/>
        <v>18024.47</v>
      </c>
      <c r="I34" s="204">
        <f t="shared" si="28"/>
        <v>-43.409999999999854</v>
      </c>
      <c r="N34" s="749" t="s">
        <v>4</v>
      </c>
      <c r="O34" s="750"/>
      <c r="P34" s="68"/>
      <c r="W34" s="504" t="s">
        <v>4</v>
      </c>
      <c r="X34" s="505"/>
      <c r="Y34" s="68"/>
      <c r="AF34" s="749" t="s">
        <v>4</v>
      </c>
      <c r="AG34" s="750"/>
      <c r="AH34" s="68"/>
      <c r="AO34" s="749" t="s">
        <v>4</v>
      </c>
      <c r="AP34" s="750"/>
      <c r="AQ34" s="68"/>
      <c r="AV34" s="229"/>
      <c r="AX34" s="749" t="s">
        <v>4</v>
      </c>
      <c r="AY34" s="750"/>
      <c r="AZ34" s="68"/>
      <c r="BP34" s="749" t="s">
        <v>4</v>
      </c>
      <c r="BQ34" s="750"/>
      <c r="BR34" s="68"/>
      <c r="BY34" s="749" t="s">
        <v>4</v>
      </c>
      <c r="BZ34" s="750"/>
      <c r="CA34" s="68"/>
      <c r="CH34" s="749" t="s">
        <v>4</v>
      </c>
      <c r="CI34" s="750"/>
      <c r="CJ34" s="68"/>
      <c r="CQ34" s="749" t="s">
        <v>4</v>
      </c>
      <c r="CR34" s="750"/>
      <c r="CS34" s="68"/>
      <c r="CZ34" s="749" t="s">
        <v>4</v>
      </c>
      <c r="DA34" s="750"/>
      <c r="DB34" s="68"/>
      <c r="DI34" s="749" t="s">
        <v>4</v>
      </c>
      <c r="DJ34" s="750"/>
      <c r="DK34" s="68"/>
      <c r="DR34" s="749" t="s">
        <v>4</v>
      </c>
      <c r="DS34" s="750"/>
      <c r="DT34" s="68"/>
      <c r="EA34" s="749" t="s">
        <v>4</v>
      </c>
      <c r="EB34" s="750"/>
      <c r="EC34" s="68"/>
      <c r="EJ34" s="749" t="s">
        <v>4</v>
      </c>
      <c r="EK34" s="750"/>
      <c r="EL34" s="68">
        <v>0</v>
      </c>
      <c r="ES34" s="301" t="s">
        <v>4</v>
      </c>
      <c r="ET34" s="302"/>
      <c r="EU34" s="68"/>
      <c r="FB34" s="749" t="s">
        <v>4</v>
      </c>
      <c r="FC34" s="750"/>
      <c r="FD34" s="68"/>
      <c r="FK34" s="749" t="s">
        <v>4</v>
      </c>
      <c r="FL34" s="750"/>
      <c r="FM34" s="68"/>
      <c r="FT34" s="749" t="s">
        <v>4</v>
      </c>
      <c r="FU34" s="750"/>
      <c r="FV34" s="68"/>
      <c r="GC34" s="749" t="s">
        <v>4</v>
      </c>
      <c r="GD34" s="750"/>
      <c r="GE34" s="68">
        <v>0</v>
      </c>
      <c r="GL34" s="301" t="s">
        <v>4</v>
      </c>
      <c r="GM34" s="302"/>
      <c r="GN34" s="68"/>
      <c r="GR34" s="133"/>
      <c r="GS34" s="133"/>
      <c r="GT34" s="133"/>
      <c r="GU34" s="754" t="s">
        <v>4</v>
      </c>
      <c r="GV34" s="755"/>
      <c r="GW34" s="336"/>
      <c r="GX34" s="133"/>
      <c r="GY34" s="133"/>
      <c r="HA34" s="133"/>
      <c r="HB34" s="133"/>
      <c r="HC34" s="133"/>
      <c r="HD34" s="559" t="s">
        <v>4</v>
      </c>
      <c r="HE34" s="560"/>
      <c r="HF34" s="336"/>
      <c r="HG34" s="133"/>
      <c r="HH34" s="133"/>
      <c r="HM34" s="561" t="s">
        <v>4</v>
      </c>
      <c r="HN34" s="562"/>
      <c r="HO34" s="68"/>
      <c r="HV34" s="561" t="s">
        <v>4</v>
      </c>
      <c r="HW34" s="562"/>
      <c r="HX34" s="68"/>
      <c r="IE34" s="561" t="s">
        <v>4</v>
      </c>
      <c r="IF34" s="562"/>
      <c r="IG34" s="68"/>
      <c r="IN34" s="561" t="s">
        <v>4</v>
      </c>
      <c r="IO34" s="562"/>
      <c r="IP34" s="68"/>
      <c r="IW34" s="561" t="s">
        <v>4</v>
      </c>
      <c r="IX34" s="562"/>
      <c r="IY34" s="68"/>
      <c r="JF34" s="561" t="s">
        <v>4</v>
      </c>
      <c r="JG34" s="562"/>
      <c r="JH34" s="68"/>
      <c r="JO34" s="561" t="s">
        <v>4</v>
      </c>
      <c r="JP34" s="562"/>
      <c r="JQ34" s="68"/>
      <c r="JX34" s="557" t="s">
        <v>21</v>
      </c>
      <c r="JY34" s="558"/>
      <c r="JZ34" s="312">
        <f>KA5-JZ32</f>
        <v>0</v>
      </c>
      <c r="KG34" s="561" t="s">
        <v>4</v>
      </c>
      <c r="KH34" s="562"/>
      <c r="KI34" s="68"/>
      <c r="KP34" s="561" t="s">
        <v>4</v>
      </c>
      <c r="KQ34" s="562"/>
      <c r="KR34" s="68"/>
      <c r="KY34" s="561" t="s">
        <v>4</v>
      </c>
      <c r="KZ34" s="562"/>
      <c r="LA34" s="68"/>
      <c r="LH34" s="561" t="s">
        <v>4</v>
      </c>
      <c r="LI34" s="562"/>
      <c r="LJ34" s="68"/>
      <c r="LQ34" s="561" t="s">
        <v>4</v>
      </c>
      <c r="LR34" s="562"/>
      <c r="LS34" s="68"/>
      <c r="LZ34" s="561" t="s">
        <v>4</v>
      </c>
      <c r="MA34" s="562"/>
      <c r="MB34" s="68"/>
      <c r="MI34" s="561" t="s">
        <v>4</v>
      </c>
      <c r="MJ34" s="562"/>
      <c r="MK34" s="68"/>
      <c r="MR34" s="561" t="s">
        <v>4</v>
      </c>
      <c r="MS34" s="562"/>
      <c r="MT34" s="68"/>
      <c r="NA34" s="561" t="s">
        <v>4</v>
      </c>
      <c r="NB34" s="562"/>
      <c r="NC34" s="68"/>
      <c r="NJ34" s="561" t="s">
        <v>4</v>
      </c>
      <c r="NK34" s="562"/>
      <c r="NL34" s="68"/>
      <c r="NS34" s="749" t="s">
        <v>4</v>
      </c>
      <c r="NT34" s="750"/>
      <c r="NU34" s="68"/>
      <c r="OB34" s="749" t="s">
        <v>4</v>
      </c>
      <c r="OC34" s="750"/>
      <c r="OD34" s="68"/>
      <c r="OK34" s="655" t="s">
        <v>4</v>
      </c>
      <c r="OL34" s="656"/>
      <c r="OM34" s="68"/>
      <c r="OT34" s="655" t="s">
        <v>4</v>
      </c>
      <c r="OU34" s="656"/>
      <c r="OV34" s="68"/>
      <c r="PC34" s="749" t="s">
        <v>4</v>
      </c>
      <c r="PD34" s="750"/>
      <c r="PE34" s="68"/>
      <c r="PL34" s="749" t="s">
        <v>4</v>
      </c>
      <c r="PM34" s="750"/>
      <c r="PN34" s="68"/>
      <c r="PU34" s="749" t="s">
        <v>4</v>
      </c>
      <c r="PV34" s="750"/>
      <c r="PW34" s="68"/>
      <c r="QD34" s="749" t="s">
        <v>4</v>
      </c>
      <c r="QE34" s="750"/>
      <c r="QF34" s="68"/>
      <c r="QM34" s="749" t="s">
        <v>4</v>
      </c>
      <c r="QN34" s="750"/>
      <c r="QO34" s="68"/>
      <c r="QV34" s="749" t="s">
        <v>4</v>
      </c>
      <c r="QW34" s="750"/>
      <c r="QX34" s="68"/>
      <c r="RE34" s="749" t="s">
        <v>4</v>
      </c>
      <c r="RF34" s="750"/>
      <c r="RG34" s="68"/>
      <c r="RN34" s="749" t="s">
        <v>4</v>
      </c>
      <c r="RO34" s="750"/>
      <c r="RP34" s="68"/>
      <c r="RW34" s="749" t="s">
        <v>4</v>
      </c>
      <c r="RX34" s="750"/>
      <c r="RY34" s="68"/>
      <c r="SF34" s="749" t="s">
        <v>4</v>
      </c>
      <c r="SG34" s="750"/>
      <c r="SH34" s="68"/>
      <c r="SO34" s="749" t="s">
        <v>4</v>
      </c>
      <c r="SP34" s="750"/>
      <c r="SQ34" s="68"/>
      <c r="SX34" s="749" t="s">
        <v>4</v>
      </c>
      <c r="SY34" s="750"/>
      <c r="SZ34" s="68"/>
      <c r="TG34" s="749" t="s">
        <v>4</v>
      </c>
      <c r="TH34" s="750"/>
      <c r="TI34" s="68"/>
    </row>
    <row r="35" spans="1:529" s="131" customFormat="1" ht="16.5" thickBot="1" x14ac:dyDescent="0.3">
      <c r="A35" s="303">
        <v>32</v>
      </c>
      <c r="B35" s="133" t="str">
        <f t="shared" ref="B35:H35" si="34">KD5</f>
        <v>SMITHFIELD FARMLAND</v>
      </c>
      <c r="C35" s="133" t="str">
        <f t="shared" si="34"/>
        <v>Smithfield</v>
      </c>
      <c r="D35" s="196" t="str">
        <f t="shared" si="34"/>
        <v>PED. 5004091</v>
      </c>
      <c r="E35" s="293">
        <f t="shared" si="34"/>
        <v>42298</v>
      </c>
      <c r="F35" s="171">
        <f t="shared" si="34"/>
        <v>18173.330000000002</v>
      </c>
      <c r="G35" s="124">
        <f t="shared" si="34"/>
        <v>20</v>
      </c>
      <c r="H35" s="65">
        <f t="shared" si="34"/>
        <v>18062.12</v>
      </c>
      <c r="I35" s="204">
        <f t="shared" si="28"/>
        <v>111.21000000000276</v>
      </c>
      <c r="AF35" s="429" t="s">
        <v>4</v>
      </c>
      <c r="AG35" s="430"/>
      <c r="AH35" s="68"/>
      <c r="AV35" s="229"/>
      <c r="GR35" s="133"/>
      <c r="GS35" s="133"/>
      <c r="GT35" s="133"/>
      <c r="GU35" s="133"/>
      <c r="GV35" s="133"/>
      <c r="GW35" s="133"/>
      <c r="GX35" s="133"/>
      <c r="GY35" s="133"/>
      <c r="HA35" s="133"/>
      <c r="HB35" s="133"/>
      <c r="HC35" s="133"/>
      <c r="HD35" s="133"/>
      <c r="HE35" s="133"/>
      <c r="HF35" s="133"/>
      <c r="HG35" s="133"/>
      <c r="HH35" s="133"/>
      <c r="JX35" s="561" t="s">
        <v>4</v>
      </c>
      <c r="JY35" s="562"/>
      <c r="JZ35" s="68"/>
    </row>
    <row r="36" spans="1:529" s="131" customFormat="1" x14ac:dyDescent="0.25">
      <c r="A36" s="303">
        <v>33</v>
      </c>
      <c r="B36" s="133" t="str">
        <f t="shared" ref="B36:H36" si="35">KM5</f>
        <v>SMITHFIELD FARMLAND</v>
      </c>
      <c r="C36" s="133" t="str">
        <f t="shared" si="35"/>
        <v>Smithfield</v>
      </c>
      <c r="D36" s="196" t="str">
        <f t="shared" si="35"/>
        <v>PED. 5004113</v>
      </c>
      <c r="E36" s="293">
        <f t="shared" si="35"/>
        <v>42298</v>
      </c>
      <c r="F36" s="171">
        <f t="shared" si="35"/>
        <v>18177.86</v>
      </c>
      <c r="G36" s="124">
        <f t="shared" si="35"/>
        <v>20</v>
      </c>
      <c r="H36" s="65">
        <f t="shared" si="35"/>
        <v>18201.849999999999</v>
      </c>
      <c r="I36" s="204">
        <f t="shared" si="28"/>
        <v>-23.989999999997963</v>
      </c>
      <c r="AV36" s="229"/>
      <c r="KK36" s="133"/>
      <c r="LC36" s="133"/>
    </row>
    <row r="37" spans="1:529" s="131" customFormat="1" ht="16.5" thickBot="1" x14ac:dyDescent="0.3">
      <c r="A37" s="303">
        <v>34</v>
      </c>
      <c r="B37" s="133" t="str">
        <f t="shared" ref="B37:H37" si="36">KV5</f>
        <v xml:space="preserve">SEABOARD FOODS </v>
      </c>
      <c r="C37" s="133" t="str">
        <f t="shared" si="36"/>
        <v>Seaboard</v>
      </c>
      <c r="D37" s="196" t="str">
        <f t="shared" si="36"/>
        <v>PED. 5004116</v>
      </c>
      <c r="E37" s="293">
        <f t="shared" si="36"/>
        <v>42299</v>
      </c>
      <c r="F37" s="171">
        <f t="shared" si="36"/>
        <v>19386.05</v>
      </c>
      <c r="G37" s="124">
        <f t="shared" si="36"/>
        <v>21</v>
      </c>
      <c r="H37" s="65">
        <f t="shared" si="36"/>
        <v>19447.7</v>
      </c>
      <c r="I37" s="204">
        <f t="shared" si="28"/>
        <v>-61.650000000001455</v>
      </c>
      <c r="AV37" s="229"/>
    </row>
    <row r="38" spans="1:529" s="131" customFormat="1" x14ac:dyDescent="0.25">
      <c r="A38" s="303">
        <v>35</v>
      </c>
      <c r="B38" s="133" t="str">
        <f t="shared" ref="B38:H38" si="37">LE5</f>
        <v>SEABOARD FOODS</v>
      </c>
      <c r="C38" s="133" t="str">
        <f t="shared" si="37"/>
        <v>Seaboard</v>
      </c>
      <c r="D38" s="314" t="str">
        <f t="shared" si="37"/>
        <v>PED. 5004125</v>
      </c>
      <c r="E38" s="293">
        <f t="shared" si="37"/>
        <v>42300</v>
      </c>
      <c r="F38" s="274">
        <f t="shared" si="37"/>
        <v>19269.27</v>
      </c>
      <c r="G38" s="124">
        <f t="shared" si="37"/>
        <v>21</v>
      </c>
      <c r="H38" s="274">
        <f t="shared" si="37"/>
        <v>19372.3</v>
      </c>
      <c r="I38" s="204">
        <f t="shared" si="28"/>
        <v>-103.02999999999884</v>
      </c>
      <c r="AV38" s="229"/>
      <c r="BG38" s="747" t="s">
        <v>21</v>
      </c>
      <c r="BH38" s="748"/>
      <c r="BI38" s="312">
        <f>BJ5-BI32</f>
        <v>0</v>
      </c>
    </row>
    <row r="39" spans="1:529" s="131" customFormat="1" ht="16.5" thickBot="1" x14ac:dyDescent="0.3">
      <c r="A39" s="303">
        <v>36</v>
      </c>
      <c r="B39" s="131" t="str">
        <f t="shared" ref="B39:H39" si="38">LN5</f>
        <v>SMITHFIELD FARMLAND</v>
      </c>
      <c r="C39" s="131" t="str">
        <f t="shared" si="38"/>
        <v>Farmland</v>
      </c>
      <c r="D39" s="315" t="str">
        <f t="shared" si="38"/>
        <v>PED. 5004131</v>
      </c>
      <c r="E39" s="316">
        <f t="shared" si="38"/>
        <v>42301</v>
      </c>
      <c r="F39" s="289">
        <f t="shared" si="38"/>
        <v>18635.14</v>
      </c>
      <c r="G39" s="317">
        <f t="shared" si="38"/>
        <v>20</v>
      </c>
      <c r="H39" s="318">
        <f t="shared" si="38"/>
        <v>18617.32</v>
      </c>
      <c r="I39" s="204">
        <f t="shared" si="28"/>
        <v>17.819999999999709</v>
      </c>
      <c r="AV39" s="229"/>
      <c r="BG39" s="749" t="s">
        <v>4</v>
      </c>
      <c r="BH39" s="750"/>
      <c r="BI39" s="68"/>
    </row>
    <row r="40" spans="1:529" x14ac:dyDescent="0.25">
      <c r="A40" s="25">
        <v>37</v>
      </c>
      <c r="B40" t="str">
        <f t="shared" ref="B40:H40" si="39">LW5</f>
        <v>SEABOARD FOODS</v>
      </c>
      <c r="C40" t="str">
        <f t="shared" si="39"/>
        <v>Seaboard</v>
      </c>
      <c r="D40" s="192" t="str">
        <f t="shared" si="39"/>
        <v>PED. 5004127</v>
      </c>
      <c r="E40" s="244">
        <f t="shared" si="39"/>
        <v>42301</v>
      </c>
      <c r="F40" s="6">
        <f t="shared" si="39"/>
        <v>19238.919999999998</v>
      </c>
      <c r="G40" s="66">
        <f t="shared" si="39"/>
        <v>21</v>
      </c>
      <c r="H40" s="170">
        <f t="shared" si="39"/>
        <v>19296.900000000001</v>
      </c>
      <c r="I40" s="18">
        <f t="shared" si="28"/>
        <v>-57.980000000003201</v>
      </c>
    </row>
    <row r="41" spans="1:529" x14ac:dyDescent="0.25">
      <c r="A41" s="25">
        <v>38</v>
      </c>
      <c r="B41" t="str">
        <f t="shared" ref="B41:H41" si="40">MF5</f>
        <v>SMITHFIELD FARMLAND</v>
      </c>
      <c r="C41" t="str">
        <f t="shared" si="40"/>
        <v>Smithfield</v>
      </c>
      <c r="D41" s="23" t="str">
        <f t="shared" si="40"/>
        <v>PED. 5004134</v>
      </c>
      <c r="E41" s="244">
        <f t="shared" si="40"/>
        <v>42304</v>
      </c>
      <c r="F41" s="6">
        <f t="shared" si="40"/>
        <v>18331.97</v>
      </c>
      <c r="G41" s="66">
        <f t="shared" si="40"/>
        <v>20</v>
      </c>
      <c r="H41" s="170">
        <f t="shared" si="40"/>
        <v>18339.66</v>
      </c>
      <c r="I41" s="18">
        <f t="shared" si="28"/>
        <v>-7.6899999999986903</v>
      </c>
    </row>
    <row r="42" spans="1:529" x14ac:dyDescent="0.25">
      <c r="A42" s="25">
        <v>39</v>
      </c>
      <c r="B42" t="str">
        <f t="shared" ref="B42:H42" si="41">MO5</f>
        <v>SMITHFIELD FARMLADN</v>
      </c>
      <c r="C42" t="str">
        <f t="shared" si="41"/>
        <v>Smithfield</v>
      </c>
      <c r="D42" s="23" t="str">
        <f t="shared" si="41"/>
        <v>PED. 5004135</v>
      </c>
      <c r="E42" s="244">
        <f t="shared" si="41"/>
        <v>42304</v>
      </c>
      <c r="F42" s="6">
        <f t="shared" si="41"/>
        <v>18501.97</v>
      </c>
      <c r="G42" s="66">
        <f t="shared" si="41"/>
        <v>20</v>
      </c>
      <c r="H42" s="170">
        <f t="shared" si="41"/>
        <v>18518.349999999999</v>
      </c>
      <c r="I42" s="18">
        <f t="shared" si="28"/>
        <v>-16.379999999997381</v>
      </c>
    </row>
    <row r="43" spans="1:529" x14ac:dyDescent="0.25">
      <c r="A43" s="25">
        <v>40</v>
      </c>
      <c r="B43" t="str">
        <f t="shared" ref="B43:H43" si="42">MX5</f>
        <v>SMITHFIELD FARMLAND</v>
      </c>
      <c r="C43" t="str">
        <f t="shared" si="42"/>
        <v xml:space="preserve">Smithfield </v>
      </c>
      <c r="D43" s="23" t="str">
        <f t="shared" si="42"/>
        <v>PED. 5004397</v>
      </c>
      <c r="E43" s="244">
        <f t="shared" si="42"/>
        <v>42305</v>
      </c>
      <c r="F43" s="6">
        <f t="shared" si="42"/>
        <v>18197.41</v>
      </c>
      <c r="G43" s="66">
        <f t="shared" si="42"/>
        <v>20</v>
      </c>
      <c r="H43" s="170">
        <f t="shared" si="42"/>
        <v>18216.78</v>
      </c>
      <c r="I43" s="18">
        <f t="shared" si="28"/>
        <v>-19.369999999998981</v>
      </c>
    </row>
    <row r="44" spans="1:529" x14ac:dyDescent="0.25">
      <c r="A44" s="25">
        <v>41</v>
      </c>
      <c r="B44" t="str">
        <f t="shared" ref="B44:H44" si="43">NG5</f>
        <v>SEABOARD FOODS</v>
      </c>
      <c r="C44" t="str">
        <f t="shared" si="43"/>
        <v>Seaboard</v>
      </c>
      <c r="D44" s="23" t="str">
        <f t="shared" si="43"/>
        <v>PED. 5004410</v>
      </c>
      <c r="E44" s="244">
        <f t="shared" si="43"/>
        <v>42306</v>
      </c>
      <c r="F44" s="6">
        <f t="shared" si="43"/>
        <v>19259.310000000001</v>
      </c>
      <c r="G44" s="66">
        <f t="shared" si="43"/>
        <v>21</v>
      </c>
      <c r="H44" s="170">
        <f t="shared" si="43"/>
        <v>19349.5</v>
      </c>
      <c r="I44" s="18">
        <f t="shared" si="28"/>
        <v>-90.18999999999869</v>
      </c>
    </row>
    <row r="45" spans="1:529" x14ac:dyDescent="0.25">
      <c r="A45" s="25">
        <v>42</v>
      </c>
      <c r="B45" t="str">
        <f t="shared" ref="B45:H45" si="44">NP5</f>
        <v>SEABOARD FOODS</v>
      </c>
      <c r="C45" t="str">
        <f t="shared" si="44"/>
        <v>Seabaord</v>
      </c>
      <c r="D45" s="23" t="str">
        <f t="shared" si="44"/>
        <v>PED. 5004414</v>
      </c>
      <c r="E45" s="244">
        <f t="shared" si="44"/>
        <v>42307</v>
      </c>
      <c r="F45" s="6">
        <f t="shared" si="44"/>
        <v>19288.36</v>
      </c>
      <c r="G45" s="66">
        <f t="shared" si="44"/>
        <v>21</v>
      </c>
      <c r="H45" s="170">
        <f t="shared" si="44"/>
        <v>19317.599999999999</v>
      </c>
      <c r="I45" s="18">
        <f t="shared" si="28"/>
        <v>-29.239999999997963</v>
      </c>
    </row>
    <row r="46" spans="1:529" x14ac:dyDescent="0.25">
      <c r="A46" s="25">
        <v>43</v>
      </c>
      <c r="B46" t="str">
        <f t="shared" ref="B46:H46" si="45">NY5</f>
        <v>SMITHFIELD FARMLAND</v>
      </c>
      <c r="C46" t="str">
        <f t="shared" si="45"/>
        <v>Smithfield</v>
      </c>
      <c r="D46" s="23" t="str">
        <f t="shared" si="45"/>
        <v>PED. 5004417</v>
      </c>
      <c r="E46" s="244">
        <f t="shared" si="45"/>
        <v>42307</v>
      </c>
      <c r="F46" s="6">
        <f t="shared" si="45"/>
        <v>18478.84</v>
      </c>
      <c r="G46" s="66">
        <f t="shared" si="45"/>
        <v>20</v>
      </c>
      <c r="H46" s="170">
        <f t="shared" si="45"/>
        <v>18575.98</v>
      </c>
      <c r="I46" s="18">
        <f t="shared" si="28"/>
        <v>-97.139999999999418</v>
      </c>
    </row>
    <row r="47" spans="1:529" x14ac:dyDescent="0.25">
      <c r="A47" s="25">
        <v>44</v>
      </c>
      <c r="B47" t="str">
        <f t="shared" ref="B47:H47" si="46">OH5</f>
        <v>SMITFIELD FARMLAND</v>
      </c>
      <c r="C47" t="str">
        <f t="shared" si="46"/>
        <v>Farmland</v>
      </c>
      <c r="D47" s="23" t="str">
        <f t="shared" si="46"/>
        <v>PED. 5004418</v>
      </c>
      <c r="E47" s="244">
        <f t="shared" si="46"/>
        <v>42308</v>
      </c>
      <c r="F47" s="6">
        <f t="shared" si="46"/>
        <v>18298.32</v>
      </c>
      <c r="G47" s="66">
        <f t="shared" si="46"/>
        <v>20</v>
      </c>
      <c r="H47" s="170">
        <f t="shared" si="46"/>
        <v>18397.28</v>
      </c>
      <c r="I47" s="18">
        <f t="shared" si="28"/>
        <v>-98.959999999999127</v>
      </c>
    </row>
    <row r="48" spans="1:529" x14ac:dyDescent="0.25">
      <c r="A48" s="25">
        <v>45</v>
      </c>
      <c r="B48" s="295" t="str">
        <f t="shared" ref="B48:H48" si="47">OQ5</f>
        <v>INDIANA PACKERS Co</v>
      </c>
      <c r="C48" s="295" t="str">
        <f t="shared" si="47"/>
        <v>INDIANA</v>
      </c>
      <c r="D48" s="23" t="str">
        <f t="shared" si="47"/>
        <v>PED. 5004421</v>
      </c>
      <c r="E48" s="244">
        <f t="shared" si="47"/>
        <v>42308</v>
      </c>
      <c r="F48" s="6">
        <f t="shared" si="47"/>
        <v>18480.13</v>
      </c>
      <c r="G48" s="66">
        <f t="shared" si="47"/>
        <v>19</v>
      </c>
      <c r="H48" s="170">
        <f t="shared" si="47"/>
        <v>18600</v>
      </c>
      <c r="I48" s="18">
        <f t="shared" si="28"/>
        <v>-119.86999999999898</v>
      </c>
    </row>
    <row r="49" spans="1:9" x14ac:dyDescent="0.25">
      <c r="A49" s="25">
        <v>46</v>
      </c>
      <c r="B49" s="295" t="str">
        <f t="shared" ref="B49:H49" si="48">OZ5</f>
        <v>SEABOARD FOODS</v>
      </c>
      <c r="C49" s="295" t="str">
        <f t="shared" si="48"/>
        <v>Seaboard</v>
      </c>
      <c r="D49" s="23" t="str">
        <f t="shared" si="48"/>
        <v>PED. 5004422</v>
      </c>
      <c r="E49" s="244">
        <f t="shared" si="48"/>
        <v>42308</v>
      </c>
      <c r="F49" s="6">
        <f t="shared" si="48"/>
        <v>19173.099999999999</v>
      </c>
      <c r="G49" s="66">
        <f t="shared" si="48"/>
        <v>21</v>
      </c>
      <c r="H49" s="170">
        <f t="shared" si="48"/>
        <v>19292.5</v>
      </c>
      <c r="I49" s="18">
        <f t="shared" si="28"/>
        <v>-119.40000000000146</v>
      </c>
    </row>
    <row r="50" spans="1:9" x14ac:dyDescent="0.25">
      <c r="A50" s="25">
        <v>47</v>
      </c>
      <c r="B50" s="295">
        <f>PI5</f>
        <v>0</v>
      </c>
      <c r="C50" s="295">
        <f>PJ5</f>
        <v>0</v>
      </c>
      <c r="D50" s="23">
        <f>PK5</f>
        <v>0</v>
      </c>
      <c r="E50" s="244">
        <f>PU5</f>
        <v>0</v>
      </c>
      <c r="F50" s="6">
        <f>PM5</f>
        <v>0</v>
      </c>
      <c r="G50" s="66">
        <f>PN5</f>
        <v>0</v>
      </c>
      <c r="H50" s="170">
        <f>PO5</f>
        <v>0</v>
      </c>
      <c r="I50" s="18">
        <f t="shared" si="28"/>
        <v>0</v>
      </c>
    </row>
    <row r="51" spans="1:9" x14ac:dyDescent="0.25">
      <c r="A51" s="25">
        <v>48</v>
      </c>
      <c r="B51" s="295">
        <f t="shared" ref="B51:H51" si="49">PR5</f>
        <v>0</v>
      </c>
      <c r="C51" s="295">
        <f t="shared" si="49"/>
        <v>0</v>
      </c>
      <c r="D51" s="23">
        <f t="shared" si="49"/>
        <v>0</v>
      </c>
      <c r="E51" s="244">
        <f t="shared" si="49"/>
        <v>0</v>
      </c>
      <c r="F51" s="6">
        <f t="shared" si="49"/>
        <v>0</v>
      </c>
      <c r="G51" s="66">
        <f t="shared" si="49"/>
        <v>0</v>
      </c>
      <c r="H51" s="170">
        <f t="shared" si="49"/>
        <v>0</v>
      </c>
      <c r="I51" s="18">
        <f t="shared" si="28"/>
        <v>0</v>
      </c>
    </row>
    <row r="52" spans="1:9" x14ac:dyDescent="0.25">
      <c r="A52" s="25">
        <v>49</v>
      </c>
      <c r="B52" s="295">
        <f t="shared" ref="B52:H52" si="50">QA5</f>
        <v>0</v>
      </c>
      <c r="C52" s="295">
        <f t="shared" si="50"/>
        <v>0</v>
      </c>
      <c r="D52" s="23">
        <f t="shared" si="50"/>
        <v>0</v>
      </c>
      <c r="E52" s="244">
        <f t="shared" si="50"/>
        <v>0</v>
      </c>
      <c r="F52" s="6">
        <f t="shared" si="50"/>
        <v>0</v>
      </c>
      <c r="G52" s="66">
        <f t="shared" si="50"/>
        <v>0</v>
      </c>
      <c r="H52" s="170">
        <f t="shared" si="50"/>
        <v>0</v>
      </c>
      <c r="I52" s="18">
        <f t="shared" si="28"/>
        <v>0</v>
      </c>
    </row>
    <row r="53" spans="1:9" x14ac:dyDescent="0.25">
      <c r="A53" s="25">
        <v>50</v>
      </c>
      <c r="B53" s="295">
        <f t="shared" ref="B53:H53" si="51">QJ5</f>
        <v>0</v>
      </c>
      <c r="C53" s="295">
        <f t="shared" si="51"/>
        <v>0</v>
      </c>
      <c r="D53" s="23">
        <f t="shared" si="51"/>
        <v>0</v>
      </c>
      <c r="E53" s="244">
        <f t="shared" si="51"/>
        <v>0</v>
      </c>
      <c r="F53" s="6">
        <f t="shared" si="51"/>
        <v>0</v>
      </c>
      <c r="G53" s="66">
        <f t="shared" si="51"/>
        <v>0</v>
      </c>
      <c r="H53" s="170">
        <f t="shared" si="51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2">QS5</f>
        <v>0</v>
      </c>
      <c r="C54">
        <f t="shared" si="52"/>
        <v>0</v>
      </c>
      <c r="D54" s="23">
        <f t="shared" si="52"/>
        <v>0</v>
      </c>
      <c r="E54" s="244">
        <f t="shared" si="52"/>
        <v>0</v>
      </c>
      <c r="F54" s="6">
        <f t="shared" si="52"/>
        <v>0</v>
      </c>
      <c r="G54" s="66">
        <f t="shared" si="52"/>
        <v>0</v>
      </c>
      <c r="H54" s="170">
        <f t="shared" si="52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3">RB5</f>
        <v>0</v>
      </c>
      <c r="C55">
        <f t="shared" si="53"/>
        <v>0</v>
      </c>
      <c r="D55" s="23">
        <f t="shared" si="53"/>
        <v>0</v>
      </c>
      <c r="E55" s="244">
        <f t="shared" si="53"/>
        <v>0</v>
      </c>
      <c r="F55" s="6">
        <f t="shared" si="53"/>
        <v>0</v>
      </c>
      <c r="G55" s="66">
        <f t="shared" si="53"/>
        <v>0</v>
      </c>
      <c r="H55" s="170">
        <f t="shared" si="53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44">
        <f>RE5</f>
        <v>0</v>
      </c>
      <c r="F56" s="6">
        <f>RO5</f>
        <v>0</v>
      </c>
      <c r="G56" s="66">
        <f>RP5</f>
        <v>0</v>
      </c>
      <c r="H56" s="170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4">RT5</f>
        <v>0</v>
      </c>
      <c r="C57">
        <f t="shared" si="54"/>
        <v>0</v>
      </c>
      <c r="D57" s="23">
        <f t="shared" si="54"/>
        <v>0</v>
      </c>
      <c r="E57" s="244">
        <f t="shared" si="54"/>
        <v>0</v>
      </c>
      <c r="F57" s="6">
        <f t="shared" si="54"/>
        <v>0</v>
      </c>
      <c r="G57" s="296">
        <f t="shared" si="54"/>
        <v>0</v>
      </c>
      <c r="H57" s="170">
        <f t="shared" si="54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5">SC5</f>
        <v>0</v>
      </c>
      <c r="C58">
        <f t="shared" si="55"/>
        <v>0</v>
      </c>
      <c r="D58" s="23">
        <f t="shared" si="55"/>
        <v>0</v>
      </c>
      <c r="E58" s="244">
        <f t="shared" si="55"/>
        <v>0</v>
      </c>
      <c r="F58" s="6">
        <f t="shared" si="55"/>
        <v>0</v>
      </c>
      <c r="G58" s="66">
        <f t="shared" si="55"/>
        <v>0</v>
      </c>
      <c r="H58" s="170">
        <f t="shared" si="55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6">SL5</f>
        <v>0</v>
      </c>
      <c r="C59">
        <f t="shared" si="56"/>
        <v>0</v>
      </c>
      <c r="D59" s="23">
        <f t="shared" si="56"/>
        <v>0</v>
      </c>
      <c r="E59" s="244">
        <f t="shared" si="56"/>
        <v>0</v>
      </c>
      <c r="F59" s="6">
        <f t="shared" si="56"/>
        <v>0</v>
      </c>
      <c r="G59" s="66">
        <f t="shared" si="56"/>
        <v>0</v>
      </c>
      <c r="H59" s="170">
        <f t="shared" si="56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7">SU5</f>
        <v>0</v>
      </c>
      <c r="C60">
        <f t="shared" si="57"/>
        <v>0</v>
      </c>
      <c r="D60" s="23">
        <f t="shared" si="57"/>
        <v>0</v>
      </c>
      <c r="E60" s="244">
        <f t="shared" si="57"/>
        <v>0</v>
      </c>
      <c r="F60" s="6">
        <f t="shared" si="57"/>
        <v>0</v>
      </c>
      <c r="G60" s="66">
        <f t="shared" si="57"/>
        <v>0</v>
      </c>
      <c r="H60" s="170">
        <f t="shared" si="57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8">TD5</f>
        <v>0</v>
      </c>
      <c r="C61">
        <f t="shared" si="58"/>
        <v>0</v>
      </c>
      <c r="D61" s="23">
        <f t="shared" si="58"/>
        <v>0</v>
      </c>
      <c r="E61" s="244">
        <f t="shared" si="58"/>
        <v>0</v>
      </c>
      <c r="F61" s="6">
        <f t="shared" si="58"/>
        <v>0</v>
      </c>
      <c r="G61" s="66">
        <f t="shared" si="58"/>
        <v>0</v>
      </c>
      <c r="H61" s="170">
        <f t="shared" si="58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26">
    <mergeCell ref="KM1:KS1"/>
    <mergeCell ref="LE1:LK1"/>
    <mergeCell ref="AF33:AG33"/>
    <mergeCell ref="AF34:AG34"/>
    <mergeCell ref="EA33:EB33"/>
    <mergeCell ref="EA34:EB34"/>
    <mergeCell ref="EJ34:EK34"/>
    <mergeCell ref="FB33:FC33"/>
    <mergeCell ref="FK33:FL33"/>
    <mergeCell ref="FT33:FU33"/>
    <mergeCell ref="GC33:GD33"/>
    <mergeCell ref="AO34:AP34"/>
    <mergeCell ref="AO33:AP33"/>
    <mergeCell ref="AX33:AY33"/>
    <mergeCell ref="CZ34:DA34"/>
    <mergeCell ref="DI34:DJ34"/>
    <mergeCell ref="CQ33:CR33"/>
    <mergeCell ref="DI33:DJ33"/>
    <mergeCell ref="CQ34:CR34"/>
    <mergeCell ref="EJ33:EK33"/>
    <mergeCell ref="FK34:FL34"/>
    <mergeCell ref="FT34:FU34"/>
    <mergeCell ref="GC34:GD34"/>
    <mergeCell ref="CZ33:DA33"/>
    <mergeCell ref="DR33:DS33"/>
    <mergeCell ref="DR34:DS34"/>
    <mergeCell ref="GU33:GV33"/>
    <mergeCell ref="AX34:AY34"/>
    <mergeCell ref="FB34:FC34"/>
    <mergeCell ref="OZ1:PF1"/>
    <mergeCell ref="PC33:PD33"/>
    <mergeCell ref="PC34:PD34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GU34:GV34"/>
    <mergeCell ref="LW1:MC1"/>
    <mergeCell ref="OQ1:OW1"/>
    <mergeCell ref="MO1:MU1"/>
    <mergeCell ref="MF1:ML1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QJ1:QP1"/>
    <mergeCell ref="QM33:QN33"/>
    <mergeCell ref="QM34:QN34"/>
    <mergeCell ref="PI1:PO1"/>
    <mergeCell ref="PR1:PX1"/>
    <mergeCell ref="PU33:PV33"/>
    <mergeCell ref="PU34:PV34"/>
    <mergeCell ref="PL33:PM33"/>
    <mergeCell ref="PL34:PM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N33:O33"/>
    <mergeCell ref="N34:O34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NP1:NV1"/>
    <mergeCell ref="NS33:NT33"/>
    <mergeCell ref="NS34:NT34"/>
    <mergeCell ref="NY1:OE1"/>
    <mergeCell ref="OB33:OC33"/>
    <mergeCell ref="OB34:OC34"/>
    <mergeCell ref="OH1:ON1"/>
    <mergeCell ref="QA1:QG1"/>
    <mergeCell ref="QD33:QE33"/>
    <mergeCell ref="QD34:QE34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82"/>
  <sheetViews>
    <sheetView workbookViewId="0">
      <selection activeCell="I23" sqref="I23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56" t="s">
        <v>427</v>
      </c>
      <c r="B1" s="756"/>
      <c r="C1" s="756"/>
      <c r="D1" s="756"/>
      <c r="E1" s="756"/>
      <c r="F1" s="756"/>
      <c r="G1" s="756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48"/>
      <c r="B4" s="248"/>
      <c r="C4" s="205"/>
      <c r="D4" s="248"/>
      <c r="E4" s="248"/>
      <c r="F4" s="248"/>
      <c r="G4" s="371"/>
      <c r="H4" s="371"/>
    </row>
    <row r="5" spans="1:8" ht="15.75" x14ac:dyDescent="0.25">
      <c r="A5" s="16"/>
      <c r="B5" s="124" t="s">
        <v>358</v>
      </c>
      <c r="C5" s="627">
        <v>15.5</v>
      </c>
      <c r="D5" s="363">
        <v>42261</v>
      </c>
      <c r="E5" s="153">
        <v>1041.23</v>
      </c>
      <c r="F5" s="104">
        <v>50</v>
      </c>
      <c r="G5" s="16"/>
    </row>
    <row r="6" spans="1:8" ht="15.75" x14ac:dyDescent="0.25">
      <c r="A6" s="16" t="s">
        <v>356</v>
      </c>
      <c r="B6" s="124" t="s">
        <v>360</v>
      </c>
      <c r="C6" s="627">
        <v>15.5</v>
      </c>
      <c r="D6" s="363">
        <v>42262</v>
      </c>
      <c r="E6" s="153">
        <v>1064.08</v>
      </c>
      <c r="F6" s="104">
        <v>50</v>
      </c>
      <c r="G6" s="64">
        <f>F77</f>
        <v>2007.1699999999998</v>
      </c>
      <c r="H6" s="10">
        <f>E6-G6+E7+E5</f>
        <v>98.1400000000001</v>
      </c>
    </row>
    <row r="7" spans="1:8" ht="15.75" thickBot="1" x14ac:dyDescent="0.3">
      <c r="A7" s="16"/>
      <c r="B7" s="124"/>
      <c r="C7" s="337"/>
      <c r="D7" s="363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11</v>
      </c>
      <c r="D9" s="254">
        <v>240.07</v>
      </c>
      <c r="E9" s="257">
        <v>42248</v>
      </c>
      <c r="F9" s="254">
        <f t="shared" ref="F9:F74" si="0">D9</f>
        <v>240.07</v>
      </c>
      <c r="G9" s="255" t="s">
        <v>363</v>
      </c>
      <c r="H9" s="256">
        <v>17</v>
      </c>
    </row>
    <row r="10" spans="1:8" x14ac:dyDescent="0.25">
      <c r="A10" s="286"/>
      <c r="B10" s="2"/>
      <c r="C10" s="20">
        <v>35</v>
      </c>
      <c r="D10" s="254">
        <v>731.98</v>
      </c>
      <c r="E10" s="257">
        <v>42254</v>
      </c>
      <c r="F10" s="254">
        <f t="shared" si="0"/>
        <v>731.98</v>
      </c>
      <c r="G10" s="255" t="s">
        <v>376</v>
      </c>
      <c r="H10" s="256">
        <v>17</v>
      </c>
    </row>
    <row r="11" spans="1:8" x14ac:dyDescent="0.25">
      <c r="A11" s="287"/>
      <c r="B11" s="2"/>
      <c r="C11" s="20">
        <v>50</v>
      </c>
      <c r="D11" s="254">
        <v>1035.1199999999999</v>
      </c>
      <c r="E11" s="257">
        <v>42254</v>
      </c>
      <c r="F11" s="254">
        <f t="shared" si="0"/>
        <v>1035.1199999999999</v>
      </c>
      <c r="G11" s="255" t="s">
        <v>379</v>
      </c>
      <c r="H11" s="256">
        <v>17</v>
      </c>
    </row>
    <row r="12" spans="1:8" x14ac:dyDescent="0.25">
      <c r="A12" s="147" t="s">
        <v>34</v>
      </c>
      <c r="B12" s="2"/>
      <c r="C12" s="20"/>
      <c r="D12" s="254"/>
      <c r="E12" s="257"/>
      <c r="F12" s="254">
        <f t="shared" si="0"/>
        <v>0</v>
      </c>
      <c r="G12" s="255"/>
      <c r="H12" s="256"/>
    </row>
    <row r="13" spans="1:8" x14ac:dyDescent="0.25">
      <c r="A13" s="288"/>
      <c r="B13" s="2"/>
      <c r="C13" s="20"/>
      <c r="D13" s="254"/>
      <c r="E13" s="257"/>
      <c r="F13" s="254">
        <f t="shared" si="0"/>
        <v>0</v>
      </c>
      <c r="G13" s="255"/>
      <c r="H13" s="256"/>
    </row>
    <row r="14" spans="1:8" x14ac:dyDescent="0.25">
      <c r="A14" s="181"/>
      <c r="B14" s="2"/>
      <c r="C14" s="20"/>
      <c r="D14" s="254"/>
      <c r="E14" s="257"/>
      <c r="F14" s="254">
        <f t="shared" si="0"/>
        <v>0</v>
      </c>
      <c r="G14" s="255"/>
      <c r="H14" s="256"/>
    </row>
    <row r="15" spans="1:8" x14ac:dyDescent="0.25">
      <c r="A15" s="59"/>
      <c r="B15" s="2"/>
      <c r="C15" s="20"/>
      <c r="D15" s="254"/>
      <c r="E15" s="257"/>
      <c r="F15" s="254">
        <f t="shared" si="0"/>
        <v>0</v>
      </c>
      <c r="G15" s="255"/>
      <c r="H15" s="256"/>
    </row>
    <row r="16" spans="1:8" x14ac:dyDescent="0.25">
      <c r="B16" s="2"/>
      <c r="C16" s="20"/>
      <c r="D16" s="254"/>
      <c r="E16" s="257"/>
      <c r="F16" s="254">
        <f t="shared" si="0"/>
        <v>0</v>
      </c>
      <c r="G16" s="255"/>
      <c r="H16" s="256"/>
    </row>
    <row r="17" spans="1:8" x14ac:dyDescent="0.25">
      <c r="A17" s="250"/>
      <c r="B17" s="7"/>
      <c r="C17" s="20"/>
      <c r="D17" s="254"/>
      <c r="E17" s="257"/>
      <c r="F17" s="254">
        <f t="shared" si="0"/>
        <v>0</v>
      </c>
      <c r="G17" s="255"/>
      <c r="H17" s="256"/>
    </row>
    <row r="18" spans="1:8" x14ac:dyDescent="0.25">
      <c r="A18" s="250"/>
      <c r="B18" s="7"/>
      <c r="C18" s="20"/>
      <c r="D18" s="254"/>
      <c r="E18" s="257"/>
      <c r="F18" s="254">
        <f t="shared" si="0"/>
        <v>0</v>
      </c>
      <c r="G18" s="255"/>
      <c r="H18" s="256"/>
    </row>
    <row r="19" spans="1:8" x14ac:dyDescent="0.25">
      <c r="A19" s="250"/>
      <c r="B19" s="7"/>
      <c r="C19" s="20"/>
      <c r="D19" s="254"/>
      <c r="E19" s="257"/>
      <c r="F19" s="254">
        <f t="shared" si="0"/>
        <v>0</v>
      </c>
      <c r="G19" s="255"/>
      <c r="H19" s="256"/>
    </row>
    <row r="20" spans="1:8" x14ac:dyDescent="0.25">
      <c r="A20" s="250"/>
      <c r="B20" s="7"/>
      <c r="C20" s="20"/>
      <c r="D20" s="254"/>
      <c r="E20" s="257"/>
      <c r="F20" s="254">
        <f t="shared" si="0"/>
        <v>0</v>
      </c>
      <c r="G20" s="255"/>
      <c r="H20" s="256"/>
    </row>
    <row r="21" spans="1:8" x14ac:dyDescent="0.25">
      <c r="A21" s="250"/>
      <c r="B21" s="7"/>
      <c r="C21" s="20"/>
      <c r="D21" s="254"/>
      <c r="E21" s="257"/>
      <c r="F21" s="254">
        <f t="shared" si="0"/>
        <v>0</v>
      </c>
      <c r="G21" s="255"/>
      <c r="H21" s="256"/>
    </row>
    <row r="22" spans="1:8" x14ac:dyDescent="0.25">
      <c r="A22" s="251"/>
      <c r="B22" s="7"/>
      <c r="C22" s="20"/>
      <c r="D22" s="254"/>
      <c r="E22" s="257"/>
      <c r="F22" s="254">
        <f t="shared" si="0"/>
        <v>0</v>
      </c>
      <c r="G22" s="255"/>
      <c r="H22" s="256"/>
    </row>
    <row r="23" spans="1:8" x14ac:dyDescent="0.25">
      <c r="A23" s="250"/>
      <c r="B23" s="7"/>
      <c r="C23" s="20"/>
      <c r="D23" s="254"/>
      <c r="E23" s="257"/>
      <c r="F23" s="254">
        <f t="shared" si="0"/>
        <v>0</v>
      </c>
      <c r="G23" s="255"/>
      <c r="H23" s="256"/>
    </row>
    <row r="24" spans="1:8" x14ac:dyDescent="0.25">
      <c r="A24" s="250"/>
      <c r="B24" s="7"/>
      <c r="C24" s="20"/>
      <c r="D24" s="254"/>
      <c r="E24" s="257"/>
      <c r="F24" s="254">
        <f t="shared" si="0"/>
        <v>0</v>
      </c>
      <c r="G24" s="255"/>
      <c r="H24" s="256"/>
    </row>
    <row r="25" spans="1:8" x14ac:dyDescent="0.25">
      <c r="A25" s="250"/>
      <c r="B25" s="7"/>
      <c r="C25" s="20"/>
      <c r="D25" s="254"/>
      <c r="E25" s="257"/>
      <c r="F25" s="254">
        <f t="shared" si="0"/>
        <v>0</v>
      </c>
      <c r="G25" s="255"/>
      <c r="H25" s="256"/>
    </row>
    <row r="26" spans="1:8" x14ac:dyDescent="0.25">
      <c r="A26" s="250"/>
      <c r="B26" s="7"/>
      <c r="C26" s="20"/>
      <c r="D26" s="254"/>
      <c r="E26" s="257"/>
      <c r="F26" s="254">
        <f t="shared" si="0"/>
        <v>0</v>
      </c>
      <c r="G26" s="255"/>
      <c r="H26" s="256"/>
    </row>
    <row r="27" spans="1:8" x14ac:dyDescent="0.25">
      <c r="A27" s="250"/>
      <c r="B27" s="7"/>
      <c r="C27" s="20"/>
      <c r="D27" s="254"/>
      <c r="E27" s="257"/>
      <c r="F27" s="254">
        <f t="shared" si="0"/>
        <v>0</v>
      </c>
      <c r="G27" s="255"/>
      <c r="H27" s="256"/>
    </row>
    <row r="28" spans="1:8" x14ac:dyDescent="0.25">
      <c r="A28" s="250"/>
      <c r="B28" s="7"/>
      <c r="C28" s="20"/>
      <c r="D28" s="254"/>
      <c r="E28" s="257"/>
      <c r="F28" s="254">
        <f t="shared" si="0"/>
        <v>0</v>
      </c>
      <c r="G28" s="255"/>
      <c r="H28" s="256"/>
    </row>
    <row r="29" spans="1:8" x14ac:dyDescent="0.25">
      <c r="A29" s="250"/>
      <c r="B29" s="7"/>
      <c r="C29" s="20"/>
      <c r="D29" s="254"/>
      <c r="E29" s="257"/>
      <c r="F29" s="254">
        <f t="shared" si="0"/>
        <v>0</v>
      </c>
      <c r="G29" s="255"/>
      <c r="H29" s="256"/>
    </row>
    <row r="30" spans="1:8" x14ac:dyDescent="0.25">
      <c r="A30" s="250"/>
      <c r="B30" s="7"/>
      <c r="C30" s="20"/>
      <c r="D30" s="254"/>
      <c r="E30" s="257"/>
      <c r="F30" s="254">
        <f t="shared" si="0"/>
        <v>0</v>
      </c>
      <c r="G30" s="255"/>
      <c r="H30" s="256"/>
    </row>
    <row r="31" spans="1:8" x14ac:dyDescent="0.25">
      <c r="A31" s="250"/>
      <c r="B31" s="7"/>
      <c r="C31" s="20"/>
      <c r="D31" s="254"/>
      <c r="E31" s="257"/>
      <c r="F31" s="254">
        <f t="shared" si="0"/>
        <v>0</v>
      </c>
      <c r="G31" s="255"/>
      <c r="H31" s="256"/>
    </row>
    <row r="32" spans="1:8" x14ac:dyDescent="0.25">
      <c r="A32" s="250"/>
      <c r="B32" s="7"/>
      <c r="C32" s="20"/>
      <c r="D32" s="254"/>
      <c r="E32" s="257"/>
      <c r="F32" s="254">
        <f t="shared" si="0"/>
        <v>0</v>
      </c>
      <c r="G32" s="255"/>
      <c r="H32" s="256"/>
    </row>
    <row r="33" spans="1:8" x14ac:dyDescent="0.25">
      <c r="A33" s="250"/>
      <c r="B33" s="7"/>
      <c r="C33" s="20"/>
      <c r="D33" s="254"/>
      <c r="E33" s="257"/>
      <c r="F33" s="254">
        <f t="shared" si="0"/>
        <v>0</v>
      </c>
      <c r="G33" s="255"/>
      <c r="H33" s="256"/>
    </row>
    <row r="34" spans="1:8" x14ac:dyDescent="0.25">
      <c r="A34" s="250"/>
      <c r="B34" s="7"/>
      <c r="C34" s="20"/>
      <c r="D34" s="254"/>
      <c r="E34" s="257"/>
      <c r="F34" s="254">
        <f t="shared" si="0"/>
        <v>0</v>
      </c>
      <c r="G34" s="255"/>
      <c r="H34" s="256"/>
    </row>
    <row r="35" spans="1:8" x14ac:dyDescent="0.25">
      <c r="A35" s="250" t="s">
        <v>22</v>
      </c>
      <c r="B35" s="7"/>
      <c r="C35" s="20"/>
      <c r="D35" s="254"/>
      <c r="E35" s="257"/>
      <c r="F35" s="254">
        <f t="shared" si="0"/>
        <v>0</v>
      </c>
      <c r="G35" s="255"/>
      <c r="H35" s="256"/>
    </row>
    <row r="36" spans="1:8" x14ac:dyDescent="0.25">
      <c r="A36" s="251"/>
      <c r="B36" s="7"/>
      <c r="C36" s="20"/>
      <c r="D36" s="254"/>
      <c r="E36" s="257"/>
      <c r="F36" s="254">
        <f t="shared" si="0"/>
        <v>0</v>
      </c>
      <c r="G36" s="255"/>
      <c r="H36" s="256"/>
    </row>
    <row r="37" spans="1:8" x14ac:dyDescent="0.25">
      <c r="A37" s="250"/>
      <c r="B37" s="7"/>
      <c r="C37" s="20"/>
      <c r="D37" s="254"/>
      <c r="E37" s="257"/>
      <c r="F37" s="254">
        <f t="shared" si="0"/>
        <v>0</v>
      </c>
      <c r="G37" s="255"/>
      <c r="H37" s="256"/>
    </row>
    <row r="38" spans="1:8" x14ac:dyDescent="0.25">
      <c r="A38" s="250"/>
      <c r="B38" s="7"/>
      <c r="C38" s="20"/>
      <c r="D38" s="254"/>
      <c r="E38" s="257"/>
      <c r="F38" s="254">
        <f t="shared" si="0"/>
        <v>0</v>
      </c>
      <c r="G38" s="255"/>
      <c r="H38" s="256"/>
    </row>
    <row r="39" spans="1:8" x14ac:dyDescent="0.25">
      <c r="A39" s="250"/>
      <c r="B39" s="7"/>
      <c r="C39" s="20"/>
      <c r="D39" s="100"/>
      <c r="E39" s="185"/>
      <c r="F39" s="100">
        <f t="shared" si="0"/>
        <v>0</v>
      </c>
      <c r="G39" s="111"/>
      <c r="H39" s="101"/>
    </row>
    <row r="40" spans="1:8" x14ac:dyDescent="0.25">
      <c r="A40" s="250"/>
      <c r="B40" s="7"/>
      <c r="C40" s="20"/>
      <c r="D40" s="100"/>
      <c r="E40" s="185"/>
      <c r="F40" s="100">
        <f t="shared" si="0"/>
        <v>0</v>
      </c>
      <c r="G40" s="111"/>
      <c r="H40" s="101"/>
    </row>
    <row r="41" spans="1:8" x14ac:dyDescent="0.25">
      <c r="A41" s="250"/>
      <c r="B41" s="7"/>
      <c r="C41" s="20"/>
      <c r="D41" s="100"/>
      <c r="E41" s="185"/>
      <c r="F41" s="100">
        <f t="shared" si="0"/>
        <v>0</v>
      </c>
      <c r="G41" s="111"/>
      <c r="H41" s="101"/>
    </row>
    <row r="42" spans="1:8" x14ac:dyDescent="0.25">
      <c r="A42" s="250"/>
      <c r="B42" s="7"/>
      <c r="C42" s="20"/>
      <c r="D42" s="100"/>
      <c r="E42" s="185"/>
      <c r="F42" s="100">
        <f t="shared" si="0"/>
        <v>0</v>
      </c>
      <c r="G42" s="111"/>
      <c r="H42" s="101"/>
    </row>
    <row r="43" spans="1:8" x14ac:dyDescent="0.25">
      <c r="A43" s="250"/>
      <c r="B43" s="7"/>
      <c r="C43" s="20"/>
      <c r="D43" s="100"/>
      <c r="E43" s="185"/>
      <c r="F43" s="100">
        <f t="shared" si="0"/>
        <v>0</v>
      </c>
      <c r="G43" s="111"/>
      <c r="H43" s="101"/>
    </row>
    <row r="44" spans="1:8" x14ac:dyDescent="0.25">
      <c r="A44" s="250"/>
      <c r="B44" s="7"/>
      <c r="C44" s="20"/>
      <c r="D44" s="100"/>
      <c r="E44" s="185"/>
      <c r="F44" s="100">
        <f t="shared" si="0"/>
        <v>0</v>
      </c>
      <c r="G44" s="111"/>
      <c r="H44" s="101"/>
    </row>
    <row r="45" spans="1:8" x14ac:dyDescent="0.25">
      <c r="A45" s="250"/>
      <c r="B45" s="7"/>
      <c r="C45" s="20"/>
      <c r="D45" s="100"/>
      <c r="E45" s="185"/>
      <c r="F45" s="100">
        <f t="shared" si="0"/>
        <v>0</v>
      </c>
      <c r="G45" s="111"/>
      <c r="H45" s="101"/>
    </row>
    <row r="46" spans="1:8" x14ac:dyDescent="0.25">
      <c r="A46" s="250"/>
      <c r="B46" s="7"/>
      <c r="C46" s="20"/>
      <c r="D46" s="100"/>
      <c r="E46" s="185"/>
      <c r="F46" s="100">
        <f t="shared" si="0"/>
        <v>0</v>
      </c>
      <c r="G46" s="111"/>
      <c r="H46" s="101"/>
    </row>
    <row r="47" spans="1:8" x14ac:dyDescent="0.25">
      <c r="A47" s="250"/>
      <c r="B47" s="7"/>
      <c r="C47" s="20"/>
      <c r="D47" s="100"/>
      <c r="E47" s="185"/>
      <c r="F47" s="100">
        <f t="shared" si="0"/>
        <v>0</v>
      </c>
      <c r="G47" s="111"/>
      <c r="H47" s="101"/>
    </row>
    <row r="48" spans="1:8" x14ac:dyDescent="0.25">
      <c r="A48" s="250"/>
      <c r="B48" s="7"/>
      <c r="C48" s="20"/>
      <c r="D48" s="100"/>
      <c r="E48" s="185"/>
      <c r="F48" s="100">
        <f t="shared" si="0"/>
        <v>0</v>
      </c>
      <c r="G48" s="111"/>
      <c r="H48" s="101"/>
    </row>
    <row r="49" spans="1:8" x14ac:dyDescent="0.25">
      <c r="A49" s="250"/>
      <c r="B49" s="7"/>
      <c r="C49" s="20"/>
      <c r="D49" s="100"/>
      <c r="E49" s="185"/>
      <c r="F49" s="100">
        <f t="shared" si="0"/>
        <v>0</v>
      </c>
      <c r="G49" s="111"/>
      <c r="H49" s="101"/>
    </row>
    <row r="50" spans="1:8" x14ac:dyDescent="0.25">
      <c r="A50" s="250"/>
      <c r="B50" s="7"/>
      <c r="C50" s="20"/>
      <c r="D50" s="100"/>
      <c r="E50" s="185"/>
      <c r="F50" s="100">
        <f t="shared" si="0"/>
        <v>0</v>
      </c>
      <c r="G50" s="111"/>
      <c r="H50" s="101"/>
    </row>
    <row r="51" spans="1:8" x14ac:dyDescent="0.25">
      <c r="A51" s="250"/>
      <c r="B51" s="7"/>
      <c r="C51" s="20"/>
      <c r="D51" s="100"/>
      <c r="E51" s="185"/>
      <c r="F51" s="100">
        <f t="shared" si="0"/>
        <v>0</v>
      </c>
      <c r="G51" s="111"/>
      <c r="H51" s="101"/>
    </row>
    <row r="52" spans="1:8" x14ac:dyDescent="0.25">
      <c r="A52" s="250"/>
      <c r="B52" s="7"/>
      <c r="C52" s="20"/>
      <c r="D52" s="100"/>
      <c r="E52" s="185"/>
      <c r="F52" s="100">
        <f t="shared" si="0"/>
        <v>0</v>
      </c>
      <c r="G52" s="111"/>
      <c r="H52" s="101"/>
    </row>
    <row r="53" spans="1:8" x14ac:dyDescent="0.25">
      <c r="A53" s="250"/>
      <c r="B53" s="7"/>
      <c r="C53" s="20"/>
      <c r="D53" s="100"/>
      <c r="E53" s="185"/>
      <c r="F53" s="100">
        <f t="shared" si="0"/>
        <v>0</v>
      </c>
      <c r="G53" s="111"/>
      <c r="H53" s="101"/>
    </row>
    <row r="54" spans="1:8" x14ac:dyDescent="0.25">
      <c r="A54" s="250"/>
      <c r="B54" s="7"/>
      <c r="C54" s="20"/>
      <c r="D54" s="100"/>
      <c r="E54" s="185"/>
      <c r="F54" s="100">
        <f t="shared" si="0"/>
        <v>0</v>
      </c>
      <c r="G54" s="111"/>
      <c r="H54" s="101"/>
    </row>
    <row r="55" spans="1:8" x14ac:dyDescent="0.25">
      <c r="A55" s="250"/>
      <c r="B55" s="7"/>
      <c r="C55" s="20"/>
      <c r="D55" s="100"/>
      <c r="E55" s="185"/>
      <c r="F55" s="100">
        <f t="shared" si="0"/>
        <v>0</v>
      </c>
      <c r="G55" s="111"/>
      <c r="H55" s="101"/>
    </row>
    <row r="56" spans="1:8" x14ac:dyDescent="0.25">
      <c r="A56" s="250"/>
      <c r="B56" s="7"/>
      <c r="C56" s="20"/>
      <c r="D56" s="100"/>
      <c r="E56" s="185"/>
      <c r="F56" s="100">
        <f t="shared" si="0"/>
        <v>0</v>
      </c>
      <c r="G56" s="111"/>
      <c r="H56" s="101"/>
    </row>
    <row r="57" spans="1:8" x14ac:dyDescent="0.25">
      <c r="A57" s="250"/>
      <c r="B57" s="7"/>
      <c r="C57" s="20"/>
      <c r="D57" s="100"/>
      <c r="E57" s="185"/>
      <c r="F57" s="100">
        <f t="shared" si="0"/>
        <v>0</v>
      </c>
      <c r="G57" s="111"/>
      <c r="H57" s="101"/>
    </row>
    <row r="58" spans="1:8" x14ac:dyDescent="0.25">
      <c r="A58" s="250"/>
      <c r="B58" s="7"/>
      <c r="C58" s="20"/>
      <c r="D58" s="100"/>
      <c r="E58" s="185"/>
      <c r="F58" s="100">
        <f t="shared" si="0"/>
        <v>0</v>
      </c>
      <c r="G58" s="111"/>
      <c r="H58" s="101"/>
    </row>
    <row r="59" spans="1:8" x14ac:dyDescent="0.25">
      <c r="A59" s="250"/>
      <c r="B59" s="7"/>
      <c r="C59" s="20"/>
      <c r="D59" s="100"/>
      <c r="E59" s="185"/>
      <c r="F59" s="100">
        <f t="shared" si="0"/>
        <v>0</v>
      </c>
      <c r="G59" s="111"/>
      <c r="H59" s="101"/>
    </row>
    <row r="60" spans="1:8" x14ac:dyDescent="0.25">
      <c r="A60" s="250"/>
      <c r="B60" s="7"/>
      <c r="C60" s="20"/>
      <c r="D60" s="100"/>
      <c r="E60" s="185"/>
      <c r="F60" s="100">
        <f t="shared" si="0"/>
        <v>0</v>
      </c>
      <c r="G60" s="111"/>
      <c r="H60" s="101"/>
    </row>
    <row r="61" spans="1:8" x14ac:dyDescent="0.25">
      <c r="A61" s="250"/>
      <c r="B61" s="7"/>
      <c r="C61" s="20"/>
      <c r="D61" s="100"/>
      <c r="E61" s="185"/>
      <c r="F61" s="100">
        <f t="shared" si="0"/>
        <v>0</v>
      </c>
      <c r="G61" s="111"/>
      <c r="H61" s="101"/>
    </row>
    <row r="62" spans="1:8" x14ac:dyDescent="0.25">
      <c r="A62" s="250"/>
      <c r="B62" s="7"/>
      <c r="C62" s="20"/>
      <c r="D62" s="100"/>
      <c r="E62" s="185"/>
      <c r="F62" s="100">
        <f t="shared" si="0"/>
        <v>0</v>
      </c>
      <c r="G62" s="111"/>
      <c r="H62" s="101"/>
    </row>
    <row r="63" spans="1:8" x14ac:dyDescent="0.25">
      <c r="A63" s="250"/>
      <c r="B63" s="7"/>
      <c r="C63" s="20"/>
      <c r="D63" s="100"/>
      <c r="E63" s="185"/>
      <c r="F63" s="100">
        <f t="shared" si="0"/>
        <v>0</v>
      </c>
      <c r="G63" s="111"/>
      <c r="H63" s="101"/>
    </row>
    <row r="64" spans="1:8" x14ac:dyDescent="0.25">
      <c r="A64" s="250"/>
      <c r="B64" s="7"/>
      <c r="C64" s="20"/>
      <c r="D64" s="100"/>
      <c r="E64" s="185"/>
      <c r="F64" s="100">
        <f t="shared" si="0"/>
        <v>0</v>
      </c>
      <c r="G64" s="111"/>
      <c r="H64" s="101"/>
    </row>
    <row r="65" spans="1:8" x14ac:dyDescent="0.25">
      <c r="A65" s="250"/>
      <c r="B65" s="7"/>
      <c r="C65" s="20"/>
      <c r="D65" s="100"/>
      <c r="E65" s="185"/>
      <c r="F65" s="100">
        <f t="shared" si="0"/>
        <v>0</v>
      </c>
      <c r="G65" s="111"/>
      <c r="H65" s="101"/>
    </row>
    <row r="66" spans="1:8" x14ac:dyDescent="0.25">
      <c r="A66" s="250"/>
      <c r="B66" s="7"/>
      <c r="C66" s="20"/>
      <c r="D66" s="100"/>
      <c r="E66" s="185"/>
      <c r="F66" s="100">
        <f t="shared" si="0"/>
        <v>0</v>
      </c>
      <c r="G66" s="111"/>
      <c r="H66" s="101"/>
    </row>
    <row r="67" spans="1:8" x14ac:dyDescent="0.25">
      <c r="A67" s="250"/>
      <c r="B67" s="7"/>
      <c r="C67" s="20"/>
      <c r="D67" s="100"/>
      <c r="E67" s="185"/>
      <c r="F67" s="100">
        <f t="shared" si="0"/>
        <v>0</v>
      </c>
      <c r="G67" s="111"/>
      <c r="H67" s="101"/>
    </row>
    <row r="68" spans="1:8" x14ac:dyDescent="0.25">
      <c r="A68" s="250"/>
      <c r="B68" s="7"/>
      <c r="C68" s="20"/>
      <c r="D68" s="100"/>
      <c r="E68" s="185"/>
      <c r="F68" s="100">
        <f t="shared" si="0"/>
        <v>0</v>
      </c>
      <c r="G68" s="111"/>
      <c r="H68" s="101"/>
    </row>
    <row r="69" spans="1:8" x14ac:dyDescent="0.25">
      <c r="A69" s="250"/>
      <c r="B69" s="7"/>
      <c r="C69" s="20"/>
      <c r="D69" s="100"/>
      <c r="E69" s="185"/>
      <c r="F69" s="100">
        <f t="shared" si="0"/>
        <v>0</v>
      </c>
      <c r="G69" s="111"/>
      <c r="H69" s="101"/>
    </row>
    <row r="70" spans="1:8" x14ac:dyDescent="0.25">
      <c r="A70" s="250"/>
      <c r="B70" s="7"/>
      <c r="C70" s="20"/>
      <c r="D70" s="100"/>
      <c r="E70" s="185"/>
      <c r="F70" s="100">
        <f t="shared" si="0"/>
        <v>0</v>
      </c>
      <c r="G70" s="111"/>
      <c r="H70" s="101"/>
    </row>
    <row r="71" spans="1:8" x14ac:dyDescent="0.25">
      <c r="A71" s="250"/>
      <c r="B71" s="7"/>
      <c r="C71" s="20"/>
      <c r="D71" s="100"/>
      <c r="E71" s="185"/>
      <c r="F71" s="100">
        <f t="shared" si="0"/>
        <v>0</v>
      </c>
      <c r="G71" s="111"/>
      <c r="H71" s="101"/>
    </row>
    <row r="72" spans="1:8" x14ac:dyDescent="0.25">
      <c r="A72" s="250"/>
      <c r="B72" s="7"/>
      <c r="C72" s="20"/>
      <c r="D72" s="100"/>
      <c r="E72" s="185"/>
      <c r="F72" s="100">
        <f t="shared" si="0"/>
        <v>0</v>
      </c>
      <c r="G72" s="111"/>
      <c r="H72" s="101"/>
    </row>
    <row r="73" spans="1:8" x14ac:dyDescent="0.25">
      <c r="A73" s="250"/>
      <c r="B73" s="7"/>
      <c r="C73" s="20"/>
      <c r="D73" s="100"/>
      <c r="E73" s="185"/>
      <c r="F73" s="100">
        <f t="shared" si="0"/>
        <v>0</v>
      </c>
      <c r="G73" s="111"/>
      <c r="H73" s="101"/>
    </row>
    <row r="74" spans="1:8" x14ac:dyDescent="0.25">
      <c r="A74" s="250"/>
      <c r="B74" s="7"/>
      <c r="C74" s="20"/>
      <c r="D74" s="100"/>
      <c r="E74" s="185"/>
      <c r="F74" s="100">
        <f t="shared" si="0"/>
        <v>0</v>
      </c>
      <c r="G74" s="111"/>
      <c r="H74" s="101"/>
    </row>
    <row r="75" spans="1:8" x14ac:dyDescent="0.25">
      <c r="A75" s="250"/>
      <c r="B75" s="7"/>
      <c r="C75" s="20"/>
      <c r="D75" s="100"/>
      <c r="E75" s="185"/>
      <c r="F75" s="100">
        <f t="shared" ref="F75" si="1">D75</f>
        <v>0</v>
      </c>
      <c r="G75" s="111"/>
      <c r="H75" s="101"/>
    </row>
    <row r="76" spans="1:8" ht="15.75" thickBot="1" x14ac:dyDescent="0.3">
      <c r="A76" s="250"/>
      <c r="B76" s="21"/>
      <c r="C76" s="80"/>
      <c r="D76" s="208"/>
      <c r="E76" s="209"/>
      <c r="F76" s="199"/>
      <c r="G76" s="200"/>
      <c r="H76" s="101"/>
    </row>
    <row r="77" spans="1:8" x14ac:dyDescent="0.25">
      <c r="C77" s="82">
        <f>SUM(C9:C76)</f>
        <v>96</v>
      </c>
      <c r="D77" s="9">
        <f>SUM(D9:D76)</f>
        <v>2007.1699999999998</v>
      </c>
      <c r="F77" s="9">
        <f>SUM(F9:F76)</f>
        <v>2007.1699999999998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4</v>
      </c>
    </row>
    <row r="81" spans="3:7" ht="15.75" thickBot="1" x14ac:dyDescent="0.3"/>
    <row r="82" spans="3:7" ht="15.75" thickBot="1" x14ac:dyDescent="0.3">
      <c r="C82" s="757" t="s">
        <v>11</v>
      </c>
      <c r="D82" s="758"/>
      <c r="E82" s="95">
        <f>E5+E6-F77+E7</f>
        <v>98.1400000000001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pane ySplit="7" topLeftCell="A14" activePane="bottomLeft" state="frozen"/>
      <selection pane="bottomLeft" activeCell="C11" sqref="C11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56" t="s">
        <v>345</v>
      </c>
      <c r="B1" s="756"/>
      <c r="C1" s="756"/>
      <c r="D1" s="756"/>
      <c r="E1" s="756"/>
      <c r="F1" s="756"/>
      <c r="G1" s="756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6"/>
      <c r="B4" s="417"/>
      <c r="D4" s="234"/>
      <c r="E4" s="103">
        <v>55.42</v>
      </c>
      <c r="F4" s="104">
        <v>2</v>
      </c>
      <c r="G4" s="648"/>
      <c r="H4" s="16"/>
    </row>
    <row r="5" spans="1:8" x14ac:dyDescent="0.25">
      <c r="A5" s="16" t="s">
        <v>51</v>
      </c>
      <c r="B5" s="124" t="s">
        <v>52</v>
      </c>
      <c r="C5" s="264"/>
      <c r="D5" s="400">
        <v>42237</v>
      </c>
      <c r="E5" s="168">
        <v>311.2</v>
      </c>
      <c r="F5" s="104">
        <v>17</v>
      </c>
      <c r="G5" s="649">
        <f>F32</f>
        <v>368.65999999999997</v>
      </c>
      <c r="H5" s="10">
        <f>E5-G5+E6+E4</f>
        <v>-2.0399999999999778</v>
      </c>
    </row>
    <row r="6" spans="1:8" ht="15.75" thickBot="1" x14ac:dyDescent="0.3">
      <c r="A6" s="16"/>
      <c r="B6" s="124" t="s">
        <v>274</v>
      </c>
      <c r="C6" s="337"/>
      <c r="D6" s="62"/>
      <c r="E6" s="153"/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67"/>
      <c r="C8" s="20">
        <v>3</v>
      </c>
      <c r="D8" s="254">
        <v>57.48</v>
      </c>
      <c r="E8" s="257">
        <v>42218</v>
      </c>
      <c r="F8" s="254">
        <f t="shared" ref="F8:F30" si="0">D8</f>
        <v>57.48</v>
      </c>
      <c r="G8" s="255" t="s">
        <v>285</v>
      </c>
      <c r="H8" s="256">
        <v>185</v>
      </c>
    </row>
    <row r="9" spans="1:8" x14ac:dyDescent="0.25">
      <c r="A9" s="151"/>
      <c r="B9" s="267"/>
      <c r="C9" s="20">
        <v>10</v>
      </c>
      <c r="D9" s="254">
        <v>182.32</v>
      </c>
      <c r="E9" s="257">
        <v>42241</v>
      </c>
      <c r="F9" s="254">
        <f t="shared" si="0"/>
        <v>182.32</v>
      </c>
      <c r="G9" s="255" t="s">
        <v>324</v>
      </c>
      <c r="H9" s="256">
        <v>185</v>
      </c>
    </row>
    <row r="10" spans="1:8" x14ac:dyDescent="0.25">
      <c r="A10" s="173"/>
      <c r="B10" s="267"/>
      <c r="C10" s="20">
        <v>7</v>
      </c>
      <c r="D10" s="100">
        <v>128.86000000000001</v>
      </c>
      <c r="E10" s="185">
        <v>42258</v>
      </c>
      <c r="F10" s="100">
        <f t="shared" si="0"/>
        <v>128.86000000000001</v>
      </c>
      <c r="G10" s="111" t="s">
        <v>389</v>
      </c>
      <c r="H10" s="101">
        <v>210</v>
      </c>
    </row>
    <row r="11" spans="1:8" x14ac:dyDescent="0.25">
      <c r="A11" s="147" t="s">
        <v>34</v>
      </c>
      <c r="B11" s="267"/>
      <c r="C11" s="20"/>
      <c r="D11" s="100"/>
      <c r="E11" s="185"/>
      <c r="F11" s="100">
        <f t="shared" si="0"/>
        <v>0</v>
      </c>
      <c r="G11" s="111"/>
      <c r="H11" s="101"/>
    </row>
    <row r="12" spans="1:8" x14ac:dyDescent="0.25">
      <c r="A12" s="152"/>
      <c r="B12" s="267"/>
      <c r="C12" s="20"/>
      <c r="D12" s="100"/>
      <c r="E12" s="185"/>
      <c r="F12" s="100">
        <f t="shared" si="0"/>
        <v>0</v>
      </c>
      <c r="G12" s="111"/>
      <c r="H12" s="101"/>
    </row>
    <row r="13" spans="1:8" x14ac:dyDescent="0.25">
      <c r="A13" s="119"/>
      <c r="B13" s="298"/>
      <c r="C13" s="20"/>
      <c r="D13" s="100"/>
      <c r="E13" s="185"/>
      <c r="F13" s="100">
        <f t="shared" si="0"/>
        <v>0</v>
      </c>
      <c r="G13" s="111"/>
      <c r="H13" s="101"/>
    </row>
    <row r="14" spans="1:8" x14ac:dyDescent="0.25">
      <c r="A14" s="59"/>
      <c r="B14" s="267"/>
      <c r="C14" s="20"/>
      <c r="D14" s="100"/>
      <c r="E14" s="185"/>
      <c r="F14" s="100">
        <f t="shared" si="0"/>
        <v>0</v>
      </c>
      <c r="G14" s="111"/>
      <c r="H14" s="101"/>
    </row>
    <row r="15" spans="1:8" x14ac:dyDescent="0.25">
      <c r="B15" s="267"/>
      <c r="C15" s="20"/>
      <c r="D15" s="100"/>
      <c r="E15" s="185"/>
      <c r="F15" s="100">
        <f t="shared" si="0"/>
        <v>0</v>
      </c>
      <c r="G15" s="111"/>
      <c r="H15" s="101"/>
    </row>
    <row r="16" spans="1:8" x14ac:dyDescent="0.25">
      <c r="A16" s="250"/>
      <c r="B16" s="267"/>
      <c r="C16" s="20"/>
      <c r="D16" s="100"/>
      <c r="E16" s="185"/>
      <c r="F16" s="100">
        <f t="shared" si="0"/>
        <v>0</v>
      </c>
      <c r="G16" s="111"/>
      <c r="H16" s="101"/>
    </row>
    <row r="17" spans="1:8" x14ac:dyDescent="0.25">
      <c r="A17" s="250"/>
      <c r="B17" s="267"/>
      <c r="C17" s="20"/>
      <c r="D17" s="100"/>
      <c r="E17" s="185"/>
      <c r="F17" s="100">
        <f t="shared" si="0"/>
        <v>0</v>
      </c>
      <c r="G17" s="111"/>
      <c r="H17" s="101"/>
    </row>
    <row r="18" spans="1:8" x14ac:dyDescent="0.25">
      <c r="A18" s="250"/>
      <c r="B18" s="267"/>
      <c r="C18" s="20"/>
      <c r="D18" s="100"/>
      <c r="E18" s="185"/>
      <c r="F18" s="100">
        <f t="shared" si="0"/>
        <v>0</v>
      </c>
      <c r="G18" s="111"/>
      <c r="H18" s="101"/>
    </row>
    <row r="19" spans="1:8" x14ac:dyDescent="0.25">
      <c r="A19" s="250"/>
      <c r="B19" s="267"/>
      <c r="C19" s="20"/>
      <c r="D19" s="254"/>
      <c r="E19" s="257"/>
      <c r="F19" s="254">
        <f t="shared" si="0"/>
        <v>0</v>
      </c>
      <c r="G19" s="255"/>
      <c r="H19" s="256"/>
    </row>
    <row r="20" spans="1:8" x14ac:dyDescent="0.25">
      <c r="A20" s="250"/>
      <c r="B20" s="267"/>
      <c r="C20" s="20"/>
      <c r="D20" s="254"/>
      <c r="E20" s="257"/>
      <c r="F20" s="254">
        <f t="shared" si="0"/>
        <v>0</v>
      </c>
      <c r="G20" s="255"/>
      <c r="H20" s="256"/>
    </row>
    <row r="21" spans="1:8" x14ac:dyDescent="0.25">
      <c r="A21" s="251"/>
      <c r="B21" s="267"/>
      <c r="C21" s="20"/>
      <c r="D21" s="254"/>
      <c r="E21" s="257"/>
      <c r="F21" s="254">
        <f t="shared" si="0"/>
        <v>0</v>
      </c>
      <c r="G21" s="255"/>
      <c r="H21" s="256"/>
    </row>
    <row r="22" spans="1:8" x14ac:dyDescent="0.25">
      <c r="A22" s="250"/>
      <c r="B22" s="267"/>
      <c r="C22" s="20"/>
      <c r="D22" s="254"/>
      <c r="E22" s="257"/>
      <c r="F22" s="254">
        <f t="shared" si="0"/>
        <v>0</v>
      </c>
      <c r="G22" s="255"/>
      <c r="H22" s="256"/>
    </row>
    <row r="23" spans="1:8" x14ac:dyDescent="0.25">
      <c r="A23" s="250"/>
      <c r="B23" s="267"/>
      <c r="C23" s="20"/>
      <c r="D23" s="254"/>
      <c r="E23" s="257"/>
      <c r="F23" s="254">
        <f t="shared" si="0"/>
        <v>0</v>
      </c>
      <c r="G23" s="255"/>
      <c r="H23" s="256"/>
    </row>
    <row r="24" spans="1:8" x14ac:dyDescent="0.25">
      <c r="A24" s="250"/>
      <c r="B24" s="267"/>
      <c r="C24" s="20"/>
      <c r="D24" s="254"/>
      <c r="E24" s="257"/>
      <c r="F24" s="254">
        <f t="shared" si="0"/>
        <v>0</v>
      </c>
      <c r="G24" s="255"/>
      <c r="H24" s="256"/>
    </row>
    <row r="25" spans="1:8" x14ac:dyDescent="0.25">
      <c r="A25" s="250"/>
      <c r="B25" s="267"/>
      <c r="C25" s="20"/>
      <c r="D25" s="254"/>
      <c r="E25" s="257"/>
      <c r="F25" s="254">
        <f t="shared" si="0"/>
        <v>0</v>
      </c>
      <c r="G25" s="255"/>
      <c r="H25" s="256"/>
    </row>
    <row r="26" spans="1:8" x14ac:dyDescent="0.25">
      <c r="A26" s="251"/>
      <c r="B26" s="267"/>
      <c r="C26" s="20"/>
      <c r="D26" s="254"/>
      <c r="E26" s="257"/>
      <c r="F26" s="254">
        <f t="shared" si="0"/>
        <v>0</v>
      </c>
      <c r="G26" s="255"/>
      <c r="H26" s="256"/>
    </row>
    <row r="27" spans="1:8" x14ac:dyDescent="0.25">
      <c r="A27" s="250"/>
      <c r="B27" s="267"/>
      <c r="C27" s="20"/>
      <c r="D27" s="254"/>
      <c r="E27" s="257"/>
      <c r="F27" s="254">
        <f t="shared" si="0"/>
        <v>0</v>
      </c>
      <c r="G27" s="255"/>
      <c r="H27" s="256"/>
    </row>
    <row r="28" spans="1:8" x14ac:dyDescent="0.25">
      <c r="A28" s="250"/>
      <c r="B28" s="267"/>
      <c r="C28" s="20"/>
      <c r="D28" s="254"/>
      <c r="E28" s="257"/>
      <c r="F28" s="254">
        <f t="shared" si="0"/>
        <v>0</v>
      </c>
      <c r="G28" s="255"/>
      <c r="H28" s="256"/>
    </row>
    <row r="29" spans="1:8" x14ac:dyDescent="0.25">
      <c r="A29" s="250"/>
      <c r="B29" s="267"/>
      <c r="C29" s="20"/>
      <c r="D29" s="254"/>
      <c r="E29" s="257"/>
      <c r="F29" s="254">
        <f t="shared" si="0"/>
        <v>0</v>
      </c>
      <c r="G29" s="255"/>
      <c r="H29" s="256"/>
    </row>
    <row r="30" spans="1:8" x14ac:dyDescent="0.25">
      <c r="A30" s="250"/>
      <c r="B30" s="267"/>
      <c r="C30" s="20"/>
      <c r="D30" s="254"/>
      <c r="E30" s="257"/>
      <c r="F30" s="254">
        <f t="shared" si="0"/>
        <v>0</v>
      </c>
      <c r="G30" s="255"/>
      <c r="H30" s="256"/>
    </row>
    <row r="31" spans="1:8" ht="15.75" thickBot="1" x14ac:dyDescent="0.3">
      <c r="A31" s="250"/>
      <c r="B31" s="268"/>
      <c r="C31" s="80"/>
      <c r="D31" s="353"/>
      <c r="E31" s="265"/>
      <c r="F31" s="231"/>
      <c r="G31" s="232"/>
      <c r="H31" s="230"/>
    </row>
    <row r="32" spans="1:8" ht="15.75" thickTop="1" x14ac:dyDescent="0.25">
      <c r="C32" s="9">
        <f>SUM(C8:C31)</f>
        <v>20</v>
      </c>
      <c r="D32" s="9">
        <f>SUM(D8:D31)</f>
        <v>368.65999999999997</v>
      </c>
      <c r="F32" s="9">
        <f>SUM(F8:F31)</f>
        <v>368.65999999999997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-1</v>
      </c>
    </row>
    <row r="36" spans="3:7" ht="15.75" thickBot="1" x14ac:dyDescent="0.3"/>
    <row r="37" spans="3:7" ht="15.75" thickBot="1" x14ac:dyDescent="0.3">
      <c r="C37" s="757" t="s">
        <v>11</v>
      </c>
      <c r="D37" s="758"/>
      <c r="E37" s="95">
        <f>E5+E6-F32+E4</f>
        <v>-2.0399999999999778</v>
      </c>
      <c r="F37" s="124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AA82"/>
  <sheetViews>
    <sheetView topLeftCell="H1" workbookViewId="0">
      <pane xSplit="1" ySplit="3" topLeftCell="S4" activePane="bottomRight" state="frozen"/>
      <selection activeCell="H1" sqref="H1"/>
      <selection pane="topRight" activeCell="I1" sqref="I1"/>
      <selection pane="bottomLeft" activeCell="H4" sqref="H4"/>
      <selection pane="bottomRight" activeCell="U10" sqref="U1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7" ht="40.5" x14ac:dyDescent="0.55000000000000004">
      <c r="A1" s="759" t="s">
        <v>265</v>
      </c>
      <c r="B1" s="759"/>
      <c r="C1" s="759"/>
      <c r="D1" s="759"/>
      <c r="E1" s="759"/>
      <c r="F1" s="759"/>
      <c r="G1" s="759"/>
      <c r="H1" s="14">
        <v>1</v>
      </c>
      <c r="J1" s="756" t="s">
        <v>424</v>
      </c>
      <c r="K1" s="756"/>
      <c r="L1" s="756"/>
      <c r="M1" s="756"/>
      <c r="N1" s="756"/>
      <c r="O1" s="756"/>
      <c r="P1" s="756"/>
      <c r="Q1" s="14">
        <v>2</v>
      </c>
      <c r="S1" s="751" t="s">
        <v>465</v>
      </c>
      <c r="T1" s="751"/>
      <c r="U1" s="751"/>
      <c r="V1" s="751"/>
      <c r="W1" s="751"/>
      <c r="X1" s="751"/>
      <c r="Y1" s="751"/>
      <c r="Z1" s="14">
        <v>2</v>
      </c>
    </row>
    <row r="2" spans="1:27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7" ht="15.75" thickTop="1" x14ac:dyDescent="0.25">
      <c r="A4" s="119"/>
      <c r="B4" s="119"/>
      <c r="C4" s="416">
        <v>29</v>
      </c>
      <c r="D4" s="119"/>
      <c r="E4" s="119"/>
      <c r="F4" s="119"/>
      <c r="G4" s="580"/>
      <c r="H4" s="580"/>
      <c r="J4" s="119"/>
      <c r="K4" s="119"/>
      <c r="L4" s="583" t="s">
        <v>262</v>
      </c>
      <c r="M4" s="119"/>
      <c r="N4" s="119"/>
      <c r="O4" s="119"/>
      <c r="P4" s="729" t="s">
        <v>283</v>
      </c>
      <c r="Q4" s="584"/>
      <c r="S4" s="119"/>
      <c r="T4" s="119"/>
      <c r="U4" s="583"/>
      <c r="V4" s="119"/>
      <c r="W4" s="119"/>
      <c r="X4" s="119"/>
      <c r="Y4" s="584"/>
      <c r="Z4" s="584"/>
    </row>
    <row r="5" spans="1:27" ht="15.75" x14ac:dyDescent="0.25">
      <c r="A5" s="16" t="s">
        <v>54</v>
      </c>
      <c r="B5" s="124" t="s">
        <v>56</v>
      </c>
      <c r="C5" s="369" t="s">
        <v>80</v>
      </c>
      <c r="D5" s="391">
        <v>42027</v>
      </c>
      <c r="E5" s="153">
        <v>4487.99</v>
      </c>
      <c r="F5" s="104">
        <v>330</v>
      </c>
      <c r="G5" s="581">
        <f>F77</f>
        <v>4695.45</v>
      </c>
      <c r="H5" s="582">
        <f>E4+E5+E6+E7-G5</f>
        <v>-207.46000000000004</v>
      </c>
      <c r="J5" s="133" t="s">
        <v>263</v>
      </c>
      <c r="K5" s="591" t="s">
        <v>56</v>
      </c>
      <c r="L5" s="369"/>
      <c r="M5" s="391">
        <v>42214</v>
      </c>
      <c r="N5" s="153">
        <v>1755.4</v>
      </c>
      <c r="O5" s="104">
        <v>129</v>
      </c>
      <c r="P5" s="728">
        <f>O77</f>
        <v>1986.74</v>
      </c>
      <c r="Q5" s="204">
        <f>N4+N5+N6+N7-P5</f>
        <v>0</v>
      </c>
      <c r="S5" s="133" t="s">
        <v>263</v>
      </c>
      <c r="T5" s="591" t="s">
        <v>56</v>
      </c>
      <c r="U5" s="369"/>
      <c r="V5" s="391"/>
      <c r="W5" s="153">
        <v>285.49</v>
      </c>
      <c r="X5" s="104">
        <v>21</v>
      </c>
      <c r="Y5" s="204">
        <f>X77</f>
        <v>408.29999999999995</v>
      </c>
      <c r="Z5" s="204">
        <f>W4+W5+W6+W7-Y5</f>
        <v>1918.39</v>
      </c>
    </row>
    <row r="6" spans="1:27" x14ac:dyDescent="0.25">
      <c r="A6" s="16"/>
      <c r="B6" s="15"/>
      <c r="C6" s="337"/>
      <c r="D6" s="364"/>
      <c r="E6" s="153"/>
      <c r="F6" s="104"/>
      <c r="G6" s="64"/>
      <c r="J6" s="16"/>
      <c r="K6" s="591" t="s">
        <v>209</v>
      </c>
      <c r="L6" s="337"/>
      <c r="M6" s="364"/>
      <c r="N6" s="153">
        <v>149.69</v>
      </c>
      <c r="O6" s="104">
        <v>11</v>
      </c>
      <c r="P6" s="64"/>
      <c r="S6" s="16"/>
      <c r="T6" s="591" t="s">
        <v>209</v>
      </c>
      <c r="U6" s="337" t="s">
        <v>497</v>
      </c>
      <c r="V6" s="364">
        <v>42301</v>
      </c>
      <c r="W6" s="153">
        <v>2041.2</v>
      </c>
      <c r="X6" s="104">
        <v>150</v>
      </c>
      <c r="Y6" s="64"/>
    </row>
    <row r="7" spans="1:27" ht="15.75" thickBot="1" x14ac:dyDescent="0.3">
      <c r="A7" s="16"/>
      <c r="B7" s="26"/>
      <c r="C7" s="337"/>
      <c r="D7" s="363"/>
      <c r="E7" s="153"/>
      <c r="F7" s="104"/>
      <c r="G7" s="16"/>
      <c r="J7" s="16"/>
      <c r="K7" s="26"/>
      <c r="L7" s="337"/>
      <c r="M7" s="363"/>
      <c r="N7" s="153">
        <v>81.650000000000006</v>
      </c>
      <c r="O7" s="104">
        <v>6</v>
      </c>
      <c r="P7" s="16"/>
      <c r="S7" s="16"/>
      <c r="T7" s="26"/>
      <c r="U7" s="337"/>
      <c r="V7" s="363"/>
      <c r="W7" s="153"/>
      <c r="X7" s="104"/>
      <c r="Y7" s="16"/>
    </row>
    <row r="8" spans="1:2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7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</row>
    <row r="9" spans="1:27" ht="15.75" thickTop="1" x14ac:dyDescent="0.25">
      <c r="A9" s="92" t="s">
        <v>33</v>
      </c>
      <c r="B9" s="2"/>
      <c r="C9" s="20">
        <v>20</v>
      </c>
      <c r="D9" s="254">
        <v>272.2</v>
      </c>
      <c r="E9" s="257">
        <v>42028</v>
      </c>
      <c r="F9" s="254">
        <f t="shared" ref="F9:F72" si="0">D9</f>
        <v>272.2</v>
      </c>
      <c r="G9" s="255" t="s">
        <v>81</v>
      </c>
      <c r="H9" s="256">
        <v>31</v>
      </c>
      <c r="J9" s="92" t="s">
        <v>33</v>
      </c>
      <c r="K9" s="2">
        <v>13.61</v>
      </c>
      <c r="L9" s="20">
        <v>63</v>
      </c>
      <c r="M9" s="100">
        <f t="shared" ref="M9:M68" si="1">L9*K9</f>
        <v>857.43</v>
      </c>
      <c r="N9" s="185">
        <v>42221</v>
      </c>
      <c r="O9" s="100">
        <f t="shared" ref="O9:O72" si="2">M9</f>
        <v>857.43</v>
      </c>
      <c r="P9" s="111" t="s">
        <v>289</v>
      </c>
      <c r="Q9" s="101">
        <v>37</v>
      </c>
      <c r="S9" s="92" t="s">
        <v>33</v>
      </c>
      <c r="T9" s="2">
        <v>13.61</v>
      </c>
      <c r="U9" s="20">
        <v>30</v>
      </c>
      <c r="V9" s="114">
        <f t="shared" ref="V9:V68" si="3">U9*T9</f>
        <v>408.29999999999995</v>
      </c>
      <c r="W9" s="167">
        <v>42303</v>
      </c>
      <c r="X9" s="114">
        <f t="shared" ref="X9:X72" si="4">V9</f>
        <v>408.29999999999995</v>
      </c>
      <c r="Y9" s="115" t="s">
        <v>761</v>
      </c>
      <c r="Z9" s="116">
        <v>36</v>
      </c>
      <c r="AA9" s="435"/>
    </row>
    <row r="10" spans="1:27" x14ac:dyDescent="0.25">
      <c r="A10" s="286"/>
      <c r="B10" s="2"/>
      <c r="C10" s="20">
        <v>10</v>
      </c>
      <c r="D10" s="254">
        <v>136.1</v>
      </c>
      <c r="E10" s="257">
        <v>42030</v>
      </c>
      <c r="F10" s="254">
        <f t="shared" si="0"/>
        <v>136.1</v>
      </c>
      <c r="G10" s="255" t="s">
        <v>82</v>
      </c>
      <c r="H10" s="256">
        <v>31</v>
      </c>
      <c r="J10" s="286"/>
      <c r="K10" s="2">
        <v>13.61</v>
      </c>
      <c r="L10" s="20">
        <v>51</v>
      </c>
      <c r="M10" s="100">
        <f t="shared" si="1"/>
        <v>694.11</v>
      </c>
      <c r="N10" s="185">
        <v>42229</v>
      </c>
      <c r="O10" s="100">
        <f t="shared" si="2"/>
        <v>694.11</v>
      </c>
      <c r="P10" s="111" t="s">
        <v>301</v>
      </c>
      <c r="Q10" s="101">
        <v>34</v>
      </c>
      <c r="S10" s="286"/>
      <c r="T10" s="2">
        <v>13.61</v>
      </c>
      <c r="U10" s="20"/>
      <c r="V10" s="114">
        <f t="shared" si="3"/>
        <v>0</v>
      </c>
      <c r="W10" s="167"/>
      <c r="X10" s="114">
        <f t="shared" si="4"/>
        <v>0</v>
      </c>
      <c r="Y10" s="115"/>
      <c r="Z10" s="116"/>
      <c r="AA10" s="435"/>
    </row>
    <row r="11" spans="1:27" x14ac:dyDescent="0.25">
      <c r="A11" s="287"/>
      <c r="B11" s="2"/>
      <c r="C11" s="20">
        <v>3</v>
      </c>
      <c r="D11" s="100">
        <v>40.83</v>
      </c>
      <c r="E11" s="185">
        <v>42040</v>
      </c>
      <c r="F11" s="100">
        <f t="shared" si="0"/>
        <v>40.83</v>
      </c>
      <c r="G11" s="111" t="s">
        <v>86</v>
      </c>
      <c r="H11" s="101">
        <v>31</v>
      </c>
      <c r="J11" s="287"/>
      <c r="K11" s="2">
        <v>13.61</v>
      </c>
      <c r="L11" s="20">
        <v>11</v>
      </c>
      <c r="M11" s="629">
        <f t="shared" si="1"/>
        <v>149.70999999999998</v>
      </c>
      <c r="N11" s="643">
        <v>42249</v>
      </c>
      <c r="O11" s="629">
        <f t="shared" si="2"/>
        <v>149.70999999999998</v>
      </c>
      <c r="P11" s="632" t="s">
        <v>364</v>
      </c>
      <c r="Q11" s="261">
        <v>34</v>
      </c>
      <c r="S11" s="287"/>
      <c r="T11" s="2">
        <v>13.61</v>
      </c>
      <c r="U11" s="20"/>
      <c r="V11" s="114">
        <f t="shared" si="3"/>
        <v>0</v>
      </c>
      <c r="W11" s="167"/>
      <c r="X11" s="114">
        <f t="shared" si="4"/>
        <v>0</v>
      </c>
      <c r="Y11" s="115"/>
      <c r="Z11" s="116"/>
      <c r="AA11" s="435"/>
    </row>
    <row r="12" spans="1:27" x14ac:dyDescent="0.25">
      <c r="A12" s="147" t="s">
        <v>34</v>
      </c>
      <c r="B12" s="2"/>
      <c r="C12" s="20">
        <v>30</v>
      </c>
      <c r="D12" s="100">
        <v>408.3</v>
      </c>
      <c r="E12" s="185">
        <v>42045</v>
      </c>
      <c r="F12" s="100">
        <f t="shared" si="0"/>
        <v>408.3</v>
      </c>
      <c r="G12" s="111" t="s">
        <v>87</v>
      </c>
      <c r="H12" s="101">
        <v>31</v>
      </c>
      <c r="J12" s="147" t="s">
        <v>34</v>
      </c>
      <c r="K12" s="2">
        <v>13.61</v>
      </c>
      <c r="L12" s="20"/>
      <c r="M12" s="629">
        <f t="shared" si="1"/>
        <v>0</v>
      </c>
      <c r="N12" s="643"/>
      <c r="O12" s="629">
        <f t="shared" si="2"/>
        <v>0</v>
      </c>
      <c r="P12" s="632"/>
      <c r="Q12" s="261"/>
      <c r="S12" s="147" t="s">
        <v>34</v>
      </c>
      <c r="T12" s="2">
        <v>13.61</v>
      </c>
      <c r="U12" s="20"/>
      <c r="V12" s="114">
        <f t="shared" si="3"/>
        <v>0</v>
      </c>
      <c r="W12" s="167"/>
      <c r="X12" s="114">
        <f t="shared" si="4"/>
        <v>0</v>
      </c>
      <c r="Y12" s="115"/>
      <c r="Z12" s="116"/>
      <c r="AA12" s="435"/>
    </row>
    <row r="13" spans="1:27" x14ac:dyDescent="0.25">
      <c r="A13" s="288"/>
      <c r="B13" s="2"/>
      <c r="C13" s="20">
        <v>3</v>
      </c>
      <c r="D13" s="386">
        <v>40.83</v>
      </c>
      <c r="E13" s="387">
        <v>42068</v>
      </c>
      <c r="F13" s="386">
        <f t="shared" si="0"/>
        <v>40.83</v>
      </c>
      <c r="G13" s="384" t="s">
        <v>91</v>
      </c>
      <c r="H13" s="328">
        <v>36</v>
      </c>
      <c r="J13" s="288"/>
      <c r="K13" s="2">
        <v>13.61</v>
      </c>
      <c r="L13" s="20"/>
      <c r="M13" s="629">
        <f t="shared" si="1"/>
        <v>0</v>
      </c>
      <c r="N13" s="643"/>
      <c r="O13" s="629">
        <f t="shared" si="2"/>
        <v>0</v>
      </c>
      <c r="P13" s="632"/>
      <c r="Q13" s="261"/>
      <c r="S13" s="288"/>
      <c r="T13" s="2">
        <v>13.61</v>
      </c>
      <c r="U13" s="20"/>
      <c r="V13" s="114">
        <f t="shared" si="3"/>
        <v>0</v>
      </c>
      <c r="W13" s="167"/>
      <c r="X13" s="114">
        <f t="shared" si="4"/>
        <v>0</v>
      </c>
      <c r="Y13" s="115"/>
      <c r="Z13" s="116"/>
      <c r="AA13" s="435"/>
    </row>
    <row r="14" spans="1:27" x14ac:dyDescent="0.25">
      <c r="A14" s="181"/>
      <c r="B14" s="2"/>
      <c r="C14" s="20">
        <v>20</v>
      </c>
      <c r="D14" s="386">
        <v>272.2</v>
      </c>
      <c r="E14" s="387">
        <v>42083</v>
      </c>
      <c r="F14" s="386">
        <f t="shared" si="0"/>
        <v>272.2</v>
      </c>
      <c r="G14" s="384" t="s">
        <v>95</v>
      </c>
      <c r="H14" s="328">
        <v>36</v>
      </c>
      <c r="J14" s="181"/>
      <c r="K14" s="2">
        <v>13.61</v>
      </c>
      <c r="L14" s="20"/>
      <c r="M14" s="629">
        <f t="shared" si="1"/>
        <v>0</v>
      </c>
      <c r="N14" s="643"/>
      <c r="O14" s="629">
        <f t="shared" si="2"/>
        <v>0</v>
      </c>
      <c r="P14" s="632"/>
      <c r="Q14" s="261"/>
      <c r="S14" s="181"/>
      <c r="T14" s="2">
        <v>13.61</v>
      </c>
      <c r="U14" s="20"/>
      <c r="V14" s="114">
        <f t="shared" si="3"/>
        <v>0</v>
      </c>
      <c r="W14" s="167"/>
      <c r="X14" s="114">
        <f t="shared" si="4"/>
        <v>0</v>
      </c>
      <c r="Y14" s="115"/>
      <c r="Z14" s="116"/>
      <c r="AA14" s="435"/>
    </row>
    <row r="15" spans="1:27" x14ac:dyDescent="0.25">
      <c r="A15" s="59"/>
      <c r="B15" s="2">
        <v>13.61</v>
      </c>
      <c r="C15" s="20">
        <v>5</v>
      </c>
      <c r="D15" s="412">
        <f>C15*B15</f>
        <v>68.05</v>
      </c>
      <c r="E15" s="499">
        <v>42105</v>
      </c>
      <c r="F15" s="412">
        <f t="shared" si="0"/>
        <v>68.05</v>
      </c>
      <c r="G15" s="500" t="s">
        <v>102</v>
      </c>
      <c r="H15" s="501">
        <v>36</v>
      </c>
      <c r="I15" s="506"/>
      <c r="J15" s="59"/>
      <c r="K15" s="2">
        <v>13.61</v>
      </c>
      <c r="L15" s="20"/>
      <c r="M15" s="629">
        <f t="shared" si="1"/>
        <v>0</v>
      </c>
      <c r="N15" s="643"/>
      <c r="O15" s="629">
        <f t="shared" si="2"/>
        <v>0</v>
      </c>
      <c r="P15" s="632"/>
      <c r="Q15" s="261"/>
      <c r="S15" s="59"/>
      <c r="T15" s="2">
        <v>13.61</v>
      </c>
      <c r="U15" s="20"/>
      <c r="V15" s="114">
        <f t="shared" si="3"/>
        <v>0</v>
      </c>
      <c r="W15" s="167"/>
      <c r="X15" s="114">
        <f t="shared" si="4"/>
        <v>0</v>
      </c>
      <c r="Y15" s="115"/>
      <c r="Z15" s="116"/>
      <c r="AA15" s="435"/>
    </row>
    <row r="16" spans="1:27" x14ac:dyDescent="0.25">
      <c r="B16" s="2">
        <v>13.61</v>
      </c>
      <c r="C16" s="20">
        <v>20</v>
      </c>
      <c r="D16" s="412">
        <f t="shared" ref="D16:D68" si="5">C16*B16</f>
        <v>272.2</v>
      </c>
      <c r="E16" s="499">
        <v>42119</v>
      </c>
      <c r="F16" s="412">
        <f t="shared" si="0"/>
        <v>272.2</v>
      </c>
      <c r="G16" s="500" t="s">
        <v>111</v>
      </c>
      <c r="H16" s="501">
        <v>36</v>
      </c>
      <c r="I16" s="506"/>
      <c r="K16" s="2">
        <v>13.61</v>
      </c>
      <c r="L16" s="20">
        <v>21</v>
      </c>
      <c r="M16" s="629">
        <v>285.49</v>
      </c>
      <c r="N16" s="643"/>
      <c r="O16" s="629">
        <f t="shared" si="2"/>
        <v>285.49</v>
      </c>
      <c r="P16" s="632"/>
      <c r="Q16" s="261"/>
      <c r="T16" s="2">
        <v>13.61</v>
      </c>
      <c r="U16" s="20"/>
      <c r="V16" s="114">
        <f t="shared" si="3"/>
        <v>0</v>
      </c>
      <c r="W16" s="167"/>
      <c r="X16" s="114">
        <f t="shared" si="4"/>
        <v>0</v>
      </c>
      <c r="Y16" s="115"/>
      <c r="Z16" s="116"/>
      <c r="AA16" s="435"/>
    </row>
    <row r="17" spans="1:27" x14ac:dyDescent="0.25">
      <c r="A17" s="250"/>
      <c r="B17" s="2">
        <v>13.61</v>
      </c>
      <c r="C17" s="20">
        <v>30</v>
      </c>
      <c r="D17" s="100">
        <f t="shared" si="5"/>
        <v>408.29999999999995</v>
      </c>
      <c r="E17" s="185">
        <v>42142</v>
      </c>
      <c r="F17" s="100">
        <f t="shared" si="0"/>
        <v>408.29999999999995</v>
      </c>
      <c r="G17" s="111" t="s">
        <v>142</v>
      </c>
      <c r="H17" s="101">
        <v>36</v>
      </c>
      <c r="I17" s="506"/>
      <c r="J17" s="250"/>
      <c r="K17" s="2">
        <v>13.61</v>
      </c>
      <c r="L17" s="20"/>
      <c r="M17" s="629">
        <f t="shared" si="1"/>
        <v>0</v>
      </c>
      <c r="N17" s="643"/>
      <c r="O17" s="629">
        <f t="shared" si="2"/>
        <v>0</v>
      </c>
      <c r="P17" s="632"/>
      <c r="Q17" s="261"/>
      <c r="S17" s="250"/>
      <c r="T17" s="2">
        <v>13.61</v>
      </c>
      <c r="U17" s="20"/>
      <c r="V17" s="114">
        <f t="shared" si="3"/>
        <v>0</v>
      </c>
      <c r="W17" s="167"/>
      <c r="X17" s="114">
        <f t="shared" si="4"/>
        <v>0</v>
      </c>
      <c r="Y17" s="115"/>
      <c r="Z17" s="116"/>
      <c r="AA17" s="435"/>
    </row>
    <row r="18" spans="1:27" x14ac:dyDescent="0.25">
      <c r="A18" s="250"/>
      <c r="B18" s="2">
        <v>13.61</v>
      </c>
      <c r="C18" s="20">
        <v>50</v>
      </c>
      <c r="D18" s="100">
        <f t="shared" si="5"/>
        <v>680.5</v>
      </c>
      <c r="E18" s="185">
        <v>42147</v>
      </c>
      <c r="F18" s="100">
        <f t="shared" si="0"/>
        <v>680.5</v>
      </c>
      <c r="G18" s="111" t="s">
        <v>151</v>
      </c>
      <c r="H18" s="101">
        <v>36</v>
      </c>
      <c r="I18" s="506"/>
      <c r="J18" s="250"/>
      <c r="K18" s="2">
        <v>13.61</v>
      </c>
      <c r="L18" s="20"/>
      <c r="M18" s="629">
        <f t="shared" si="1"/>
        <v>0</v>
      </c>
      <c r="N18" s="643"/>
      <c r="O18" s="629">
        <f t="shared" si="2"/>
        <v>0</v>
      </c>
      <c r="P18" s="632"/>
      <c r="Q18" s="261"/>
      <c r="S18" s="250"/>
      <c r="T18" s="2">
        <v>13.61</v>
      </c>
      <c r="U18" s="20"/>
      <c r="V18" s="114">
        <f t="shared" si="3"/>
        <v>0</v>
      </c>
      <c r="W18" s="167"/>
      <c r="X18" s="114">
        <f t="shared" si="4"/>
        <v>0</v>
      </c>
      <c r="Y18" s="115"/>
      <c r="Z18" s="116"/>
      <c r="AA18" s="435"/>
    </row>
    <row r="19" spans="1:27" x14ac:dyDescent="0.25">
      <c r="A19" s="250"/>
      <c r="B19" s="2">
        <v>13.61</v>
      </c>
      <c r="C19" s="20">
        <v>30</v>
      </c>
      <c r="D19" s="100">
        <f t="shared" si="5"/>
        <v>408.29999999999995</v>
      </c>
      <c r="E19" s="185">
        <v>42151</v>
      </c>
      <c r="F19" s="100">
        <f t="shared" si="0"/>
        <v>408.29999999999995</v>
      </c>
      <c r="G19" s="111" t="s">
        <v>156</v>
      </c>
      <c r="H19" s="101">
        <v>36</v>
      </c>
      <c r="I19" s="506"/>
      <c r="J19" s="250"/>
      <c r="K19" s="2">
        <v>13.61</v>
      </c>
      <c r="L19" s="20"/>
      <c r="M19" s="629">
        <f t="shared" si="1"/>
        <v>0</v>
      </c>
      <c r="N19" s="643"/>
      <c r="O19" s="629">
        <f t="shared" si="2"/>
        <v>0</v>
      </c>
      <c r="P19" s="632"/>
      <c r="Q19" s="261"/>
      <c r="S19" s="250"/>
      <c r="T19" s="2">
        <v>13.61</v>
      </c>
      <c r="U19" s="20"/>
      <c r="V19" s="114">
        <f t="shared" si="3"/>
        <v>0</v>
      </c>
      <c r="W19" s="167"/>
      <c r="X19" s="114">
        <f t="shared" si="4"/>
        <v>0</v>
      </c>
      <c r="Y19" s="115"/>
      <c r="Z19" s="116"/>
      <c r="AA19" s="435"/>
    </row>
    <row r="20" spans="1:27" x14ac:dyDescent="0.25">
      <c r="A20" s="250"/>
      <c r="B20" s="2">
        <v>13.61</v>
      </c>
      <c r="C20" s="20">
        <v>30</v>
      </c>
      <c r="D20" s="528">
        <f t="shared" si="5"/>
        <v>408.29999999999995</v>
      </c>
      <c r="E20" s="529">
        <v>42160</v>
      </c>
      <c r="F20" s="528">
        <f t="shared" si="0"/>
        <v>408.29999999999995</v>
      </c>
      <c r="G20" s="530" t="s">
        <v>176</v>
      </c>
      <c r="H20" s="230">
        <v>36</v>
      </c>
      <c r="I20" s="506"/>
      <c r="J20" s="250"/>
      <c r="K20" s="2">
        <v>13.61</v>
      </c>
      <c r="L20" s="20"/>
      <c r="M20" s="629">
        <f t="shared" si="1"/>
        <v>0</v>
      </c>
      <c r="N20" s="643"/>
      <c r="O20" s="629">
        <f t="shared" si="2"/>
        <v>0</v>
      </c>
      <c r="P20" s="632"/>
      <c r="Q20" s="261"/>
      <c r="S20" s="250"/>
      <c r="T20" s="2">
        <v>13.61</v>
      </c>
      <c r="U20" s="20"/>
      <c r="V20" s="114">
        <f t="shared" si="3"/>
        <v>0</v>
      </c>
      <c r="W20" s="167"/>
      <c r="X20" s="114">
        <f t="shared" si="4"/>
        <v>0</v>
      </c>
      <c r="Y20" s="115"/>
      <c r="Z20" s="116"/>
      <c r="AA20" s="435"/>
    </row>
    <row r="21" spans="1:27" x14ac:dyDescent="0.25">
      <c r="A21" s="250"/>
      <c r="B21" s="2">
        <v>13.61</v>
      </c>
      <c r="C21" s="20">
        <v>20</v>
      </c>
      <c r="D21" s="528">
        <f t="shared" si="5"/>
        <v>272.2</v>
      </c>
      <c r="E21" s="529">
        <v>42167</v>
      </c>
      <c r="F21" s="528">
        <f t="shared" si="0"/>
        <v>272.2</v>
      </c>
      <c r="G21" s="530" t="s">
        <v>183</v>
      </c>
      <c r="H21" s="230">
        <v>36</v>
      </c>
      <c r="I21" s="506"/>
      <c r="J21" s="250"/>
      <c r="K21" s="2">
        <v>13.61</v>
      </c>
      <c r="L21" s="20"/>
      <c r="M21" s="629">
        <f t="shared" si="1"/>
        <v>0</v>
      </c>
      <c r="N21" s="643"/>
      <c r="O21" s="629">
        <f t="shared" si="2"/>
        <v>0</v>
      </c>
      <c r="P21" s="632"/>
      <c r="Q21" s="261"/>
      <c r="S21" s="250"/>
      <c r="T21" s="2">
        <v>13.61</v>
      </c>
      <c r="U21" s="20"/>
      <c r="V21" s="114">
        <f t="shared" si="3"/>
        <v>0</v>
      </c>
      <c r="W21" s="167"/>
      <c r="X21" s="114">
        <f t="shared" si="4"/>
        <v>0</v>
      </c>
      <c r="Y21" s="115"/>
      <c r="Z21" s="116"/>
      <c r="AA21" s="435"/>
    </row>
    <row r="22" spans="1:27" x14ac:dyDescent="0.25">
      <c r="A22" s="251"/>
      <c r="B22" s="2">
        <v>13.61</v>
      </c>
      <c r="C22" s="20">
        <v>2</v>
      </c>
      <c r="D22" s="528">
        <f t="shared" si="5"/>
        <v>27.22</v>
      </c>
      <c r="E22" s="529">
        <v>42171</v>
      </c>
      <c r="F22" s="528">
        <f t="shared" si="0"/>
        <v>27.22</v>
      </c>
      <c r="G22" s="530" t="s">
        <v>186</v>
      </c>
      <c r="H22" s="230">
        <v>36</v>
      </c>
      <c r="I22" s="506"/>
      <c r="J22" s="251"/>
      <c r="K22" s="2">
        <v>13.61</v>
      </c>
      <c r="L22" s="20"/>
      <c r="M22" s="629">
        <f t="shared" si="1"/>
        <v>0</v>
      </c>
      <c r="N22" s="643"/>
      <c r="O22" s="629">
        <f t="shared" si="2"/>
        <v>0</v>
      </c>
      <c r="P22" s="632"/>
      <c r="Q22" s="261"/>
      <c r="S22" s="251"/>
      <c r="T22" s="2">
        <v>13.61</v>
      </c>
      <c r="U22" s="20"/>
      <c r="V22" s="114">
        <f t="shared" si="3"/>
        <v>0</v>
      </c>
      <c r="W22" s="167"/>
      <c r="X22" s="114">
        <f t="shared" si="4"/>
        <v>0</v>
      </c>
      <c r="Y22" s="115"/>
      <c r="Z22" s="116"/>
      <c r="AA22" s="435"/>
    </row>
    <row r="23" spans="1:27" x14ac:dyDescent="0.25">
      <c r="A23" s="250"/>
      <c r="B23" s="2">
        <v>13.61</v>
      </c>
      <c r="C23" s="20">
        <v>30</v>
      </c>
      <c r="D23" s="550">
        <f t="shared" si="5"/>
        <v>408.29999999999995</v>
      </c>
      <c r="E23" s="551">
        <v>42189</v>
      </c>
      <c r="F23" s="550">
        <f t="shared" si="0"/>
        <v>408.29999999999995</v>
      </c>
      <c r="G23" s="552" t="s">
        <v>225</v>
      </c>
      <c r="H23" s="553">
        <v>36</v>
      </c>
      <c r="I23" s="506"/>
      <c r="J23" s="250"/>
      <c r="K23" s="2">
        <v>13.61</v>
      </c>
      <c r="L23" s="20"/>
      <c r="M23" s="629">
        <f t="shared" si="1"/>
        <v>0</v>
      </c>
      <c r="N23" s="643"/>
      <c r="O23" s="629">
        <f t="shared" si="2"/>
        <v>0</v>
      </c>
      <c r="P23" s="632"/>
      <c r="Q23" s="261"/>
      <c r="S23" s="250"/>
      <c r="T23" s="2">
        <v>13.61</v>
      </c>
      <c r="U23" s="20"/>
      <c r="V23" s="114">
        <f t="shared" si="3"/>
        <v>0</v>
      </c>
      <c r="W23" s="167"/>
      <c r="X23" s="114">
        <f t="shared" si="4"/>
        <v>0</v>
      </c>
      <c r="Y23" s="115"/>
      <c r="Z23" s="116"/>
      <c r="AA23" s="435"/>
    </row>
    <row r="24" spans="1:27" x14ac:dyDescent="0.25">
      <c r="A24" s="250"/>
      <c r="B24" s="2">
        <v>13.61</v>
      </c>
      <c r="C24" s="20">
        <v>2</v>
      </c>
      <c r="D24" s="550">
        <f t="shared" si="5"/>
        <v>27.22</v>
      </c>
      <c r="E24" s="551">
        <v>42198</v>
      </c>
      <c r="F24" s="550">
        <f t="shared" si="0"/>
        <v>27.22</v>
      </c>
      <c r="G24" s="552" t="s">
        <v>236</v>
      </c>
      <c r="H24" s="553">
        <v>36</v>
      </c>
      <c r="I24" s="506"/>
      <c r="J24" s="250"/>
      <c r="K24" s="2">
        <v>13.61</v>
      </c>
      <c r="L24" s="20"/>
      <c r="M24" s="629">
        <f t="shared" si="1"/>
        <v>0</v>
      </c>
      <c r="N24" s="643"/>
      <c r="O24" s="629">
        <f t="shared" si="2"/>
        <v>0</v>
      </c>
      <c r="P24" s="632"/>
      <c r="Q24" s="261"/>
      <c r="S24" s="250"/>
      <c r="T24" s="2">
        <v>13.61</v>
      </c>
      <c r="U24" s="20"/>
      <c r="V24" s="114">
        <f t="shared" si="3"/>
        <v>0</v>
      </c>
      <c r="W24" s="167"/>
      <c r="X24" s="114">
        <f t="shared" si="4"/>
        <v>0</v>
      </c>
      <c r="Y24" s="115"/>
      <c r="Z24" s="116"/>
      <c r="AA24" s="435"/>
    </row>
    <row r="25" spans="1:27" x14ac:dyDescent="0.25">
      <c r="A25" s="250"/>
      <c r="B25" s="2">
        <v>13.61</v>
      </c>
      <c r="C25" s="20">
        <v>25</v>
      </c>
      <c r="D25" s="550">
        <f t="shared" si="5"/>
        <v>340.25</v>
      </c>
      <c r="E25" s="551">
        <v>42205</v>
      </c>
      <c r="F25" s="550">
        <f t="shared" si="0"/>
        <v>340.25</v>
      </c>
      <c r="G25" s="552" t="s">
        <v>246</v>
      </c>
      <c r="H25" s="553">
        <v>36</v>
      </c>
      <c r="I25" s="506"/>
      <c r="J25" s="250"/>
      <c r="K25" s="2">
        <v>13.61</v>
      </c>
      <c r="L25" s="20"/>
      <c r="M25" s="629">
        <f t="shared" si="1"/>
        <v>0</v>
      </c>
      <c r="N25" s="643"/>
      <c r="O25" s="629">
        <f t="shared" si="2"/>
        <v>0</v>
      </c>
      <c r="P25" s="632"/>
      <c r="Q25" s="261"/>
      <c r="S25" s="250"/>
      <c r="T25" s="2">
        <v>13.61</v>
      </c>
      <c r="U25" s="20"/>
      <c r="V25" s="114">
        <f t="shared" si="3"/>
        <v>0</v>
      </c>
      <c r="W25" s="167"/>
      <c r="X25" s="114">
        <f t="shared" si="4"/>
        <v>0</v>
      </c>
      <c r="Y25" s="115"/>
      <c r="Z25" s="116"/>
      <c r="AA25" s="435"/>
    </row>
    <row r="26" spans="1:27" x14ac:dyDescent="0.25">
      <c r="A26" s="250"/>
      <c r="B26" s="2">
        <v>13.61</v>
      </c>
      <c r="C26" s="20">
        <v>15</v>
      </c>
      <c r="D26" s="550">
        <f t="shared" si="5"/>
        <v>204.14999999999998</v>
      </c>
      <c r="E26" s="551">
        <v>42215</v>
      </c>
      <c r="F26" s="550">
        <f t="shared" si="0"/>
        <v>204.14999999999998</v>
      </c>
      <c r="G26" s="552" t="s">
        <v>254</v>
      </c>
      <c r="H26" s="553">
        <v>37</v>
      </c>
      <c r="I26" s="506"/>
      <c r="J26" s="250"/>
      <c r="K26" s="2">
        <v>13.61</v>
      </c>
      <c r="L26" s="20"/>
      <c r="M26" s="629">
        <f t="shared" si="1"/>
        <v>0</v>
      </c>
      <c r="N26" s="643"/>
      <c r="O26" s="629">
        <f t="shared" si="2"/>
        <v>0</v>
      </c>
      <c r="P26" s="632"/>
      <c r="Q26" s="261"/>
      <c r="S26" s="250"/>
      <c r="T26" s="2">
        <v>13.61</v>
      </c>
      <c r="U26" s="20"/>
      <c r="V26" s="114">
        <f t="shared" si="3"/>
        <v>0</v>
      </c>
      <c r="W26" s="167"/>
      <c r="X26" s="114">
        <f t="shared" si="4"/>
        <v>0</v>
      </c>
      <c r="Y26" s="115"/>
      <c r="Z26" s="116"/>
      <c r="AA26" s="435"/>
    </row>
    <row r="27" spans="1:27" x14ac:dyDescent="0.25">
      <c r="A27" s="250"/>
      <c r="B27" s="2">
        <v>13.61</v>
      </c>
      <c r="C27" s="20"/>
      <c r="D27" s="550">
        <f t="shared" si="5"/>
        <v>0</v>
      </c>
      <c r="E27" s="551"/>
      <c r="F27" s="550">
        <f t="shared" si="0"/>
        <v>0</v>
      </c>
      <c r="G27" s="552"/>
      <c r="H27" s="553"/>
      <c r="I27" s="506"/>
      <c r="J27" s="250"/>
      <c r="K27" s="2">
        <v>13.61</v>
      </c>
      <c r="L27" s="20"/>
      <c r="M27" s="629">
        <f t="shared" si="1"/>
        <v>0</v>
      </c>
      <c r="N27" s="643"/>
      <c r="O27" s="629">
        <f t="shared" si="2"/>
        <v>0</v>
      </c>
      <c r="P27" s="632"/>
      <c r="Q27" s="261"/>
      <c r="S27" s="250"/>
      <c r="T27" s="2">
        <v>13.61</v>
      </c>
      <c r="U27" s="20"/>
      <c r="V27" s="114">
        <f t="shared" si="3"/>
        <v>0</v>
      </c>
      <c r="W27" s="167"/>
      <c r="X27" s="114">
        <f t="shared" si="4"/>
        <v>0</v>
      </c>
      <c r="Y27" s="115"/>
      <c r="Z27" s="116"/>
      <c r="AA27" s="435"/>
    </row>
    <row r="28" spans="1:27" x14ac:dyDescent="0.25">
      <c r="A28" s="250"/>
      <c r="B28" s="2">
        <v>13.61</v>
      </c>
      <c r="C28" s="20"/>
      <c r="D28" s="550">
        <f t="shared" si="5"/>
        <v>0</v>
      </c>
      <c r="E28" s="551"/>
      <c r="F28" s="550">
        <f t="shared" si="0"/>
        <v>0</v>
      </c>
      <c r="G28" s="552"/>
      <c r="H28" s="553"/>
      <c r="I28" s="506"/>
      <c r="J28" s="250"/>
      <c r="K28" s="2">
        <v>13.61</v>
      </c>
      <c r="L28" s="20"/>
      <c r="M28" s="629">
        <f t="shared" si="1"/>
        <v>0</v>
      </c>
      <c r="N28" s="643"/>
      <c r="O28" s="629">
        <f t="shared" si="2"/>
        <v>0</v>
      </c>
      <c r="P28" s="632"/>
      <c r="Q28" s="261"/>
      <c r="S28" s="250"/>
      <c r="T28" s="2">
        <v>13.61</v>
      </c>
      <c r="U28" s="20"/>
      <c r="V28" s="114">
        <f t="shared" si="3"/>
        <v>0</v>
      </c>
      <c r="W28" s="167"/>
      <c r="X28" s="114">
        <f t="shared" si="4"/>
        <v>0</v>
      </c>
      <c r="Y28" s="115"/>
      <c r="Z28" s="116"/>
      <c r="AA28" s="435"/>
    </row>
    <row r="29" spans="1:27" x14ac:dyDescent="0.25">
      <c r="A29" s="250"/>
      <c r="B29" s="2">
        <v>13.61</v>
      </c>
      <c r="C29" s="20"/>
      <c r="D29" s="550">
        <f t="shared" si="5"/>
        <v>0</v>
      </c>
      <c r="E29" s="551"/>
      <c r="F29" s="550">
        <f t="shared" si="0"/>
        <v>0</v>
      </c>
      <c r="G29" s="552"/>
      <c r="H29" s="553"/>
      <c r="I29" s="506"/>
      <c r="J29" s="250"/>
      <c r="K29" s="2">
        <v>13.61</v>
      </c>
      <c r="L29" s="20"/>
      <c r="M29" s="629">
        <f t="shared" si="1"/>
        <v>0</v>
      </c>
      <c r="N29" s="643"/>
      <c r="O29" s="629">
        <f t="shared" si="2"/>
        <v>0</v>
      </c>
      <c r="P29" s="632"/>
      <c r="Q29" s="261"/>
      <c r="S29" s="250"/>
      <c r="T29" s="2">
        <v>13.61</v>
      </c>
      <c r="U29" s="20"/>
      <c r="V29" s="114">
        <f t="shared" si="3"/>
        <v>0</v>
      </c>
      <c r="W29" s="167"/>
      <c r="X29" s="114">
        <f t="shared" si="4"/>
        <v>0</v>
      </c>
      <c r="Y29" s="115"/>
      <c r="Z29" s="116"/>
      <c r="AA29" s="435"/>
    </row>
    <row r="30" spans="1:27" x14ac:dyDescent="0.25">
      <c r="A30" s="250"/>
      <c r="B30" s="2">
        <v>13.61</v>
      </c>
      <c r="C30" s="20"/>
      <c r="D30" s="550">
        <f t="shared" si="5"/>
        <v>0</v>
      </c>
      <c r="E30" s="551"/>
      <c r="F30" s="550">
        <f t="shared" si="0"/>
        <v>0</v>
      </c>
      <c r="G30" s="552"/>
      <c r="H30" s="553"/>
      <c r="I30" s="506"/>
      <c r="J30" s="250"/>
      <c r="K30" s="2">
        <v>13.61</v>
      </c>
      <c r="L30" s="20"/>
      <c r="M30" s="629">
        <f t="shared" si="1"/>
        <v>0</v>
      </c>
      <c r="N30" s="643"/>
      <c r="O30" s="629">
        <f t="shared" si="2"/>
        <v>0</v>
      </c>
      <c r="P30" s="632"/>
      <c r="Q30" s="261"/>
      <c r="S30" s="250"/>
      <c r="T30" s="2">
        <v>13.61</v>
      </c>
      <c r="U30" s="20"/>
      <c r="V30" s="114">
        <f t="shared" si="3"/>
        <v>0</v>
      </c>
      <c r="W30" s="167"/>
      <c r="X30" s="114">
        <f t="shared" si="4"/>
        <v>0</v>
      </c>
      <c r="Y30" s="115"/>
      <c r="Z30" s="116"/>
      <c r="AA30" s="435"/>
    </row>
    <row r="31" spans="1:27" x14ac:dyDescent="0.25">
      <c r="A31" s="250"/>
      <c r="B31" s="2">
        <v>13.61</v>
      </c>
      <c r="C31" s="20"/>
      <c r="D31" s="550">
        <f t="shared" si="5"/>
        <v>0</v>
      </c>
      <c r="E31" s="551"/>
      <c r="F31" s="550">
        <f t="shared" si="0"/>
        <v>0</v>
      </c>
      <c r="G31" s="552"/>
      <c r="H31" s="553"/>
      <c r="I31" s="506"/>
      <c r="J31" s="250"/>
      <c r="K31" s="2">
        <v>13.61</v>
      </c>
      <c r="L31" s="20"/>
      <c r="M31" s="629">
        <f t="shared" si="1"/>
        <v>0</v>
      </c>
      <c r="N31" s="643"/>
      <c r="O31" s="629">
        <f t="shared" si="2"/>
        <v>0</v>
      </c>
      <c r="P31" s="632"/>
      <c r="Q31" s="261"/>
      <c r="S31" s="250"/>
      <c r="T31" s="2">
        <v>13.61</v>
      </c>
      <c r="U31" s="20"/>
      <c r="V31" s="114">
        <f t="shared" si="3"/>
        <v>0</v>
      </c>
      <c r="W31" s="167"/>
      <c r="X31" s="114">
        <f t="shared" si="4"/>
        <v>0</v>
      </c>
      <c r="Y31" s="115"/>
      <c r="Z31" s="116"/>
      <c r="AA31" s="435"/>
    </row>
    <row r="32" spans="1:27" x14ac:dyDescent="0.25">
      <c r="A32" s="250"/>
      <c r="B32" s="2">
        <v>13.61</v>
      </c>
      <c r="C32" s="20"/>
      <c r="D32" s="550">
        <f t="shared" si="5"/>
        <v>0</v>
      </c>
      <c r="E32" s="551"/>
      <c r="F32" s="550">
        <f t="shared" si="0"/>
        <v>0</v>
      </c>
      <c r="G32" s="552"/>
      <c r="H32" s="553"/>
      <c r="I32" s="506"/>
      <c r="J32" s="250"/>
      <c r="K32" s="2">
        <v>13.61</v>
      </c>
      <c r="L32" s="20"/>
      <c r="M32" s="629">
        <f t="shared" si="1"/>
        <v>0</v>
      </c>
      <c r="N32" s="643"/>
      <c r="O32" s="629">
        <f t="shared" si="2"/>
        <v>0</v>
      </c>
      <c r="P32" s="632"/>
      <c r="Q32" s="261"/>
      <c r="S32" s="250"/>
      <c r="T32" s="2">
        <v>13.61</v>
      </c>
      <c r="U32" s="20"/>
      <c r="V32" s="114">
        <f t="shared" si="3"/>
        <v>0</v>
      </c>
      <c r="W32" s="167"/>
      <c r="X32" s="114">
        <f t="shared" si="4"/>
        <v>0</v>
      </c>
      <c r="Y32" s="115"/>
      <c r="Z32" s="116"/>
      <c r="AA32" s="435"/>
    </row>
    <row r="33" spans="1:27" x14ac:dyDescent="0.25">
      <c r="A33" s="250"/>
      <c r="B33" s="2">
        <v>13.61</v>
      </c>
      <c r="C33" s="20"/>
      <c r="D33" s="550">
        <f t="shared" si="5"/>
        <v>0</v>
      </c>
      <c r="E33" s="551"/>
      <c r="F33" s="550">
        <f t="shared" si="0"/>
        <v>0</v>
      </c>
      <c r="G33" s="552"/>
      <c r="H33" s="553"/>
      <c r="I33" s="506"/>
      <c r="J33" s="250"/>
      <c r="K33" s="2">
        <v>13.61</v>
      </c>
      <c r="L33" s="20"/>
      <c r="M33" s="629">
        <f t="shared" si="1"/>
        <v>0</v>
      </c>
      <c r="N33" s="643"/>
      <c r="O33" s="629">
        <f t="shared" si="2"/>
        <v>0</v>
      </c>
      <c r="P33" s="632"/>
      <c r="Q33" s="261"/>
      <c r="S33" s="250"/>
      <c r="T33" s="2">
        <v>13.61</v>
      </c>
      <c r="U33" s="20"/>
      <c r="V33" s="114">
        <f t="shared" si="3"/>
        <v>0</v>
      </c>
      <c r="W33" s="167"/>
      <c r="X33" s="114">
        <f t="shared" si="4"/>
        <v>0</v>
      </c>
      <c r="Y33" s="115"/>
      <c r="Z33" s="116"/>
      <c r="AA33" s="435"/>
    </row>
    <row r="34" spans="1:27" x14ac:dyDescent="0.25">
      <c r="A34" s="250"/>
      <c r="B34" s="2">
        <v>13.61</v>
      </c>
      <c r="C34" s="20"/>
      <c r="D34" s="550">
        <f t="shared" si="5"/>
        <v>0</v>
      </c>
      <c r="E34" s="551"/>
      <c r="F34" s="550">
        <f t="shared" si="0"/>
        <v>0</v>
      </c>
      <c r="G34" s="552"/>
      <c r="H34" s="553"/>
      <c r="I34" s="506"/>
      <c r="J34" s="250"/>
      <c r="K34" s="2">
        <v>13.61</v>
      </c>
      <c r="L34" s="20"/>
      <c r="M34" s="629">
        <f t="shared" si="1"/>
        <v>0</v>
      </c>
      <c r="N34" s="643"/>
      <c r="O34" s="629">
        <f t="shared" si="2"/>
        <v>0</v>
      </c>
      <c r="P34" s="632"/>
      <c r="Q34" s="261"/>
      <c r="S34" s="250"/>
      <c r="T34" s="2">
        <v>13.61</v>
      </c>
      <c r="U34" s="20"/>
      <c r="V34" s="114">
        <f t="shared" si="3"/>
        <v>0</v>
      </c>
      <c r="W34" s="167"/>
      <c r="X34" s="114">
        <f t="shared" si="4"/>
        <v>0</v>
      </c>
      <c r="Y34" s="115"/>
      <c r="Z34" s="116"/>
      <c r="AA34" s="435"/>
    </row>
    <row r="35" spans="1:27" x14ac:dyDescent="0.25">
      <c r="A35" s="250" t="s">
        <v>22</v>
      </c>
      <c r="B35" s="2">
        <v>13.61</v>
      </c>
      <c r="C35" s="20"/>
      <c r="D35" s="550">
        <f t="shared" si="5"/>
        <v>0</v>
      </c>
      <c r="E35" s="551"/>
      <c r="F35" s="550">
        <f t="shared" si="0"/>
        <v>0</v>
      </c>
      <c r="G35" s="552"/>
      <c r="H35" s="553"/>
      <c r="I35" s="506"/>
      <c r="J35" s="250" t="s">
        <v>22</v>
      </c>
      <c r="K35" s="2">
        <v>13.61</v>
      </c>
      <c r="L35" s="20"/>
      <c r="M35" s="629">
        <f t="shared" si="1"/>
        <v>0</v>
      </c>
      <c r="N35" s="643"/>
      <c r="O35" s="629">
        <f t="shared" si="2"/>
        <v>0</v>
      </c>
      <c r="P35" s="632"/>
      <c r="Q35" s="261"/>
      <c r="S35" s="250" t="s">
        <v>22</v>
      </c>
      <c r="T35" s="2">
        <v>13.61</v>
      </c>
      <c r="U35" s="20"/>
      <c r="V35" s="114">
        <f t="shared" si="3"/>
        <v>0</v>
      </c>
      <c r="W35" s="167"/>
      <c r="X35" s="114">
        <f t="shared" si="4"/>
        <v>0</v>
      </c>
      <c r="Y35" s="115"/>
      <c r="Z35" s="116"/>
      <c r="AA35" s="435"/>
    </row>
    <row r="36" spans="1:27" x14ac:dyDescent="0.25">
      <c r="A36" s="251"/>
      <c r="B36" s="2">
        <v>13.61</v>
      </c>
      <c r="C36" s="20"/>
      <c r="D36" s="550">
        <f t="shared" si="5"/>
        <v>0</v>
      </c>
      <c r="E36" s="551"/>
      <c r="F36" s="550">
        <f t="shared" si="0"/>
        <v>0</v>
      </c>
      <c r="G36" s="552"/>
      <c r="H36" s="553"/>
      <c r="I36" s="506"/>
      <c r="J36" s="251"/>
      <c r="K36" s="2">
        <v>13.61</v>
      </c>
      <c r="L36" s="20"/>
      <c r="M36" s="629">
        <f t="shared" si="1"/>
        <v>0</v>
      </c>
      <c r="N36" s="643"/>
      <c r="O36" s="629">
        <f t="shared" si="2"/>
        <v>0</v>
      </c>
      <c r="P36" s="632"/>
      <c r="Q36" s="261"/>
      <c r="S36" s="251"/>
      <c r="T36" s="2">
        <v>13.61</v>
      </c>
      <c r="U36" s="20"/>
      <c r="V36" s="114">
        <f t="shared" si="3"/>
        <v>0</v>
      </c>
      <c r="W36" s="167"/>
      <c r="X36" s="114">
        <f t="shared" si="4"/>
        <v>0</v>
      </c>
      <c r="Y36" s="115"/>
      <c r="Z36" s="116"/>
      <c r="AA36" s="435"/>
    </row>
    <row r="37" spans="1:27" x14ac:dyDescent="0.25">
      <c r="A37" s="250"/>
      <c r="B37" s="2">
        <v>13.61</v>
      </c>
      <c r="C37" s="20"/>
      <c r="D37" s="550">
        <f t="shared" si="5"/>
        <v>0</v>
      </c>
      <c r="E37" s="551"/>
      <c r="F37" s="550">
        <f t="shared" si="0"/>
        <v>0</v>
      </c>
      <c r="G37" s="552"/>
      <c r="H37" s="553"/>
      <c r="I37" s="506"/>
      <c r="J37" s="250"/>
      <c r="K37" s="2">
        <v>13.61</v>
      </c>
      <c r="L37" s="20"/>
      <c r="M37" s="629">
        <f t="shared" si="1"/>
        <v>0</v>
      </c>
      <c r="N37" s="643"/>
      <c r="O37" s="629">
        <f t="shared" si="2"/>
        <v>0</v>
      </c>
      <c r="P37" s="632"/>
      <c r="Q37" s="261"/>
      <c r="S37" s="250"/>
      <c r="T37" s="2">
        <v>13.61</v>
      </c>
      <c r="U37" s="20"/>
      <c r="V37" s="114">
        <f t="shared" si="3"/>
        <v>0</v>
      </c>
      <c r="W37" s="167"/>
      <c r="X37" s="114">
        <f t="shared" si="4"/>
        <v>0</v>
      </c>
      <c r="Y37" s="115"/>
      <c r="Z37" s="116"/>
      <c r="AA37" s="435"/>
    </row>
    <row r="38" spans="1:27" x14ac:dyDescent="0.25">
      <c r="A38" s="250"/>
      <c r="B38" s="2">
        <v>13.61</v>
      </c>
      <c r="C38" s="20"/>
      <c r="D38" s="550">
        <f t="shared" si="5"/>
        <v>0</v>
      </c>
      <c r="E38" s="551"/>
      <c r="F38" s="550">
        <f t="shared" si="0"/>
        <v>0</v>
      </c>
      <c r="G38" s="552"/>
      <c r="H38" s="553"/>
      <c r="I38" s="506"/>
      <c r="J38" s="250"/>
      <c r="K38" s="2">
        <v>13.61</v>
      </c>
      <c r="L38" s="20"/>
      <c r="M38" s="629">
        <f t="shared" si="1"/>
        <v>0</v>
      </c>
      <c r="N38" s="643"/>
      <c r="O38" s="629">
        <f t="shared" si="2"/>
        <v>0</v>
      </c>
      <c r="P38" s="632"/>
      <c r="Q38" s="261"/>
      <c r="S38" s="250"/>
      <c r="T38" s="2">
        <v>13.61</v>
      </c>
      <c r="U38" s="20"/>
      <c r="V38" s="114">
        <f t="shared" si="3"/>
        <v>0</v>
      </c>
      <c r="W38" s="167"/>
      <c r="X38" s="114">
        <f t="shared" si="4"/>
        <v>0</v>
      </c>
      <c r="Y38" s="115"/>
      <c r="Z38" s="116"/>
      <c r="AA38" s="435"/>
    </row>
    <row r="39" spans="1:27" x14ac:dyDescent="0.25">
      <c r="A39" s="250"/>
      <c r="B39" s="2">
        <v>13.61</v>
      </c>
      <c r="C39" s="20"/>
      <c r="D39" s="550">
        <f t="shared" si="5"/>
        <v>0</v>
      </c>
      <c r="E39" s="551"/>
      <c r="F39" s="550">
        <f t="shared" si="0"/>
        <v>0</v>
      </c>
      <c r="G39" s="552"/>
      <c r="H39" s="553"/>
      <c r="J39" s="250"/>
      <c r="K39" s="2">
        <v>13.61</v>
      </c>
      <c r="L39" s="20"/>
      <c r="M39" s="629">
        <f t="shared" si="1"/>
        <v>0</v>
      </c>
      <c r="N39" s="643"/>
      <c r="O39" s="629">
        <f t="shared" si="2"/>
        <v>0</v>
      </c>
      <c r="P39" s="632"/>
      <c r="Q39" s="261"/>
      <c r="S39" s="250"/>
      <c r="T39" s="2">
        <v>13.61</v>
      </c>
      <c r="U39" s="20"/>
      <c r="V39" s="114">
        <f t="shared" si="3"/>
        <v>0</v>
      </c>
      <c r="W39" s="167"/>
      <c r="X39" s="114">
        <f t="shared" si="4"/>
        <v>0</v>
      </c>
      <c r="Y39" s="115"/>
      <c r="Z39" s="116"/>
      <c r="AA39" s="435"/>
    </row>
    <row r="40" spans="1:27" x14ac:dyDescent="0.25">
      <c r="A40" s="250"/>
      <c r="B40" s="2">
        <v>13.61</v>
      </c>
      <c r="C40" s="20"/>
      <c r="D40" s="550">
        <f t="shared" si="5"/>
        <v>0</v>
      </c>
      <c r="E40" s="551"/>
      <c r="F40" s="550">
        <f t="shared" si="0"/>
        <v>0</v>
      </c>
      <c r="G40" s="552"/>
      <c r="H40" s="553"/>
      <c r="J40" s="250"/>
      <c r="K40" s="2">
        <v>13.61</v>
      </c>
      <c r="L40" s="20"/>
      <c r="M40" s="629">
        <f t="shared" si="1"/>
        <v>0</v>
      </c>
      <c r="N40" s="643"/>
      <c r="O40" s="629">
        <f t="shared" si="2"/>
        <v>0</v>
      </c>
      <c r="P40" s="632"/>
      <c r="Q40" s="261"/>
      <c r="S40" s="250"/>
      <c r="T40" s="2">
        <v>13.61</v>
      </c>
      <c r="U40" s="20"/>
      <c r="V40" s="114">
        <f t="shared" si="3"/>
        <v>0</v>
      </c>
      <c r="W40" s="167"/>
      <c r="X40" s="114">
        <f t="shared" si="4"/>
        <v>0</v>
      </c>
      <c r="Y40" s="115"/>
      <c r="Z40" s="116"/>
      <c r="AA40" s="435"/>
    </row>
    <row r="41" spans="1:27" x14ac:dyDescent="0.25">
      <c r="A41" s="250"/>
      <c r="B41" s="2">
        <v>13.61</v>
      </c>
      <c r="C41" s="20"/>
      <c r="D41" s="550">
        <f t="shared" si="5"/>
        <v>0</v>
      </c>
      <c r="E41" s="551"/>
      <c r="F41" s="550">
        <f t="shared" si="0"/>
        <v>0</v>
      </c>
      <c r="G41" s="552"/>
      <c r="H41" s="553"/>
      <c r="J41" s="250"/>
      <c r="K41" s="2">
        <v>13.61</v>
      </c>
      <c r="L41" s="20"/>
      <c r="M41" s="629">
        <f t="shared" si="1"/>
        <v>0</v>
      </c>
      <c r="N41" s="643"/>
      <c r="O41" s="629">
        <f t="shared" si="2"/>
        <v>0</v>
      </c>
      <c r="P41" s="632"/>
      <c r="Q41" s="261"/>
      <c r="S41" s="250"/>
      <c r="T41" s="2">
        <v>13.61</v>
      </c>
      <c r="U41" s="20"/>
      <c r="V41" s="114">
        <f t="shared" si="3"/>
        <v>0</v>
      </c>
      <c r="W41" s="167"/>
      <c r="X41" s="114">
        <f t="shared" si="4"/>
        <v>0</v>
      </c>
      <c r="Y41" s="115"/>
      <c r="Z41" s="116"/>
      <c r="AA41" s="435"/>
    </row>
    <row r="42" spans="1:27" x14ac:dyDescent="0.25">
      <c r="A42" s="250"/>
      <c r="B42" s="2">
        <v>13.61</v>
      </c>
      <c r="C42" s="20"/>
      <c r="D42" s="550">
        <f t="shared" si="5"/>
        <v>0</v>
      </c>
      <c r="E42" s="551"/>
      <c r="F42" s="550">
        <f t="shared" si="0"/>
        <v>0</v>
      </c>
      <c r="G42" s="552"/>
      <c r="H42" s="553"/>
      <c r="J42" s="250"/>
      <c r="K42" s="2">
        <v>13.61</v>
      </c>
      <c r="L42" s="20"/>
      <c r="M42" s="629">
        <f t="shared" si="1"/>
        <v>0</v>
      </c>
      <c r="N42" s="643"/>
      <c r="O42" s="629">
        <f t="shared" si="2"/>
        <v>0</v>
      </c>
      <c r="P42" s="632"/>
      <c r="Q42" s="261"/>
      <c r="S42" s="250"/>
      <c r="T42" s="2">
        <v>13.61</v>
      </c>
      <c r="U42" s="20"/>
      <c r="V42" s="114">
        <f t="shared" si="3"/>
        <v>0</v>
      </c>
      <c r="W42" s="167"/>
      <c r="X42" s="114">
        <f t="shared" si="4"/>
        <v>0</v>
      </c>
      <c r="Y42" s="115"/>
      <c r="Z42" s="116"/>
      <c r="AA42" s="435"/>
    </row>
    <row r="43" spans="1:27" x14ac:dyDescent="0.25">
      <c r="A43" s="250"/>
      <c r="B43" s="2">
        <v>13.61</v>
      </c>
      <c r="C43" s="20"/>
      <c r="D43" s="550">
        <f t="shared" si="5"/>
        <v>0</v>
      </c>
      <c r="E43" s="551"/>
      <c r="F43" s="550">
        <f t="shared" si="0"/>
        <v>0</v>
      </c>
      <c r="G43" s="552"/>
      <c r="H43" s="553"/>
      <c r="J43" s="250"/>
      <c r="K43" s="2">
        <v>13.61</v>
      </c>
      <c r="L43" s="20"/>
      <c r="M43" s="629">
        <f t="shared" si="1"/>
        <v>0</v>
      </c>
      <c r="N43" s="643"/>
      <c r="O43" s="629">
        <f t="shared" si="2"/>
        <v>0</v>
      </c>
      <c r="P43" s="632"/>
      <c r="Q43" s="261"/>
      <c r="S43" s="250"/>
      <c r="T43" s="2">
        <v>13.61</v>
      </c>
      <c r="U43" s="20"/>
      <c r="V43" s="114">
        <f t="shared" si="3"/>
        <v>0</v>
      </c>
      <c r="W43" s="167"/>
      <c r="X43" s="114">
        <f t="shared" si="4"/>
        <v>0</v>
      </c>
      <c r="Y43" s="115"/>
      <c r="Z43" s="116"/>
      <c r="AA43" s="435"/>
    </row>
    <row r="44" spans="1:27" x14ac:dyDescent="0.25">
      <c r="A44" s="250"/>
      <c r="B44" s="2">
        <v>13.61</v>
      </c>
      <c r="C44" s="20"/>
      <c r="D44" s="550">
        <f t="shared" si="5"/>
        <v>0</v>
      </c>
      <c r="E44" s="551"/>
      <c r="F44" s="550">
        <f t="shared" si="0"/>
        <v>0</v>
      </c>
      <c r="G44" s="552"/>
      <c r="H44" s="553"/>
      <c r="J44" s="250"/>
      <c r="K44" s="2">
        <v>13.61</v>
      </c>
      <c r="L44" s="20"/>
      <c r="M44" s="629">
        <f t="shared" si="1"/>
        <v>0</v>
      </c>
      <c r="N44" s="643"/>
      <c r="O44" s="629">
        <f t="shared" si="2"/>
        <v>0</v>
      </c>
      <c r="P44" s="632"/>
      <c r="Q44" s="261"/>
      <c r="S44" s="250"/>
      <c r="T44" s="2">
        <v>13.61</v>
      </c>
      <c r="U44" s="20"/>
      <c r="V44" s="114">
        <f t="shared" si="3"/>
        <v>0</v>
      </c>
      <c r="W44" s="167"/>
      <c r="X44" s="114">
        <f t="shared" si="4"/>
        <v>0</v>
      </c>
      <c r="Y44" s="115"/>
      <c r="Z44" s="116"/>
      <c r="AA44" s="435"/>
    </row>
    <row r="45" spans="1:27" x14ac:dyDescent="0.25">
      <c r="A45" s="250"/>
      <c r="B45" s="2">
        <v>13.61</v>
      </c>
      <c r="C45" s="20"/>
      <c r="D45" s="550">
        <f t="shared" si="5"/>
        <v>0</v>
      </c>
      <c r="E45" s="551"/>
      <c r="F45" s="550">
        <f t="shared" si="0"/>
        <v>0</v>
      </c>
      <c r="G45" s="552"/>
      <c r="H45" s="553"/>
      <c r="J45" s="250"/>
      <c r="K45" s="2">
        <v>13.61</v>
      </c>
      <c r="L45" s="20"/>
      <c r="M45" s="629">
        <f t="shared" si="1"/>
        <v>0</v>
      </c>
      <c r="N45" s="643"/>
      <c r="O45" s="629">
        <f t="shared" si="2"/>
        <v>0</v>
      </c>
      <c r="P45" s="632"/>
      <c r="Q45" s="261"/>
      <c r="S45" s="250"/>
      <c r="T45" s="2">
        <v>13.61</v>
      </c>
      <c r="U45" s="20"/>
      <c r="V45" s="114">
        <f t="shared" si="3"/>
        <v>0</v>
      </c>
      <c r="W45" s="167"/>
      <c r="X45" s="114">
        <f t="shared" si="4"/>
        <v>0</v>
      </c>
      <c r="Y45" s="115"/>
      <c r="Z45" s="116"/>
      <c r="AA45" s="435"/>
    </row>
    <row r="46" spans="1:27" x14ac:dyDescent="0.25">
      <c r="A46" s="250"/>
      <c r="B46" s="2">
        <v>13.61</v>
      </c>
      <c r="C46" s="20"/>
      <c r="D46" s="550">
        <f t="shared" si="5"/>
        <v>0</v>
      </c>
      <c r="E46" s="551"/>
      <c r="F46" s="550">
        <f t="shared" si="0"/>
        <v>0</v>
      </c>
      <c r="G46" s="552"/>
      <c r="H46" s="553"/>
      <c r="J46" s="250"/>
      <c r="K46" s="2">
        <v>13.61</v>
      </c>
      <c r="L46" s="20"/>
      <c r="M46" s="629">
        <f t="shared" si="1"/>
        <v>0</v>
      </c>
      <c r="N46" s="643"/>
      <c r="O46" s="629">
        <f t="shared" si="2"/>
        <v>0</v>
      </c>
      <c r="P46" s="632"/>
      <c r="Q46" s="261"/>
      <c r="S46" s="250"/>
      <c r="T46" s="2">
        <v>13.61</v>
      </c>
      <c r="U46" s="20"/>
      <c r="V46" s="114">
        <f t="shared" si="3"/>
        <v>0</v>
      </c>
      <c r="W46" s="167"/>
      <c r="X46" s="114">
        <f t="shared" si="4"/>
        <v>0</v>
      </c>
      <c r="Y46" s="115"/>
      <c r="Z46" s="116"/>
      <c r="AA46" s="435"/>
    </row>
    <row r="47" spans="1:27" x14ac:dyDescent="0.25">
      <c r="A47" s="250"/>
      <c r="B47" s="2">
        <v>13.61</v>
      </c>
      <c r="C47" s="20"/>
      <c r="D47" s="550">
        <f t="shared" si="5"/>
        <v>0</v>
      </c>
      <c r="E47" s="551"/>
      <c r="F47" s="550">
        <f t="shared" si="0"/>
        <v>0</v>
      </c>
      <c r="G47" s="552"/>
      <c r="H47" s="553"/>
      <c r="J47" s="250"/>
      <c r="K47" s="2">
        <v>13.61</v>
      </c>
      <c r="L47" s="20"/>
      <c r="M47" s="629">
        <f t="shared" si="1"/>
        <v>0</v>
      </c>
      <c r="N47" s="643"/>
      <c r="O47" s="629">
        <f t="shared" si="2"/>
        <v>0</v>
      </c>
      <c r="P47" s="632"/>
      <c r="Q47" s="261"/>
      <c r="S47" s="250"/>
      <c r="T47" s="2">
        <v>13.61</v>
      </c>
      <c r="U47" s="20"/>
      <c r="V47" s="114">
        <f t="shared" si="3"/>
        <v>0</v>
      </c>
      <c r="W47" s="167"/>
      <c r="X47" s="114">
        <f t="shared" si="4"/>
        <v>0</v>
      </c>
      <c r="Y47" s="115"/>
      <c r="Z47" s="116"/>
      <c r="AA47" s="435"/>
    </row>
    <row r="48" spans="1:27" x14ac:dyDescent="0.25">
      <c r="A48" s="250"/>
      <c r="B48" s="2">
        <v>13.61</v>
      </c>
      <c r="C48" s="20"/>
      <c r="D48" s="550">
        <f t="shared" si="5"/>
        <v>0</v>
      </c>
      <c r="E48" s="551"/>
      <c r="F48" s="550">
        <f t="shared" si="0"/>
        <v>0</v>
      </c>
      <c r="G48" s="552"/>
      <c r="H48" s="553"/>
      <c r="J48" s="250"/>
      <c r="K48" s="2">
        <v>13.61</v>
      </c>
      <c r="L48" s="20"/>
      <c r="M48" s="629">
        <f t="shared" si="1"/>
        <v>0</v>
      </c>
      <c r="N48" s="643"/>
      <c r="O48" s="629">
        <f t="shared" si="2"/>
        <v>0</v>
      </c>
      <c r="P48" s="632"/>
      <c r="Q48" s="261"/>
      <c r="S48" s="250"/>
      <c r="T48" s="2">
        <v>13.61</v>
      </c>
      <c r="U48" s="20"/>
      <c r="V48" s="114">
        <f t="shared" si="3"/>
        <v>0</v>
      </c>
      <c r="W48" s="167"/>
      <c r="X48" s="114">
        <f t="shared" si="4"/>
        <v>0</v>
      </c>
      <c r="Y48" s="115"/>
      <c r="Z48" s="116"/>
      <c r="AA48" s="435"/>
    </row>
    <row r="49" spans="1:27" x14ac:dyDescent="0.25">
      <c r="A49" s="250"/>
      <c r="B49" s="2">
        <v>13.61</v>
      </c>
      <c r="C49" s="20"/>
      <c r="D49" s="550">
        <f t="shared" si="5"/>
        <v>0</v>
      </c>
      <c r="E49" s="551"/>
      <c r="F49" s="550">
        <f t="shared" si="0"/>
        <v>0</v>
      </c>
      <c r="G49" s="552"/>
      <c r="H49" s="553"/>
      <c r="J49" s="250"/>
      <c r="K49" s="2">
        <v>13.61</v>
      </c>
      <c r="L49" s="20"/>
      <c r="M49" s="629">
        <f t="shared" si="1"/>
        <v>0</v>
      </c>
      <c r="N49" s="643"/>
      <c r="O49" s="629">
        <f t="shared" si="2"/>
        <v>0</v>
      </c>
      <c r="P49" s="632"/>
      <c r="Q49" s="261"/>
      <c r="S49" s="250"/>
      <c r="T49" s="2">
        <v>13.61</v>
      </c>
      <c r="U49" s="20"/>
      <c r="V49" s="114">
        <f t="shared" si="3"/>
        <v>0</v>
      </c>
      <c r="W49" s="167"/>
      <c r="X49" s="114">
        <f t="shared" si="4"/>
        <v>0</v>
      </c>
      <c r="Y49" s="115"/>
      <c r="Z49" s="116"/>
      <c r="AA49" s="435"/>
    </row>
    <row r="50" spans="1:27" x14ac:dyDescent="0.25">
      <c r="A50" s="250"/>
      <c r="B50" s="2">
        <v>13.61</v>
      </c>
      <c r="C50" s="20"/>
      <c r="D50" s="550">
        <f t="shared" si="5"/>
        <v>0</v>
      </c>
      <c r="E50" s="551"/>
      <c r="F50" s="550">
        <f t="shared" si="0"/>
        <v>0</v>
      </c>
      <c r="G50" s="552"/>
      <c r="H50" s="553"/>
      <c r="J50" s="250"/>
      <c r="K50" s="2">
        <v>13.61</v>
      </c>
      <c r="L50" s="20"/>
      <c r="M50" s="629">
        <f t="shared" si="1"/>
        <v>0</v>
      </c>
      <c r="N50" s="643"/>
      <c r="O50" s="629">
        <f t="shared" si="2"/>
        <v>0</v>
      </c>
      <c r="P50" s="632"/>
      <c r="Q50" s="261"/>
      <c r="S50" s="250"/>
      <c r="T50" s="2">
        <v>13.61</v>
      </c>
      <c r="U50" s="20"/>
      <c r="V50" s="114">
        <f t="shared" si="3"/>
        <v>0</v>
      </c>
      <c r="W50" s="167"/>
      <c r="X50" s="114">
        <f t="shared" si="4"/>
        <v>0</v>
      </c>
      <c r="Y50" s="115"/>
      <c r="Z50" s="116"/>
      <c r="AA50" s="435"/>
    </row>
    <row r="51" spans="1:27" x14ac:dyDescent="0.25">
      <c r="A51" s="250"/>
      <c r="B51" s="2">
        <v>13.61</v>
      </c>
      <c r="C51" s="20"/>
      <c r="D51" s="550">
        <f t="shared" si="5"/>
        <v>0</v>
      </c>
      <c r="E51" s="551"/>
      <c r="F51" s="550">
        <f t="shared" si="0"/>
        <v>0</v>
      </c>
      <c r="G51" s="552"/>
      <c r="H51" s="553"/>
      <c r="J51" s="250"/>
      <c r="K51" s="2">
        <v>13.61</v>
      </c>
      <c r="L51" s="20"/>
      <c r="M51" s="629">
        <f t="shared" si="1"/>
        <v>0</v>
      </c>
      <c r="N51" s="643"/>
      <c r="O51" s="629">
        <f t="shared" si="2"/>
        <v>0</v>
      </c>
      <c r="P51" s="632"/>
      <c r="Q51" s="261"/>
      <c r="S51" s="250"/>
      <c r="T51" s="2">
        <v>13.61</v>
      </c>
      <c r="U51" s="20"/>
      <c r="V51" s="114">
        <f t="shared" si="3"/>
        <v>0</v>
      </c>
      <c r="W51" s="167"/>
      <c r="X51" s="114">
        <f t="shared" si="4"/>
        <v>0</v>
      </c>
      <c r="Y51" s="115"/>
      <c r="Z51" s="116"/>
      <c r="AA51" s="435"/>
    </row>
    <row r="52" spans="1:27" x14ac:dyDescent="0.25">
      <c r="A52" s="250"/>
      <c r="B52" s="2">
        <v>13.61</v>
      </c>
      <c r="C52" s="20"/>
      <c r="D52" s="550">
        <f t="shared" si="5"/>
        <v>0</v>
      </c>
      <c r="E52" s="551"/>
      <c r="F52" s="550">
        <f t="shared" si="0"/>
        <v>0</v>
      </c>
      <c r="G52" s="552"/>
      <c r="H52" s="553"/>
      <c r="J52" s="250"/>
      <c r="K52" s="2">
        <v>13.61</v>
      </c>
      <c r="L52" s="20"/>
      <c r="M52" s="629">
        <f t="shared" si="1"/>
        <v>0</v>
      </c>
      <c r="N52" s="643"/>
      <c r="O52" s="629">
        <f t="shared" si="2"/>
        <v>0</v>
      </c>
      <c r="P52" s="632"/>
      <c r="Q52" s="261"/>
      <c r="S52" s="250"/>
      <c r="T52" s="2">
        <v>13.61</v>
      </c>
      <c r="U52" s="20"/>
      <c r="V52" s="114">
        <f t="shared" si="3"/>
        <v>0</v>
      </c>
      <c r="W52" s="167"/>
      <c r="X52" s="114">
        <f t="shared" si="4"/>
        <v>0</v>
      </c>
      <c r="Y52" s="115"/>
      <c r="Z52" s="116"/>
      <c r="AA52" s="435"/>
    </row>
    <row r="53" spans="1:27" x14ac:dyDescent="0.25">
      <c r="A53" s="250"/>
      <c r="B53" s="2">
        <v>13.61</v>
      </c>
      <c r="C53" s="20"/>
      <c r="D53" s="550">
        <f t="shared" si="5"/>
        <v>0</v>
      </c>
      <c r="E53" s="551"/>
      <c r="F53" s="550">
        <f t="shared" si="0"/>
        <v>0</v>
      </c>
      <c r="G53" s="552"/>
      <c r="H53" s="553"/>
      <c r="J53" s="250"/>
      <c r="K53" s="2">
        <v>13.61</v>
      </c>
      <c r="L53" s="20"/>
      <c r="M53" s="629">
        <f t="shared" si="1"/>
        <v>0</v>
      </c>
      <c r="N53" s="643"/>
      <c r="O53" s="629">
        <f t="shared" si="2"/>
        <v>0</v>
      </c>
      <c r="P53" s="632"/>
      <c r="Q53" s="261"/>
      <c r="S53" s="250"/>
      <c r="T53" s="2">
        <v>13.61</v>
      </c>
      <c r="U53" s="20"/>
      <c r="V53" s="114">
        <f t="shared" si="3"/>
        <v>0</v>
      </c>
      <c r="W53" s="167"/>
      <c r="X53" s="114">
        <f t="shared" si="4"/>
        <v>0</v>
      </c>
      <c r="Y53" s="115"/>
      <c r="Z53" s="116"/>
      <c r="AA53" s="435"/>
    </row>
    <row r="54" spans="1:27" x14ac:dyDescent="0.25">
      <c r="A54" s="250"/>
      <c r="B54" s="2">
        <v>13.61</v>
      </c>
      <c r="C54" s="20"/>
      <c r="D54" s="550">
        <f t="shared" si="5"/>
        <v>0</v>
      </c>
      <c r="E54" s="551"/>
      <c r="F54" s="550">
        <f t="shared" si="0"/>
        <v>0</v>
      </c>
      <c r="G54" s="552"/>
      <c r="H54" s="553"/>
      <c r="J54" s="250"/>
      <c r="K54" s="2">
        <v>13.61</v>
      </c>
      <c r="L54" s="20"/>
      <c r="M54" s="629">
        <f t="shared" si="1"/>
        <v>0</v>
      </c>
      <c r="N54" s="643"/>
      <c r="O54" s="629">
        <f t="shared" si="2"/>
        <v>0</v>
      </c>
      <c r="P54" s="632"/>
      <c r="Q54" s="261"/>
      <c r="S54" s="250"/>
      <c r="T54" s="2">
        <v>13.61</v>
      </c>
      <c r="U54" s="20"/>
      <c r="V54" s="114">
        <f t="shared" si="3"/>
        <v>0</v>
      </c>
      <c r="W54" s="167"/>
      <c r="X54" s="114">
        <f t="shared" si="4"/>
        <v>0</v>
      </c>
      <c r="Y54" s="115"/>
      <c r="Z54" s="116"/>
      <c r="AA54" s="435"/>
    </row>
    <row r="55" spans="1:27" x14ac:dyDescent="0.25">
      <c r="A55" s="250"/>
      <c r="B55" s="2">
        <v>13.61</v>
      </c>
      <c r="C55" s="20"/>
      <c r="D55" s="550">
        <f t="shared" si="5"/>
        <v>0</v>
      </c>
      <c r="E55" s="551"/>
      <c r="F55" s="550">
        <f t="shared" si="0"/>
        <v>0</v>
      </c>
      <c r="G55" s="552"/>
      <c r="H55" s="553"/>
      <c r="J55" s="250"/>
      <c r="K55" s="2">
        <v>13.61</v>
      </c>
      <c r="L55" s="20"/>
      <c r="M55" s="629">
        <f t="shared" si="1"/>
        <v>0</v>
      </c>
      <c r="N55" s="643"/>
      <c r="O55" s="629">
        <f t="shared" si="2"/>
        <v>0</v>
      </c>
      <c r="P55" s="632"/>
      <c r="Q55" s="261"/>
      <c r="S55" s="250"/>
      <c r="T55" s="2">
        <v>13.61</v>
      </c>
      <c r="U55" s="20"/>
      <c r="V55" s="114">
        <f t="shared" si="3"/>
        <v>0</v>
      </c>
      <c r="W55" s="167"/>
      <c r="X55" s="114">
        <f t="shared" si="4"/>
        <v>0</v>
      </c>
      <c r="Y55" s="115"/>
      <c r="Z55" s="116"/>
      <c r="AA55" s="435"/>
    </row>
    <row r="56" spans="1:27" x14ac:dyDescent="0.25">
      <c r="A56" s="250"/>
      <c r="B56" s="2">
        <v>13.61</v>
      </c>
      <c r="C56" s="20"/>
      <c r="D56" s="550">
        <f t="shared" si="5"/>
        <v>0</v>
      </c>
      <c r="E56" s="551"/>
      <c r="F56" s="550">
        <f t="shared" si="0"/>
        <v>0</v>
      </c>
      <c r="G56" s="552"/>
      <c r="H56" s="553"/>
      <c r="J56" s="250"/>
      <c r="K56" s="2">
        <v>13.61</v>
      </c>
      <c r="L56" s="20"/>
      <c r="M56" s="629">
        <f t="shared" si="1"/>
        <v>0</v>
      </c>
      <c r="N56" s="643"/>
      <c r="O56" s="629">
        <f t="shared" si="2"/>
        <v>0</v>
      </c>
      <c r="P56" s="632"/>
      <c r="Q56" s="261"/>
      <c r="S56" s="250"/>
      <c r="T56" s="2">
        <v>13.61</v>
      </c>
      <c r="U56" s="20"/>
      <c r="V56" s="114">
        <f t="shared" si="3"/>
        <v>0</v>
      </c>
      <c r="W56" s="167"/>
      <c r="X56" s="114">
        <f t="shared" si="4"/>
        <v>0</v>
      </c>
      <c r="Y56" s="115"/>
      <c r="Z56" s="116"/>
      <c r="AA56" s="435"/>
    </row>
    <row r="57" spans="1:27" x14ac:dyDescent="0.25">
      <c r="A57" s="250"/>
      <c r="B57" s="2">
        <v>13.61</v>
      </c>
      <c r="C57" s="20"/>
      <c r="D57" s="550">
        <f t="shared" si="5"/>
        <v>0</v>
      </c>
      <c r="E57" s="551"/>
      <c r="F57" s="550">
        <f t="shared" si="0"/>
        <v>0</v>
      </c>
      <c r="G57" s="552"/>
      <c r="H57" s="553"/>
      <c r="J57" s="250"/>
      <c r="K57" s="2">
        <v>13.61</v>
      </c>
      <c r="L57" s="20"/>
      <c r="M57" s="629">
        <f t="shared" si="1"/>
        <v>0</v>
      </c>
      <c r="N57" s="643"/>
      <c r="O57" s="629">
        <f t="shared" si="2"/>
        <v>0</v>
      </c>
      <c r="P57" s="632"/>
      <c r="Q57" s="261"/>
      <c r="S57" s="250"/>
      <c r="T57" s="2">
        <v>13.61</v>
      </c>
      <c r="U57" s="20"/>
      <c r="V57" s="114">
        <f t="shared" si="3"/>
        <v>0</v>
      </c>
      <c r="W57" s="167"/>
      <c r="X57" s="114">
        <f t="shared" si="4"/>
        <v>0</v>
      </c>
      <c r="Y57" s="115"/>
      <c r="Z57" s="116"/>
      <c r="AA57" s="435"/>
    </row>
    <row r="58" spans="1:27" x14ac:dyDescent="0.25">
      <c r="A58" s="250"/>
      <c r="B58" s="2">
        <v>13.61</v>
      </c>
      <c r="C58" s="20"/>
      <c r="D58" s="550">
        <f t="shared" si="5"/>
        <v>0</v>
      </c>
      <c r="E58" s="551"/>
      <c r="F58" s="550">
        <f t="shared" si="0"/>
        <v>0</v>
      </c>
      <c r="G58" s="552"/>
      <c r="H58" s="553"/>
      <c r="J58" s="250"/>
      <c r="K58" s="2">
        <v>13.61</v>
      </c>
      <c r="L58" s="20"/>
      <c r="M58" s="629">
        <f t="shared" si="1"/>
        <v>0</v>
      </c>
      <c r="N58" s="643"/>
      <c r="O58" s="629">
        <f t="shared" si="2"/>
        <v>0</v>
      </c>
      <c r="P58" s="632"/>
      <c r="Q58" s="261"/>
      <c r="S58" s="250"/>
      <c r="T58" s="2">
        <v>13.61</v>
      </c>
      <c r="U58" s="20"/>
      <c r="V58" s="114">
        <f t="shared" si="3"/>
        <v>0</v>
      </c>
      <c r="W58" s="167"/>
      <c r="X58" s="114">
        <f t="shared" si="4"/>
        <v>0</v>
      </c>
      <c r="Y58" s="115"/>
      <c r="Z58" s="116"/>
      <c r="AA58" s="435"/>
    </row>
    <row r="59" spans="1:27" x14ac:dyDescent="0.25">
      <c r="A59" s="250"/>
      <c r="B59" s="2">
        <v>13.61</v>
      </c>
      <c r="C59" s="20"/>
      <c r="D59" s="550">
        <f t="shared" si="5"/>
        <v>0</v>
      </c>
      <c r="E59" s="551"/>
      <c r="F59" s="550">
        <f t="shared" si="0"/>
        <v>0</v>
      </c>
      <c r="G59" s="552"/>
      <c r="H59" s="553"/>
      <c r="J59" s="250"/>
      <c r="K59" s="2">
        <v>13.61</v>
      </c>
      <c r="L59" s="20"/>
      <c r="M59" s="629">
        <f t="shared" si="1"/>
        <v>0</v>
      </c>
      <c r="N59" s="643"/>
      <c r="O59" s="629">
        <f t="shared" si="2"/>
        <v>0</v>
      </c>
      <c r="P59" s="632"/>
      <c r="Q59" s="261"/>
      <c r="S59" s="250"/>
      <c r="T59" s="2">
        <v>13.61</v>
      </c>
      <c r="U59" s="20"/>
      <c r="V59" s="114">
        <f t="shared" si="3"/>
        <v>0</v>
      </c>
      <c r="W59" s="167"/>
      <c r="X59" s="114">
        <f t="shared" si="4"/>
        <v>0</v>
      </c>
      <c r="Y59" s="115"/>
      <c r="Z59" s="116"/>
      <c r="AA59" s="435"/>
    </row>
    <row r="60" spans="1:27" x14ac:dyDescent="0.25">
      <c r="A60" s="250"/>
      <c r="B60" s="2">
        <v>13.61</v>
      </c>
      <c r="C60" s="20"/>
      <c r="D60" s="550">
        <f t="shared" si="5"/>
        <v>0</v>
      </c>
      <c r="E60" s="551"/>
      <c r="F60" s="550">
        <f t="shared" si="0"/>
        <v>0</v>
      </c>
      <c r="G60" s="552"/>
      <c r="H60" s="553"/>
      <c r="J60" s="250"/>
      <c r="K60" s="2">
        <v>13.61</v>
      </c>
      <c r="L60" s="20"/>
      <c r="M60" s="629">
        <f t="shared" si="1"/>
        <v>0</v>
      </c>
      <c r="N60" s="643"/>
      <c r="O60" s="629">
        <f t="shared" si="2"/>
        <v>0</v>
      </c>
      <c r="P60" s="632"/>
      <c r="Q60" s="261"/>
      <c r="S60" s="250"/>
      <c r="T60" s="2">
        <v>13.61</v>
      </c>
      <c r="U60" s="20"/>
      <c r="V60" s="114">
        <f t="shared" si="3"/>
        <v>0</v>
      </c>
      <c r="W60" s="167"/>
      <c r="X60" s="114">
        <f t="shared" si="4"/>
        <v>0</v>
      </c>
      <c r="Y60" s="115"/>
      <c r="Z60" s="116"/>
      <c r="AA60" s="435"/>
    </row>
    <row r="61" spans="1:27" x14ac:dyDescent="0.25">
      <c r="A61" s="250"/>
      <c r="B61" s="2">
        <v>13.61</v>
      </c>
      <c r="C61" s="20"/>
      <c r="D61" s="550">
        <f t="shared" si="5"/>
        <v>0</v>
      </c>
      <c r="E61" s="551"/>
      <c r="F61" s="550">
        <f t="shared" si="0"/>
        <v>0</v>
      </c>
      <c r="G61" s="552"/>
      <c r="H61" s="553"/>
      <c r="J61" s="250"/>
      <c r="K61" s="2">
        <v>13.61</v>
      </c>
      <c r="L61" s="20"/>
      <c r="M61" s="100">
        <f t="shared" si="1"/>
        <v>0</v>
      </c>
      <c r="N61" s="185"/>
      <c r="O61" s="100">
        <f t="shared" si="2"/>
        <v>0</v>
      </c>
      <c r="P61" s="111"/>
      <c r="Q61" s="101"/>
      <c r="S61" s="250"/>
      <c r="T61" s="2">
        <v>13.61</v>
      </c>
      <c r="U61" s="20"/>
      <c r="V61" s="114">
        <f t="shared" si="3"/>
        <v>0</v>
      </c>
      <c r="W61" s="167"/>
      <c r="X61" s="114">
        <f t="shared" si="4"/>
        <v>0</v>
      </c>
      <c r="Y61" s="115"/>
      <c r="Z61" s="116"/>
      <c r="AA61" s="435"/>
    </row>
    <row r="62" spans="1:27" x14ac:dyDescent="0.25">
      <c r="A62" s="250"/>
      <c r="B62" s="2">
        <v>13.61</v>
      </c>
      <c r="C62" s="20"/>
      <c r="D62" s="550">
        <f t="shared" si="5"/>
        <v>0</v>
      </c>
      <c r="E62" s="551"/>
      <c r="F62" s="550">
        <f t="shared" si="0"/>
        <v>0</v>
      </c>
      <c r="G62" s="552"/>
      <c r="H62" s="553"/>
      <c r="J62" s="250"/>
      <c r="K62" s="2">
        <v>13.61</v>
      </c>
      <c r="L62" s="20"/>
      <c r="M62" s="100">
        <f t="shared" si="1"/>
        <v>0</v>
      </c>
      <c r="N62" s="185"/>
      <c r="O62" s="100">
        <f t="shared" si="2"/>
        <v>0</v>
      </c>
      <c r="P62" s="111"/>
      <c r="Q62" s="101"/>
      <c r="S62" s="250"/>
      <c r="T62" s="2">
        <v>13.61</v>
      </c>
      <c r="U62" s="20"/>
      <c r="V62" s="114">
        <f t="shared" si="3"/>
        <v>0</v>
      </c>
      <c r="W62" s="167"/>
      <c r="X62" s="114">
        <f t="shared" si="4"/>
        <v>0</v>
      </c>
      <c r="Y62" s="115"/>
      <c r="Z62" s="116"/>
      <c r="AA62" s="435"/>
    </row>
    <row r="63" spans="1:27" x14ac:dyDescent="0.25">
      <c r="A63" s="250"/>
      <c r="B63" s="2">
        <v>13.61</v>
      </c>
      <c r="C63" s="20"/>
      <c r="D63" s="550">
        <f t="shared" si="5"/>
        <v>0</v>
      </c>
      <c r="E63" s="551"/>
      <c r="F63" s="550">
        <f t="shared" si="0"/>
        <v>0</v>
      </c>
      <c r="G63" s="552"/>
      <c r="H63" s="553"/>
      <c r="J63" s="250"/>
      <c r="K63" s="2">
        <v>13.61</v>
      </c>
      <c r="L63" s="20"/>
      <c r="M63" s="100">
        <f t="shared" si="1"/>
        <v>0</v>
      </c>
      <c r="N63" s="185"/>
      <c r="O63" s="100">
        <f t="shared" si="2"/>
        <v>0</v>
      </c>
      <c r="P63" s="111"/>
      <c r="Q63" s="101"/>
      <c r="S63" s="250"/>
      <c r="T63" s="2">
        <v>13.61</v>
      </c>
      <c r="U63" s="20"/>
      <c r="V63" s="114">
        <f t="shared" si="3"/>
        <v>0</v>
      </c>
      <c r="W63" s="167"/>
      <c r="X63" s="114">
        <f t="shared" si="4"/>
        <v>0</v>
      </c>
      <c r="Y63" s="115"/>
      <c r="Z63" s="116"/>
      <c r="AA63" s="435"/>
    </row>
    <row r="64" spans="1:27" x14ac:dyDescent="0.25">
      <c r="A64" s="250"/>
      <c r="B64" s="2">
        <v>13.61</v>
      </c>
      <c r="C64" s="20"/>
      <c r="D64" s="550">
        <f t="shared" si="5"/>
        <v>0</v>
      </c>
      <c r="E64" s="551"/>
      <c r="F64" s="550">
        <f t="shared" si="0"/>
        <v>0</v>
      </c>
      <c r="G64" s="552"/>
      <c r="H64" s="553"/>
      <c r="J64" s="250"/>
      <c r="K64" s="2">
        <v>13.61</v>
      </c>
      <c r="L64" s="20"/>
      <c r="M64" s="114">
        <f t="shared" si="1"/>
        <v>0</v>
      </c>
      <c r="N64" s="167"/>
      <c r="O64" s="114">
        <f t="shared" si="2"/>
        <v>0</v>
      </c>
      <c r="P64" s="115"/>
      <c r="Q64" s="116"/>
      <c r="S64" s="250"/>
      <c r="T64" s="2">
        <v>13.61</v>
      </c>
      <c r="U64" s="20"/>
      <c r="V64" s="114">
        <f t="shared" si="3"/>
        <v>0</v>
      </c>
      <c r="W64" s="167"/>
      <c r="X64" s="114">
        <f t="shared" si="4"/>
        <v>0</v>
      </c>
      <c r="Y64" s="115"/>
      <c r="Z64" s="116"/>
      <c r="AA64" s="435"/>
    </row>
    <row r="65" spans="1:27" x14ac:dyDescent="0.25">
      <c r="A65" s="250"/>
      <c r="B65" s="2">
        <v>13.61</v>
      </c>
      <c r="C65" s="20"/>
      <c r="D65" s="550">
        <f t="shared" si="5"/>
        <v>0</v>
      </c>
      <c r="E65" s="551"/>
      <c r="F65" s="550">
        <f t="shared" si="0"/>
        <v>0</v>
      </c>
      <c r="G65" s="552"/>
      <c r="H65" s="553"/>
      <c r="J65" s="250"/>
      <c r="K65" s="2">
        <v>13.61</v>
      </c>
      <c r="L65" s="20"/>
      <c r="M65" s="114">
        <f t="shared" si="1"/>
        <v>0</v>
      </c>
      <c r="N65" s="167"/>
      <c r="O65" s="114">
        <f t="shared" si="2"/>
        <v>0</v>
      </c>
      <c r="P65" s="115"/>
      <c r="Q65" s="116"/>
      <c r="S65" s="250"/>
      <c r="T65" s="2">
        <v>13.61</v>
      </c>
      <c r="U65" s="20"/>
      <c r="V65" s="114">
        <f t="shared" si="3"/>
        <v>0</v>
      </c>
      <c r="W65" s="167"/>
      <c r="X65" s="114">
        <f t="shared" si="4"/>
        <v>0</v>
      </c>
      <c r="Y65" s="115"/>
      <c r="Z65" s="116"/>
      <c r="AA65" s="435"/>
    </row>
    <row r="66" spans="1:27" x14ac:dyDescent="0.25">
      <c r="A66" s="250"/>
      <c r="B66" s="2">
        <v>13.61</v>
      </c>
      <c r="C66" s="20"/>
      <c r="D66" s="550">
        <f t="shared" si="5"/>
        <v>0</v>
      </c>
      <c r="E66" s="551"/>
      <c r="F66" s="550">
        <f t="shared" si="0"/>
        <v>0</v>
      </c>
      <c r="G66" s="552"/>
      <c r="H66" s="553"/>
      <c r="J66" s="250"/>
      <c r="K66" s="2">
        <v>13.61</v>
      </c>
      <c r="L66" s="20"/>
      <c r="M66" s="114">
        <f t="shared" si="1"/>
        <v>0</v>
      </c>
      <c r="N66" s="167"/>
      <c r="O66" s="114">
        <f t="shared" si="2"/>
        <v>0</v>
      </c>
      <c r="P66" s="115"/>
      <c r="Q66" s="116"/>
      <c r="S66" s="250"/>
      <c r="T66" s="2">
        <v>13.61</v>
      </c>
      <c r="U66" s="20"/>
      <c r="V66" s="114">
        <f t="shared" si="3"/>
        <v>0</v>
      </c>
      <c r="W66" s="167"/>
      <c r="X66" s="114">
        <f t="shared" si="4"/>
        <v>0</v>
      </c>
      <c r="Y66" s="115"/>
      <c r="Z66" s="116"/>
      <c r="AA66" s="435"/>
    </row>
    <row r="67" spans="1:27" x14ac:dyDescent="0.25">
      <c r="A67" s="250"/>
      <c r="B67" s="2">
        <v>13.61</v>
      </c>
      <c r="C67" s="20"/>
      <c r="D67" s="550">
        <f t="shared" si="5"/>
        <v>0</v>
      </c>
      <c r="E67" s="551"/>
      <c r="F67" s="550">
        <f t="shared" si="0"/>
        <v>0</v>
      </c>
      <c r="G67" s="552"/>
      <c r="H67" s="553"/>
      <c r="J67" s="250"/>
      <c r="K67" s="2">
        <v>13.61</v>
      </c>
      <c r="L67" s="20"/>
      <c r="M67" s="114">
        <f t="shared" si="1"/>
        <v>0</v>
      </c>
      <c r="N67" s="167"/>
      <c r="O67" s="114">
        <f t="shared" si="2"/>
        <v>0</v>
      </c>
      <c r="P67" s="115"/>
      <c r="Q67" s="116"/>
      <c r="S67" s="250"/>
      <c r="T67" s="2">
        <v>13.61</v>
      </c>
      <c r="U67" s="20"/>
      <c r="V67" s="114">
        <f t="shared" si="3"/>
        <v>0</v>
      </c>
      <c r="W67" s="167"/>
      <c r="X67" s="114">
        <f t="shared" si="4"/>
        <v>0</v>
      </c>
      <c r="Y67" s="115"/>
      <c r="Z67" s="116"/>
      <c r="AA67" s="435"/>
    </row>
    <row r="68" spans="1:27" x14ac:dyDescent="0.25">
      <c r="A68" s="250"/>
      <c r="B68" s="7"/>
      <c r="C68" s="20"/>
      <c r="D68" s="550">
        <f t="shared" si="5"/>
        <v>0</v>
      </c>
      <c r="E68" s="551"/>
      <c r="F68" s="550">
        <f t="shared" si="0"/>
        <v>0</v>
      </c>
      <c r="G68" s="552"/>
      <c r="H68" s="553"/>
      <c r="J68" s="250"/>
      <c r="K68" s="7"/>
      <c r="L68" s="20"/>
      <c r="M68" s="114">
        <f t="shared" si="1"/>
        <v>0</v>
      </c>
      <c r="N68" s="167"/>
      <c r="O68" s="114">
        <f t="shared" si="2"/>
        <v>0</v>
      </c>
      <c r="P68" s="115"/>
      <c r="Q68" s="116"/>
      <c r="S68" s="250"/>
      <c r="T68" s="7"/>
      <c r="U68" s="20"/>
      <c r="V68" s="114">
        <f t="shared" si="3"/>
        <v>0</v>
      </c>
      <c r="W68" s="167"/>
      <c r="X68" s="114">
        <f t="shared" si="4"/>
        <v>0</v>
      </c>
      <c r="Y68" s="115"/>
      <c r="Z68" s="116"/>
      <c r="AA68" s="435"/>
    </row>
    <row r="69" spans="1:27" x14ac:dyDescent="0.25">
      <c r="A69" s="250"/>
      <c r="B69" s="7"/>
      <c r="C69" s="20"/>
      <c r="D69" s="550"/>
      <c r="E69" s="551"/>
      <c r="F69" s="550">
        <f t="shared" si="0"/>
        <v>0</v>
      </c>
      <c r="G69" s="552"/>
      <c r="H69" s="553"/>
      <c r="J69" s="250"/>
      <c r="K69" s="7"/>
      <c r="L69" s="20"/>
      <c r="M69" s="114"/>
      <c r="N69" s="167"/>
      <c r="O69" s="114">
        <f t="shared" si="2"/>
        <v>0</v>
      </c>
      <c r="P69" s="115"/>
      <c r="Q69" s="116"/>
      <c r="S69" s="250"/>
      <c r="T69" s="7"/>
      <c r="U69" s="20"/>
      <c r="V69" s="114"/>
      <c r="W69" s="167"/>
      <c r="X69" s="114">
        <f t="shared" si="4"/>
        <v>0</v>
      </c>
      <c r="Y69" s="115"/>
      <c r="Z69" s="116"/>
      <c r="AA69" s="435"/>
    </row>
    <row r="70" spans="1:27" x14ac:dyDescent="0.25">
      <c r="A70" s="250"/>
      <c r="B70" s="7"/>
      <c r="C70" s="20"/>
      <c r="D70" s="550"/>
      <c r="E70" s="551"/>
      <c r="F70" s="550">
        <f t="shared" si="0"/>
        <v>0</v>
      </c>
      <c r="G70" s="552"/>
      <c r="H70" s="553"/>
      <c r="J70" s="250"/>
      <c r="K70" s="7"/>
      <c r="L70" s="20"/>
      <c r="M70" s="114"/>
      <c r="N70" s="167"/>
      <c r="O70" s="114">
        <f t="shared" si="2"/>
        <v>0</v>
      </c>
      <c r="P70" s="115"/>
      <c r="Q70" s="116"/>
      <c r="S70" s="250"/>
      <c r="T70" s="7"/>
      <c r="U70" s="20"/>
      <c r="V70" s="114"/>
      <c r="W70" s="167"/>
      <c r="X70" s="114">
        <f t="shared" si="4"/>
        <v>0</v>
      </c>
      <c r="Y70" s="115"/>
      <c r="Z70" s="116"/>
      <c r="AA70" s="435"/>
    </row>
    <row r="71" spans="1:27" x14ac:dyDescent="0.25">
      <c r="A71" s="250"/>
      <c r="B71" s="7"/>
      <c r="C71" s="20"/>
      <c r="D71" s="550"/>
      <c r="E71" s="551"/>
      <c r="F71" s="550">
        <f t="shared" si="0"/>
        <v>0</v>
      </c>
      <c r="G71" s="552"/>
      <c r="H71" s="553"/>
      <c r="J71" s="250"/>
      <c r="K71" s="7"/>
      <c r="L71" s="20"/>
      <c r="M71" s="114"/>
      <c r="N71" s="167"/>
      <c r="O71" s="114">
        <f t="shared" si="2"/>
        <v>0</v>
      </c>
      <c r="P71" s="115"/>
      <c r="Q71" s="116"/>
      <c r="S71" s="250"/>
      <c r="T71" s="7"/>
      <c r="U71" s="20"/>
      <c r="V71" s="114"/>
      <c r="W71" s="167"/>
      <c r="X71" s="114">
        <f t="shared" si="4"/>
        <v>0</v>
      </c>
      <c r="Y71" s="115"/>
      <c r="Z71" s="116"/>
      <c r="AA71" s="435"/>
    </row>
    <row r="72" spans="1:27" x14ac:dyDescent="0.25">
      <c r="A72" s="250"/>
      <c r="B72" s="7"/>
      <c r="C72" s="20"/>
      <c r="D72" s="550"/>
      <c r="E72" s="551"/>
      <c r="F72" s="550">
        <f t="shared" si="0"/>
        <v>0</v>
      </c>
      <c r="G72" s="552"/>
      <c r="H72" s="553"/>
      <c r="J72" s="250"/>
      <c r="K72" s="7"/>
      <c r="L72" s="20"/>
      <c r="M72" s="114"/>
      <c r="N72" s="167"/>
      <c r="O72" s="114">
        <f t="shared" si="2"/>
        <v>0</v>
      </c>
      <c r="P72" s="115"/>
      <c r="Q72" s="116"/>
      <c r="S72" s="250"/>
      <c r="T72" s="7"/>
      <c r="U72" s="20"/>
      <c r="V72" s="114"/>
      <c r="W72" s="167"/>
      <c r="X72" s="114">
        <f t="shared" si="4"/>
        <v>0</v>
      </c>
      <c r="Y72" s="115"/>
      <c r="Z72" s="116"/>
      <c r="AA72" s="435"/>
    </row>
    <row r="73" spans="1:27" x14ac:dyDescent="0.25">
      <c r="A73" s="250"/>
      <c r="B73" s="7"/>
      <c r="C73" s="20"/>
      <c r="D73" s="550"/>
      <c r="E73" s="551"/>
      <c r="F73" s="550">
        <f t="shared" ref="F73:F75" si="6">D73</f>
        <v>0</v>
      </c>
      <c r="G73" s="552"/>
      <c r="H73" s="553"/>
      <c r="J73" s="250"/>
      <c r="K73" s="7"/>
      <c r="L73" s="20"/>
      <c r="M73" s="114"/>
      <c r="N73" s="167"/>
      <c r="O73" s="114">
        <f t="shared" ref="O73:O75" si="7">M73</f>
        <v>0</v>
      </c>
      <c r="P73" s="115"/>
      <c r="Q73" s="116"/>
      <c r="S73" s="250"/>
      <c r="T73" s="7"/>
      <c r="U73" s="20"/>
      <c r="V73" s="114"/>
      <c r="W73" s="167"/>
      <c r="X73" s="114">
        <f t="shared" ref="X73:X75" si="8">V73</f>
        <v>0</v>
      </c>
      <c r="Y73" s="115"/>
      <c r="Z73" s="116"/>
      <c r="AA73" s="435"/>
    </row>
    <row r="74" spans="1:27" x14ac:dyDescent="0.25">
      <c r="A74" s="250"/>
      <c r="B74" s="7"/>
      <c r="C74" s="20"/>
      <c r="D74" s="550"/>
      <c r="E74" s="551"/>
      <c r="F74" s="550">
        <f t="shared" si="6"/>
        <v>0</v>
      </c>
      <c r="G74" s="552"/>
      <c r="H74" s="553"/>
      <c r="J74" s="250"/>
      <c r="K74" s="7"/>
      <c r="L74" s="20"/>
      <c r="M74" s="114"/>
      <c r="N74" s="167"/>
      <c r="O74" s="114">
        <f t="shared" si="7"/>
        <v>0</v>
      </c>
      <c r="P74" s="115"/>
      <c r="Q74" s="116"/>
      <c r="S74" s="250"/>
      <c r="T74" s="7"/>
      <c r="U74" s="20"/>
      <c r="V74" s="114"/>
      <c r="W74" s="167"/>
      <c r="X74" s="114">
        <f t="shared" si="8"/>
        <v>0</v>
      </c>
      <c r="Y74" s="115"/>
      <c r="Z74" s="116"/>
      <c r="AA74" s="435"/>
    </row>
    <row r="75" spans="1:27" x14ac:dyDescent="0.25">
      <c r="A75" s="250"/>
      <c r="B75" s="7"/>
      <c r="C75" s="20"/>
      <c r="D75" s="550"/>
      <c r="E75" s="551"/>
      <c r="F75" s="550">
        <f t="shared" si="6"/>
        <v>0</v>
      </c>
      <c r="G75" s="552"/>
      <c r="H75" s="553"/>
      <c r="J75" s="250"/>
      <c r="K75" s="7"/>
      <c r="L75" s="20"/>
      <c r="M75" s="114"/>
      <c r="N75" s="167"/>
      <c r="O75" s="114">
        <f t="shared" si="7"/>
        <v>0</v>
      </c>
      <c r="P75" s="115"/>
      <c r="Q75" s="116"/>
      <c r="S75" s="250"/>
      <c r="T75" s="7"/>
      <c r="U75" s="20"/>
      <c r="V75" s="114"/>
      <c r="W75" s="167"/>
      <c r="X75" s="114">
        <f t="shared" si="8"/>
        <v>0</v>
      </c>
      <c r="Y75" s="115"/>
      <c r="Z75" s="116"/>
      <c r="AA75" s="435"/>
    </row>
    <row r="76" spans="1:27" ht="15.75" thickBot="1" x14ac:dyDescent="0.3">
      <c r="A76" s="250"/>
      <c r="B76" s="21"/>
      <c r="C76" s="80"/>
      <c r="D76" s="208"/>
      <c r="E76" s="209"/>
      <c r="F76" s="199"/>
      <c r="G76" s="200"/>
      <c r="H76" s="101"/>
      <c r="J76" s="250"/>
      <c r="K76" s="21"/>
      <c r="L76" s="80"/>
      <c r="M76" s="208"/>
      <c r="N76" s="209"/>
      <c r="O76" s="199"/>
      <c r="P76" s="200"/>
      <c r="Q76" s="101"/>
      <c r="S76" s="250"/>
      <c r="T76" s="21"/>
      <c r="U76" s="80"/>
      <c r="V76" s="208"/>
      <c r="W76" s="209"/>
      <c r="X76" s="199"/>
      <c r="Y76" s="200"/>
      <c r="Z76" s="101"/>
    </row>
    <row r="77" spans="1:27" x14ac:dyDescent="0.25">
      <c r="C77" s="82">
        <f>SUM(C9:C76)</f>
        <v>345</v>
      </c>
      <c r="D77" s="9">
        <f>SUM(D9:D76)</f>
        <v>4695.45</v>
      </c>
      <c r="F77" s="9">
        <f>SUM(F9:F76)</f>
        <v>4695.45</v>
      </c>
      <c r="L77" s="82">
        <f>SUM(L9:L76)</f>
        <v>146</v>
      </c>
      <c r="M77" s="9">
        <f>SUM(M9:M76)</f>
        <v>1986.74</v>
      </c>
      <c r="O77" s="9">
        <f>SUM(O9:O76)</f>
        <v>1986.74</v>
      </c>
      <c r="U77" s="82">
        <f>SUM(U9:U76)</f>
        <v>30</v>
      </c>
      <c r="V77" s="9">
        <f>SUM(V9:V76)</f>
        <v>408.29999999999995</v>
      </c>
      <c r="X77" s="9">
        <f>SUM(X9:X76)</f>
        <v>408.29999999999995</v>
      </c>
    </row>
    <row r="79" spans="1:27" ht="15.75" thickBot="1" x14ac:dyDescent="0.3"/>
    <row r="80" spans="1:27" ht="15.75" thickBot="1" x14ac:dyDescent="0.3">
      <c r="D80" s="61" t="s">
        <v>4</v>
      </c>
      <c r="E80" s="93">
        <f>F5+F6-C77+F7</f>
        <v>-15</v>
      </c>
      <c r="M80" s="61" t="s">
        <v>4</v>
      </c>
      <c r="N80" s="93">
        <f>O5+O6-L77+O7</f>
        <v>0</v>
      </c>
      <c r="V80" s="61" t="s">
        <v>4</v>
      </c>
      <c r="W80" s="93">
        <f>X5+X6-U77+X7</f>
        <v>141</v>
      </c>
    </row>
    <row r="81" spans="3:25" ht="15.75" thickBot="1" x14ac:dyDescent="0.3"/>
    <row r="82" spans="3:25" ht="15.75" thickBot="1" x14ac:dyDescent="0.3">
      <c r="C82" s="757" t="s">
        <v>11</v>
      </c>
      <c r="D82" s="758"/>
      <c r="E82" s="95">
        <f>E5+E6-F77+E7</f>
        <v>-207.46000000000004</v>
      </c>
      <c r="F82" s="124"/>
      <c r="G82" s="16"/>
      <c r="L82" s="757" t="s">
        <v>11</v>
      </c>
      <c r="M82" s="758"/>
      <c r="N82" s="95">
        <f>N5+N6-O77+N7</f>
        <v>1.4210854715202004E-13</v>
      </c>
      <c r="O82" s="124"/>
      <c r="P82" s="16"/>
      <c r="U82" s="757" t="s">
        <v>11</v>
      </c>
      <c r="V82" s="758"/>
      <c r="W82" s="95">
        <f>W5+W6-X77+W7</f>
        <v>1918.39</v>
      </c>
      <c r="X82" s="124"/>
      <c r="Y82" s="16"/>
    </row>
  </sheetData>
  <mergeCells count="6">
    <mergeCell ref="A1:G1"/>
    <mergeCell ref="C82:D82"/>
    <mergeCell ref="J1:P1"/>
    <mergeCell ref="L82:M82"/>
    <mergeCell ref="S1:Y1"/>
    <mergeCell ref="U82:V8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BA67"/>
  <sheetViews>
    <sheetView topLeftCell="AA1" workbookViewId="0">
      <pane ySplit="8" topLeftCell="A9" activePane="bottomLeft" state="frozen"/>
      <selection pane="bottomLeft" activeCell="AD15" sqref="AD15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  <col min="28" max="28" width="30" bestFit="1" customWidth="1"/>
    <col min="29" max="29" width="16.28515625" style="6" bestFit="1" customWidth="1"/>
    <col min="30" max="30" width="14.42578125" customWidth="1"/>
    <col min="31" max="31" width="15" customWidth="1"/>
    <col min="32" max="32" width="12" customWidth="1"/>
    <col min="33" max="33" width="15.42578125" customWidth="1"/>
    <col min="34" max="34" width="10.7109375" customWidth="1"/>
    <col min="35" max="35" width="11.42578125" bestFit="1" customWidth="1"/>
    <col min="37" max="37" width="30" bestFit="1" customWidth="1"/>
    <col min="38" max="38" width="16.28515625" style="6" bestFit="1" customWidth="1"/>
    <col min="39" max="39" width="14.42578125" customWidth="1"/>
    <col min="40" max="40" width="15" customWidth="1"/>
    <col min="41" max="41" width="12" customWidth="1"/>
    <col min="42" max="42" width="15.42578125" customWidth="1"/>
    <col min="43" max="43" width="10.7109375" customWidth="1"/>
    <col min="44" max="44" width="11.42578125" bestFit="1" customWidth="1"/>
    <col min="46" max="46" width="30" bestFit="1" customWidth="1"/>
    <col min="47" max="47" width="16.28515625" style="6" bestFit="1" customWidth="1"/>
    <col min="48" max="48" width="14.42578125" customWidth="1"/>
    <col min="49" max="49" width="15" customWidth="1"/>
    <col min="50" max="50" width="12" customWidth="1"/>
    <col min="51" max="51" width="15.42578125" customWidth="1"/>
    <col min="52" max="52" width="10.7109375" customWidth="1"/>
    <col min="53" max="53" width="11.42578125" bestFit="1" customWidth="1"/>
  </cols>
  <sheetData>
    <row r="1" spans="1:53" ht="40.5" x14ac:dyDescent="0.55000000000000004">
      <c r="A1" s="756" t="s">
        <v>425</v>
      </c>
      <c r="B1" s="756"/>
      <c r="C1" s="756"/>
      <c r="D1" s="756"/>
      <c r="E1" s="756"/>
      <c r="F1" s="756"/>
      <c r="G1" s="756"/>
      <c r="H1" s="14">
        <v>1</v>
      </c>
      <c r="J1" s="756" t="str">
        <f>A1</f>
        <v>INVENTARIO DE SEPTIEMBRE     2015</v>
      </c>
      <c r="K1" s="756"/>
      <c r="L1" s="756"/>
      <c r="M1" s="756"/>
      <c r="N1" s="756"/>
      <c r="O1" s="756"/>
      <c r="P1" s="756"/>
      <c r="Q1" s="14">
        <v>2</v>
      </c>
      <c r="S1" s="756" t="str">
        <f>J1</f>
        <v>INVENTARIO DE SEPTIEMBRE     2015</v>
      </c>
      <c r="T1" s="756"/>
      <c r="U1" s="756"/>
      <c r="V1" s="756"/>
      <c r="W1" s="756"/>
      <c r="X1" s="756"/>
      <c r="Y1" s="756"/>
      <c r="Z1" s="14">
        <v>3</v>
      </c>
      <c r="AB1" s="751" t="s">
        <v>465</v>
      </c>
      <c r="AC1" s="751"/>
      <c r="AD1" s="751"/>
      <c r="AE1" s="751"/>
      <c r="AF1" s="751"/>
      <c r="AG1" s="751"/>
      <c r="AH1" s="751"/>
      <c r="AI1" s="14">
        <f>Z1+1</f>
        <v>4</v>
      </c>
      <c r="AK1" s="751" t="s">
        <v>465</v>
      </c>
      <c r="AL1" s="751"/>
      <c r="AM1" s="751"/>
      <c r="AN1" s="751"/>
      <c r="AO1" s="751"/>
      <c r="AP1" s="751"/>
      <c r="AQ1" s="751"/>
      <c r="AR1" s="14">
        <f>AI1+1</f>
        <v>5</v>
      </c>
      <c r="AT1" s="751" t="s">
        <v>465</v>
      </c>
      <c r="AU1" s="751"/>
      <c r="AV1" s="751"/>
      <c r="AW1" s="751"/>
      <c r="AX1" s="751"/>
      <c r="AY1" s="751"/>
      <c r="AZ1" s="751"/>
      <c r="BA1" s="14">
        <f>AR1+1</f>
        <v>6</v>
      </c>
    </row>
    <row r="2" spans="1:53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  <c r="AB2" s="32"/>
      <c r="AD2" s="22"/>
      <c r="AE2" s="66"/>
      <c r="AG2" s="66"/>
      <c r="AK2" s="32"/>
      <c r="AM2" s="22"/>
      <c r="AN2" s="66"/>
      <c r="AP2" s="66"/>
      <c r="AT2" s="32"/>
      <c r="AV2" s="22"/>
      <c r="AW2" s="66"/>
      <c r="AY2" s="66"/>
    </row>
    <row r="3" spans="1:53" ht="16.5" thickTop="1" thickBot="1" x14ac:dyDescent="0.3">
      <c r="A3" s="105" t="s">
        <v>0</v>
      </c>
      <c r="B3" s="252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52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252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  <c r="AB3" s="105" t="s">
        <v>0</v>
      </c>
      <c r="AC3" s="252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35</v>
      </c>
      <c r="AI3" s="49" t="s">
        <v>11</v>
      </c>
      <c r="AK3" s="105" t="s">
        <v>0</v>
      </c>
      <c r="AL3" s="252" t="s">
        <v>1</v>
      </c>
      <c r="AM3" s="57"/>
      <c r="AN3" s="12" t="s">
        <v>2</v>
      </c>
      <c r="AO3" s="12" t="s">
        <v>3</v>
      </c>
      <c r="AP3" s="12" t="s">
        <v>4</v>
      </c>
      <c r="AQ3" s="34" t="s">
        <v>35</v>
      </c>
      <c r="AR3" s="49" t="s">
        <v>11</v>
      </c>
      <c r="AT3" s="105" t="s">
        <v>0</v>
      </c>
      <c r="AU3" s="252" t="s">
        <v>1</v>
      </c>
      <c r="AV3" s="57"/>
      <c r="AW3" s="12" t="s">
        <v>2</v>
      </c>
      <c r="AX3" s="12" t="s">
        <v>3</v>
      </c>
      <c r="AY3" s="12" t="s">
        <v>4</v>
      </c>
      <c r="AZ3" s="34" t="s">
        <v>35</v>
      </c>
      <c r="BA3" s="49" t="s">
        <v>11</v>
      </c>
    </row>
    <row r="4" spans="1:53" ht="15.75" thickTop="1" x14ac:dyDescent="0.25">
      <c r="A4" s="248"/>
      <c r="B4" s="521"/>
      <c r="C4" s="205"/>
      <c r="D4" s="248"/>
      <c r="E4" s="523">
        <v>13.61</v>
      </c>
      <c r="F4" s="522">
        <v>1</v>
      </c>
      <c r="G4" s="371"/>
      <c r="H4" s="371"/>
      <c r="J4" s="248"/>
      <c r="K4" s="521"/>
      <c r="L4" s="205"/>
      <c r="M4" s="248"/>
      <c r="N4" s="523"/>
      <c r="O4" s="522"/>
      <c r="P4" s="371"/>
      <c r="Q4" s="371"/>
      <c r="S4" s="248"/>
      <c r="T4" s="521"/>
      <c r="U4" s="205"/>
      <c r="V4" s="248"/>
      <c r="W4" s="523"/>
      <c r="X4" s="522"/>
      <c r="Y4" s="371"/>
      <c r="Z4" s="371"/>
      <c r="AB4" s="248"/>
      <c r="AC4" s="521"/>
      <c r="AD4" s="205"/>
      <c r="AE4" s="248"/>
      <c r="AF4" s="523"/>
      <c r="AG4" s="522"/>
      <c r="AH4" s="371"/>
      <c r="AI4" s="371"/>
      <c r="AK4" s="248"/>
      <c r="AL4" s="521"/>
      <c r="AM4" s="205"/>
      <c r="AN4" s="248"/>
      <c r="AO4" s="523"/>
      <c r="AP4" s="522"/>
      <c r="AQ4" s="371"/>
      <c r="AR4" s="371"/>
      <c r="AT4" s="248"/>
      <c r="AU4" s="521"/>
      <c r="AV4" s="205"/>
      <c r="AW4" s="248"/>
      <c r="AX4" s="523"/>
      <c r="AY4" s="522"/>
      <c r="AZ4" s="371"/>
      <c r="BA4" s="371"/>
    </row>
    <row r="5" spans="1:53" ht="15.75" x14ac:dyDescent="0.25">
      <c r="A5" s="16"/>
      <c r="B5" s="223"/>
      <c r="C5" s="196"/>
      <c r="D5" s="163"/>
      <c r="E5" s="518">
        <v>27.22</v>
      </c>
      <c r="F5" s="519">
        <v>2</v>
      </c>
      <c r="G5" s="650" t="s">
        <v>283</v>
      </c>
      <c r="J5" s="16"/>
      <c r="K5" s="223"/>
      <c r="L5" s="196"/>
      <c r="M5" s="163"/>
      <c r="N5" s="518"/>
      <c r="O5" s="519"/>
      <c r="P5" s="124"/>
      <c r="S5" s="16"/>
      <c r="T5" s="223"/>
      <c r="U5" s="589" t="s">
        <v>262</v>
      </c>
      <c r="V5" s="163"/>
      <c r="W5" s="518"/>
      <c r="X5" s="519"/>
      <c r="Y5" s="124"/>
      <c r="AB5" s="16"/>
      <c r="AC5" s="223"/>
      <c r="AD5" s="589"/>
      <c r="AE5" s="163"/>
      <c r="AF5" s="518">
        <v>189.55</v>
      </c>
      <c r="AG5" s="519">
        <v>14</v>
      </c>
      <c r="AH5" s="124"/>
      <c r="AK5" s="16"/>
      <c r="AL5" s="223"/>
      <c r="AM5" s="589"/>
      <c r="AN5" s="661">
        <v>8913.18</v>
      </c>
      <c r="AO5" s="518">
        <v>367.47</v>
      </c>
      <c r="AP5" s="519">
        <v>28</v>
      </c>
      <c r="AQ5" s="124"/>
      <c r="AT5" s="16"/>
      <c r="AU5" s="223"/>
      <c r="AV5" s="589"/>
      <c r="AW5" s="661"/>
      <c r="AX5" s="518"/>
      <c r="AY5" s="519"/>
      <c r="AZ5" s="124"/>
    </row>
    <row r="6" spans="1:53" x14ac:dyDescent="0.25">
      <c r="A6" s="16" t="s">
        <v>116</v>
      </c>
      <c r="B6" s="390" t="s">
        <v>121</v>
      </c>
      <c r="C6" s="381"/>
      <c r="D6" s="400">
        <v>42179</v>
      </c>
      <c r="E6" s="153">
        <v>1007.14</v>
      </c>
      <c r="F6" s="104">
        <v>74</v>
      </c>
      <c r="G6" s="696">
        <f>F58</f>
        <v>2041.5</v>
      </c>
      <c r="H6" s="10">
        <f>E5+E6+E7-G6+E4</f>
        <v>13.61</v>
      </c>
      <c r="J6" s="16" t="s">
        <v>53</v>
      </c>
      <c r="K6" s="565" t="s">
        <v>121</v>
      </c>
      <c r="L6" s="381">
        <v>35</v>
      </c>
      <c r="M6" s="400">
        <v>42200</v>
      </c>
      <c r="N6" s="153">
        <v>2994.2</v>
      </c>
      <c r="O6" s="104">
        <v>220</v>
      </c>
      <c r="P6" s="64">
        <f>O58</f>
        <v>2953.3699999999994</v>
      </c>
      <c r="Q6" s="10">
        <f>N5+N6+N7-P6+N4</f>
        <v>68.050000000000182</v>
      </c>
      <c r="S6" s="16" t="s">
        <v>43</v>
      </c>
      <c r="T6" s="590" t="s">
        <v>121</v>
      </c>
      <c r="U6" s="381"/>
      <c r="V6" s="400">
        <v>42214</v>
      </c>
      <c r="W6" s="153">
        <v>5483.93</v>
      </c>
      <c r="X6" s="104">
        <v>403</v>
      </c>
      <c r="Y6" s="64">
        <f>X58</f>
        <v>6055.4600000000019</v>
      </c>
      <c r="Z6" s="10">
        <f>W5+W6+W7-Y6+W4</f>
        <v>-1.8189894035458565E-12</v>
      </c>
      <c r="AB6" s="16" t="s">
        <v>83</v>
      </c>
      <c r="AC6" s="590" t="s">
        <v>121</v>
      </c>
      <c r="AD6" s="381">
        <v>30</v>
      </c>
      <c r="AE6" s="354">
        <v>42289</v>
      </c>
      <c r="AF6" s="153">
        <v>2002.14</v>
      </c>
      <c r="AG6" s="104">
        <v>147</v>
      </c>
      <c r="AH6" s="64">
        <f>AG58</f>
        <v>884.64999999999986</v>
      </c>
      <c r="AI6" s="10">
        <f>AF5+AF6+AF7-AH6+AF4</f>
        <v>1307.0400000000002</v>
      </c>
      <c r="AK6" s="16" t="s">
        <v>489</v>
      </c>
      <c r="AL6" s="662" t="s">
        <v>121</v>
      </c>
      <c r="AM6" s="381">
        <v>26.5</v>
      </c>
      <c r="AN6" s="354">
        <v>42298</v>
      </c>
      <c r="AO6" s="153">
        <v>8914.5499999999993</v>
      </c>
      <c r="AP6" s="104">
        <v>655</v>
      </c>
      <c r="AQ6" s="64">
        <f>AP58</f>
        <v>1864.5699999999997</v>
      </c>
      <c r="AR6" s="10">
        <f>AO5+AO6+AO7-AQ6+AO4</f>
        <v>7417.4499999999989</v>
      </c>
      <c r="AT6" s="16" t="s">
        <v>43</v>
      </c>
      <c r="AU6" s="668" t="s">
        <v>121</v>
      </c>
      <c r="AV6" s="381" t="s">
        <v>497</v>
      </c>
      <c r="AW6" s="354">
        <v>42301</v>
      </c>
      <c r="AX6" s="153">
        <v>2041.2</v>
      </c>
      <c r="AY6" s="104">
        <v>150</v>
      </c>
      <c r="AZ6" s="64">
        <f>AY58</f>
        <v>0</v>
      </c>
      <c r="BA6" s="10">
        <f>AX5+AX6+AX7-AZ6+AX4</f>
        <v>2041.2</v>
      </c>
    </row>
    <row r="7" spans="1:53" ht="15.75" thickBot="1" x14ac:dyDescent="0.3">
      <c r="A7" s="16"/>
      <c r="B7" s="428" t="s">
        <v>50</v>
      </c>
      <c r="C7" s="516">
        <v>38</v>
      </c>
      <c r="D7" s="400">
        <v>42185</v>
      </c>
      <c r="E7" s="103">
        <v>1007.14</v>
      </c>
      <c r="F7" s="104">
        <v>74</v>
      </c>
      <c r="G7" s="16"/>
      <c r="J7" s="16"/>
      <c r="K7" s="566" t="s">
        <v>213</v>
      </c>
      <c r="L7" s="516"/>
      <c r="M7" s="400"/>
      <c r="N7" s="103">
        <v>27.22</v>
      </c>
      <c r="O7" s="104">
        <v>2</v>
      </c>
      <c r="P7" s="16"/>
      <c r="S7" s="16"/>
      <c r="T7" s="590" t="s">
        <v>209</v>
      </c>
      <c r="U7" s="516"/>
      <c r="V7" s="400"/>
      <c r="W7" s="103">
        <v>571.53</v>
      </c>
      <c r="X7" s="104">
        <v>42</v>
      </c>
      <c r="Y7" s="16"/>
      <c r="AB7" s="16"/>
      <c r="AC7" s="590" t="s">
        <v>209</v>
      </c>
      <c r="AD7" s="516"/>
      <c r="AE7" s="400"/>
      <c r="AF7" s="103"/>
      <c r="AG7" s="104"/>
      <c r="AH7" s="16"/>
      <c r="AK7" s="16"/>
      <c r="AL7" s="662"/>
      <c r="AM7" s="516"/>
      <c r="AN7" s="400"/>
      <c r="AO7" s="103"/>
      <c r="AP7" s="104"/>
      <c r="AQ7" s="16"/>
      <c r="AT7" s="16"/>
      <c r="AU7" s="668" t="s">
        <v>209</v>
      </c>
      <c r="AV7" s="516"/>
      <c r="AW7" s="400"/>
      <c r="AX7" s="103"/>
      <c r="AY7" s="104"/>
      <c r="AZ7" s="16"/>
    </row>
    <row r="8" spans="1:53" ht="16.5" thickTop="1" thickBot="1" x14ac:dyDescent="0.3">
      <c r="B8" s="253" t="s">
        <v>7</v>
      </c>
      <c r="C8" s="35" t="s">
        <v>8</v>
      </c>
      <c r="D8" s="357"/>
      <c r="E8" s="42" t="s">
        <v>2</v>
      </c>
      <c r="F8" s="12" t="s">
        <v>9</v>
      </c>
      <c r="G8" s="13" t="s">
        <v>15</v>
      </c>
      <c r="H8" s="32"/>
      <c r="K8" s="253" t="s">
        <v>7</v>
      </c>
      <c r="L8" s="35" t="s">
        <v>8</v>
      </c>
      <c r="M8" s="357"/>
      <c r="N8" s="42" t="s">
        <v>2</v>
      </c>
      <c r="O8" s="12" t="s">
        <v>9</v>
      </c>
      <c r="P8" s="13" t="s">
        <v>15</v>
      </c>
      <c r="Q8" s="32"/>
      <c r="T8" s="253" t="s">
        <v>7</v>
      </c>
      <c r="U8" s="35" t="s">
        <v>8</v>
      </c>
      <c r="V8" s="357"/>
      <c r="W8" s="42" t="s">
        <v>2</v>
      </c>
      <c r="X8" s="12" t="s">
        <v>9</v>
      </c>
      <c r="Y8" s="13" t="s">
        <v>15</v>
      </c>
      <c r="Z8" s="32"/>
      <c r="AC8" s="253" t="s">
        <v>7</v>
      </c>
      <c r="AD8" s="35" t="s">
        <v>8</v>
      </c>
      <c r="AE8" s="357"/>
      <c r="AF8" s="42" t="s">
        <v>2</v>
      </c>
      <c r="AG8" s="12" t="s">
        <v>9</v>
      </c>
      <c r="AH8" s="13" t="s">
        <v>15</v>
      </c>
      <c r="AI8" s="32"/>
      <c r="AL8" s="253" t="s">
        <v>7</v>
      </c>
      <c r="AM8" s="35" t="s">
        <v>8</v>
      </c>
      <c r="AN8" s="357"/>
      <c r="AO8" s="42" t="s">
        <v>2</v>
      </c>
      <c r="AP8" s="12" t="s">
        <v>9</v>
      </c>
      <c r="AQ8" s="13" t="s">
        <v>15</v>
      </c>
      <c r="AR8" s="32"/>
      <c r="AU8" s="253" t="s">
        <v>7</v>
      </c>
      <c r="AV8" s="35" t="s">
        <v>8</v>
      </c>
      <c r="AW8" s="357"/>
      <c r="AX8" s="42" t="s">
        <v>2</v>
      </c>
      <c r="AY8" s="12" t="s">
        <v>9</v>
      </c>
      <c r="AZ8" s="13" t="s">
        <v>15</v>
      </c>
      <c r="BA8" s="32"/>
    </row>
    <row r="9" spans="1:53" ht="15.75" thickTop="1" x14ac:dyDescent="0.25">
      <c r="A9" s="92" t="s">
        <v>33</v>
      </c>
      <c r="B9" s="198">
        <v>13.61</v>
      </c>
      <c r="C9" s="20">
        <v>20</v>
      </c>
      <c r="D9" s="114">
        <f t="shared" ref="D9:D57" si="0">C9*B9</f>
        <v>272.2</v>
      </c>
      <c r="E9" s="233">
        <v>42180</v>
      </c>
      <c r="F9" s="114">
        <f t="shared" ref="F9:F56" si="1">D9</f>
        <v>272.2</v>
      </c>
      <c r="G9" s="115" t="s">
        <v>198</v>
      </c>
      <c r="H9" s="116">
        <v>45</v>
      </c>
      <c r="J9" s="92" t="s">
        <v>33</v>
      </c>
      <c r="K9" s="198">
        <v>13.61</v>
      </c>
      <c r="L9" s="20">
        <v>66</v>
      </c>
      <c r="M9" s="114">
        <f t="shared" ref="M9:M57" si="2">L9*K9</f>
        <v>898.26</v>
      </c>
      <c r="N9" s="233">
        <v>42205</v>
      </c>
      <c r="O9" s="114">
        <f t="shared" ref="O9:O56" si="3">M9</f>
        <v>898.26</v>
      </c>
      <c r="P9" s="115" t="s">
        <v>246</v>
      </c>
      <c r="Q9" s="116">
        <v>44</v>
      </c>
      <c r="S9" s="92" t="s">
        <v>33</v>
      </c>
      <c r="T9" s="198">
        <v>13.61</v>
      </c>
      <c r="U9" s="20">
        <v>66</v>
      </c>
      <c r="V9" s="100">
        <f t="shared" ref="V9:V57" si="4">U9*T9</f>
        <v>898.26</v>
      </c>
      <c r="W9" s="372">
        <v>42221</v>
      </c>
      <c r="X9" s="100">
        <f t="shared" ref="X9:X56" si="5">V9</f>
        <v>898.26</v>
      </c>
      <c r="Y9" s="111" t="s">
        <v>289</v>
      </c>
      <c r="Z9" s="101">
        <v>46</v>
      </c>
      <c r="AB9" s="92" t="s">
        <v>33</v>
      </c>
      <c r="AC9" s="198">
        <v>13.61</v>
      </c>
      <c r="AD9" s="20">
        <v>5</v>
      </c>
      <c r="AE9" s="114">
        <f t="shared" ref="AE9:AE57" si="6">AD9*AC9</f>
        <v>68.05</v>
      </c>
      <c r="AF9" s="233">
        <v>42294</v>
      </c>
      <c r="AG9" s="114">
        <f t="shared" ref="AG9:AG56" si="7">AE9</f>
        <v>68.05</v>
      </c>
      <c r="AH9" s="115" t="s">
        <v>718</v>
      </c>
      <c r="AI9" s="116">
        <v>39</v>
      </c>
      <c r="AK9" s="92" t="s">
        <v>33</v>
      </c>
      <c r="AL9" s="198">
        <v>13.61</v>
      </c>
      <c r="AM9" s="20">
        <v>72</v>
      </c>
      <c r="AN9" s="114">
        <f t="shared" ref="AN9:AN57" si="8">AM9*AL9</f>
        <v>979.92</v>
      </c>
      <c r="AO9" s="233">
        <v>42290</v>
      </c>
      <c r="AP9" s="114">
        <f t="shared" ref="AP9:AP56" si="9">AN9</f>
        <v>979.92</v>
      </c>
      <c r="AQ9" s="115" t="s">
        <v>684</v>
      </c>
      <c r="AR9" s="116">
        <v>39</v>
      </c>
      <c r="AT9" s="92" t="s">
        <v>33</v>
      </c>
      <c r="AU9" s="198">
        <v>13.61</v>
      </c>
      <c r="AV9" s="20"/>
      <c r="AW9" s="114">
        <f t="shared" ref="AW9:AW57" si="10">AV9*AU9</f>
        <v>0</v>
      </c>
      <c r="AX9" s="233"/>
      <c r="AY9" s="114">
        <f t="shared" ref="AY9:AY56" si="11">AW9</f>
        <v>0</v>
      </c>
      <c r="AZ9" s="115"/>
      <c r="BA9" s="116"/>
    </row>
    <row r="10" spans="1:53" x14ac:dyDescent="0.25">
      <c r="A10" s="151"/>
      <c r="B10" s="198">
        <v>13.61</v>
      </c>
      <c r="C10" s="20">
        <v>30</v>
      </c>
      <c r="D10" s="114">
        <f t="shared" si="0"/>
        <v>408.29999999999995</v>
      </c>
      <c r="E10" s="233">
        <v>42180</v>
      </c>
      <c r="F10" s="114">
        <f t="shared" si="1"/>
        <v>408.29999999999995</v>
      </c>
      <c r="G10" s="115" t="s">
        <v>199</v>
      </c>
      <c r="H10" s="116">
        <v>45</v>
      </c>
      <c r="J10" s="151"/>
      <c r="K10" s="198">
        <v>13.61</v>
      </c>
      <c r="L10" s="20">
        <v>21</v>
      </c>
      <c r="M10" s="114">
        <f t="shared" si="2"/>
        <v>285.81</v>
      </c>
      <c r="N10" s="233">
        <v>42207</v>
      </c>
      <c r="O10" s="114">
        <f t="shared" si="3"/>
        <v>285.81</v>
      </c>
      <c r="P10" s="115" t="s">
        <v>248</v>
      </c>
      <c r="Q10" s="116">
        <v>46</v>
      </c>
      <c r="S10" s="151"/>
      <c r="T10" s="198">
        <v>13.61</v>
      </c>
      <c r="U10" s="20">
        <v>10</v>
      </c>
      <c r="V10" s="100">
        <f t="shared" si="4"/>
        <v>136.1</v>
      </c>
      <c r="W10" s="372">
        <v>42223</v>
      </c>
      <c r="X10" s="100">
        <f t="shared" si="5"/>
        <v>136.1</v>
      </c>
      <c r="Y10" s="111" t="s">
        <v>291</v>
      </c>
      <c r="Z10" s="101">
        <v>46</v>
      </c>
      <c r="AB10" s="151"/>
      <c r="AC10" s="198">
        <v>13.61</v>
      </c>
      <c r="AD10" s="20">
        <v>5</v>
      </c>
      <c r="AE10" s="114">
        <f t="shared" si="6"/>
        <v>68.05</v>
      </c>
      <c r="AF10" s="233">
        <v>42296</v>
      </c>
      <c r="AG10" s="114">
        <f t="shared" si="7"/>
        <v>68.05</v>
      </c>
      <c r="AH10" s="115" t="s">
        <v>725</v>
      </c>
      <c r="AI10" s="116">
        <v>39</v>
      </c>
      <c r="AK10" s="286" t="s">
        <v>490</v>
      </c>
      <c r="AL10" s="198">
        <v>13.61</v>
      </c>
      <c r="AM10" s="20">
        <v>10</v>
      </c>
      <c r="AN10" s="114">
        <f t="shared" si="8"/>
        <v>136.1</v>
      </c>
      <c r="AO10" s="233">
        <v>42290</v>
      </c>
      <c r="AP10" s="114">
        <f t="shared" si="9"/>
        <v>136.1</v>
      </c>
      <c r="AQ10" s="115" t="s">
        <v>687</v>
      </c>
      <c r="AR10" s="116">
        <v>39</v>
      </c>
      <c r="AT10" s="286" t="s">
        <v>490</v>
      </c>
      <c r="AU10" s="198">
        <v>13.61</v>
      </c>
      <c r="AV10" s="20"/>
      <c r="AW10" s="114">
        <f t="shared" si="10"/>
        <v>0</v>
      </c>
      <c r="AX10" s="233"/>
      <c r="AY10" s="114">
        <f t="shared" si="11"/>
        <v>0</v>
      </c>
      <c r="AZ10" s="115"/>
      <c r="BA10" s="116"/>
    </row>
    <row r="11" spans="1:53" x14ac:dyDescent="0.25">
      <c r="A11" s="15"/>
      <c r="B11" s="198">
        <v>13.61</v>
      </c>
      <c r="C11" s="20">
        <v>5</v>
      </c>
      <c r="D11" s="114">
        <f t="shared" si="0"/>
        <v>68.05</v>
      </c>
      <c r="E11" s="233">
        <v>42181</v>
      </c>
      <c r="F11" s="114">
        <f t="shared" si="1"/>
        <v>68.05</v>
      </c>
      <c r="G11" s="115" t="s">
        <v>202</v>
      </c>
      <c r="H11" s="116">
        <v>45</v>
      </c>
      <c r="J11" s="15"/>
      <c r="K11" s="198">
        <v>13.61</v>
      </c>
      <c r="L11" s="20">
        <v>14</v>
      </c>
      <c r="M11" s="114">
        <f t="shared" si="2"/>
        <v>190.54</v>
      </c>
      <c r="N11" s="233">
        <v>42207</v>
      </c>
      <c r="O11" s="114">
        <f t="shared" si="3"/>
        <v>190.54</v>
      </c>
      <c r="P11" s="115" t="s">
        <v>248</v>
      </c>
      <c r="Q11" s="116">
        <v>46</v>
      </c>
      <c r="S11" s="15"/>
      <c r="T11" s="198">
        <v>13.61</v>
      </c>
      <c r="U11" s="20">
        <v>35</v>
      </c>
      <c r="V11" s="100">
        <f t="shared" si="4"/>
        <v>476.34999999999997</v>
      </c>
      <c r="W11" s="372">
        <v>42228</v>
      </c>
      <c r="X11" s="100">
        <f t="shared" si="5"/>
        <v>476.34999999999997</v>
      </c>
      <c r="Y11" s="111" t="s">
        <v>300</v>
      </c>
      <c r="Z11" s="101">
        <v>46</v>
      </c>
      <c r="AB11" s="15"/>
      <c r="AC11" s="198">
        <v>13.61</v>
      </c>
      <c r="AD11" s="20">
        <v>35</v>
      </c>
      <c r="AE11" s="114">
        <f t="shared" si="6"/>
        <v>476.34999999999997</v>
      </c>
      <c r="AF11" s="233">
        <v>42298</v>
      </c>
      <c r="AG11" s="114">
        <f t="shared" si="7"/>
        <v>476.34999999999997</v>
      </c>
      <c r="AH11" s="115" t="s">
        <v>732</v>
      </c>
      <c r="AI11" s="116">
        <v>39</v>
      </c>
      <c r="AK11" s="124" t="s">
        <v>491</v>
      </c>
      <c r="AL11" s="198">
        <v>13.61</v>
      </c>
      <c r="AM11" s="20">
        <v>1</v>
      </c>
      <c r="AN11" s="114">
        <f t="shared" si="8"/>
        <v>13.61</v>
      </c>
      <c r="AO11" s="233">
        <v>42293</v>
      </c>
      <c r="AP11" s="114">
        <f t="shared" si="9"/>
        <v>13.61</v>
      </c>
      <c r="AQ11" s="115" t="s">
        <v>703</v>
      </c>
      <c r="AR11" s="116">
        <v>39</v>
      </c>
      <c r="AT11" s="124" t="s">
        <v>491</v>
      </c>
      <c r="AU11" s="198">
        <v>13.61</v>
      </c>
      <c r="AV11" s="20"/>
      <c r="AW11" s="114">
        <f t="shared" si="10"/>
        <v>0</v>
      </c>
      <c r="AX11" s="233"/>
      <c r="AY11" s="114">
        <f t="shared" si="11"/>
        <v>0</v>
      </c>
      <c r="AZ11" s="115"/>
      <c r="BA11" s="116"/>
    </row>
    <row r="12" spans="1:53" x14ac:dyDescent="0.25">
      <c r="A12" s="147" t="s">
        <v>34</v>
      </c>
      <c r="B12" s="198">
        <v>13.61</v>
      </c>
      <c r="C12" s="20">
        <v>10</v>
      </c>
      <c r="D12" s="114">
        <f t="shared" si="0"/>
        <v>136.1</v>
      </c>
      <c r="E12" s="233">
        <v>42181</v>
      </c>
      <c r="F12" s="114">
        <f t="shared" si="1"/>
        <v>136.1</v>
      </c>
      <c r="G12" s="115" t="s">
        <v>202</v>
      </c>
      <c r="H12" s="116">
        <v>45</v>
      </c>
      <c r="J12" s="147" t="s">
        <v>34</v>
      </c>
      <c r="K12" s="198">
        <v>13.61</v>
      </c>
      <c r="L12" s="20">
        <v>5</v>
      </c>
      <c r="M12" s="114">
        <f t="shared" si="2"/>
        <v>68.05</v>
      </c>
      <c r="N12" s="233">
        <v>42209</v>
      </c>
      <c r="O12" s="114">
        <f t="shared" si="3"/>
        <v>68.05</v>
      </c>
      <c r="P12" s="115" t="s">
        <v>251</v>
      </c>
      <c r="Q12" s="116">
        <v>46</v>
      </c>
      <c r="S12" s="147" t="s">
        <v>34</v>
      </c>
      <c r="T12" s="198">
        <v>13.61</v>
      </c>
      <c r="U12" s="20">
        <v>50</v>
      </c>
      <c r="V12" s="100">
        <f t="shared" si="4"/>
        <v>680.5</v>
      </c>
      <c r="W12" s="372">
        <v>42231</v>
      </c>
      <c r="X12" s="100">
        <f t="shared" si="5"/>
        <v>680.5</v>
      </c>
      <c r="Y12" s="111" t="s">
        <v>306</v>
      </c>
      <c r="Z12" s="101">
        <v>44</v>
      </c>
      <c r="AB12" s="147" t="s">
        <v>34</v>
      </c>
      <c r="AC12" s="198">
        <v>13.61</v>
      </c>
      <c r="AD12" s="20">
        <v>5</v>
      </c>
      <c r="AE12" s="114">
        <f t="shared" si="6"/>
        <v>68.05</v>
      </c>
      <c r="AF12" s="233">
        <v>42303</v>
      </c>
      <c r="AG12" s="114">
        <f t="shared" si="7"/>
        <v>68.05</v>
      </c>
      <c r="AH12" s="115" t="s">
        <v>759</v>
      </c>
      <c r="AI12" s="116">
        <v>36</v>
      </c>
      <c r="AK12" s="147" t="s">
        <v>34</v>
      </c>
      <c r="AL12" s="198">
        <v>13.61</v>
      </c>
      <c r="AM12" s="20">
        <v>54</v>
      </c>
      <c r="AN12" s="114">
        <f t="shared" si="8"/>
        <v>734.93999999999994</v>
      </c>
      <c r="AO12" s="233">
        <v>42298</v>
      </c>
      <c r="AP12" s="114">
        <f t="shared" si="9"/>
        <v>734.93999999999994</v>
      </c>
      <c r="AQ12" s="115" t="s">
        <v>732</v>
      </c>
      <c r="AR12" s="116">
        <v>38</v>
      </c>
      <c r="AT12" s="147" t="s">
        <v>34</v>
      </c>
      <c r="AU12" s="198">
        <v>13.61</v>
      </c>
      <c r="AV12" s="20"/>
      <c r="AW12" s="114">
        <f t="shared" si="10"/>
        <v>0</v>
      </c>
      <c r="AX12" s="233"/>
      <c r="AY12" s="114">
        <f t="shared" si="11"/>
        <v>0</v>
      </c>
      <c r="AZ12" s="115"/>
      <c r="BA12" s="116"/>
    </row>
    <row r="13" spans="1:53" x14ac:dyDescent="0.25">
      <c r="A13" s="152"/>
      <c r="B13" s="198">
        <v>13.61</v>
      </c>
      <c r="C13" s="20">
        <v>58</v>
      </c>
      <c r="D13" s="100">
        <f t="shared" si="0"/>
        <v>789.38</v>
      </c>
      <c r="E13" s="372">
        <v>42255</v>
      </c>
      <c r="F13" s="100">
        <f t="shared" si="1"/>
        <v>789.38</v>
      </c>
      <c r="G13" s="111" t="s">
        <v>383</v>
      </c>
      <c r="H13" s="101">
        <v>39</v>
      </c>
      <c r="J13" s="152"/>
      <c r="K13" s="198">
        <v>13.61</v>
      </c>
      <c r="L13" s="20">
        <v>5</v>
      </c>
      <c r="M13" s="114">
        <f t="shared" si="2"/>
        <v>68.05</v>
      </c>
      <c r="N13" s="233">
        <v>42210</v>
      </c>
      <c r="O13" s="114">
        <f t="shared" si="3"/>
        <v>68.05</v>
      </c>
      <c r="P13" s="115" t="s">
        <v>252</v>
      </c>
      <c r="Q13" s="116">
        <v>46</v>
      </c>
      <c r="S13" s="152"/>
      <c r="T13" s="198">
        <v>13.61</v>
      </c>
      <c r="U13" s="20">
        <v>50</v>
      </c>
      <c r="V13" s="100">
        <f t="shared" si="4"/>
        <v>680.5</v>
      </c>
      <c r="W13" s="372">
        <v>42231</v>
      </c>
      <c r="X13" s="100">
        <f t="shared" si="5"/>
        <v>680.5</v>
      </c>
      <c r="Y13" s="111" t="s">
        <v>307</v>
      </c>
      <c r="Z13" s="101">
        <v>44</v>
      </c>
      <c r="AB13" s="152"/>
      <c r="AC13" s="198">
        <v>13.61</v>
      </c>
      <c r="AD13" s="20">
        <v>10</v>
      </c>
      <c r="AE13" s="114">
        <f t="shared" si="6"/>
        <v>136.1</v>
      </c>
      <c r="AF13" s="233">
        <v>42303</v>
      </c>
      <c r="AG13" s="114">
        <f t="shared" si="7"/>
        <v>136.1</v>
      </c>
      <c r="AH13" s="115" t="s">
        <v>764</v>
      </c>
      <c r="AI13" s="116">
        <v>36</v>
      </c>
      <c r="AK13" s="288" t="s">
        <v>490</v>
      </c>
      <c r="AL13" s="198">
        <v>13.61</v>
      </c>
      <c r="AM13" s="20"/>
      <c r="AN13" s="114">
        <f t="shared" si="8"/>
        <v>0</v>
      </c>
      <c r="AO13" s="233"/>
      <c r="AP13" s="114">
        <f t="shared" si="9"/>
        <v>0</v>
      </c>
      <c r="AQ13" s="115"/>
      <c r="AR13" s="116"/>
      <c r="AT13" s="288" t="s">
        <v>490</v>
      </c>
      <c r="AU13" s="198">
        <v>13.61</v>
      </c>
      <c r="AV13" s="20"/>
      <c r="AW13" s="114">
        <f t="shared" si="10"/>
        <v>0</v>
      </c>
      <c r="AX13" s="233"/>
      <c r="AY13" s="114">
        <f t="shared" si="11"/>
        <v>0</v>
      </c>
      <c r="AZ13" s="115"/>
      <c r="BA13" s="116"/>
    </row>
    <row r="14" spans="1:53" x14ac:dyDescent="0.25">
      <c r="A14" s="119"/>
      <c r="B14" s="198">
        <v>13.61</v>
      </c>
      <c r="C14" s="20"/>
      <c r="D14" s="100">
        <f t="shared" si="0"/>
        <v>0</v>
      </c>
      <c r="E14" s="372"/>
      <c r="F14" s="100">
        <f t="shared" si="1"/>
        <v>0</v>
      </c>
      <c r="G14" s="111"/>
      <c r="H14" s="101"/>
      <c r="J14" s="119"/>
      <c r="K14" s="198">
        <v>13.61</v>
      </c>
      <c r="L14" s="20">
        <v>5</v>
      </c>
      <c r="M14" s="114">
        <f t="shared" si="2"/>
        <v>68.05</v>
      </c>
      <c r="N14" s="233">
        <v>42215</v>
      </c>
      <c r="O14" s="114">
        <f t="shared" si="3"/>
        <v>68.05</v>
      </c>
      <c r="P14" s="115" t="s">
        <v>255</v>
      </c>
      <c r="Q14" s="116">
        <v>46</v>
      </c>
      <c r="S14" s="119"/>
      <c r="T14" s="198">
        <v>13.61</v>
      </c>
      <c r="U14" s="20">
        <v>66</v>
      </c>
      <c r="V14" s="100">
        <f t="shared" si="4"/>
        <v>898.26</v>
      </c>
      <c r="W14" s="372">
        <v>42235</v>
      </c>
      <c r="X14" s="100">
        <f t="shared" si="5"/>
        <v>898.26</v>
      </c>
      <c r="Y14" s="111" t="s">
        <v>312</v>
      </c>
      <c r="Z14" s="101">
        <v>44</v>
      </c>
      <c r="AB14" s="119"/>
      <c r="AC14" s="198">
        <v>13.61</v>
      </c>
      <c r="AD14" s="20">
        <v>5</v>
      </c>
      <c r="AE14" s="114">
        <f t="shared" si="6"/>
        <v>68.05</v>
      </c>
      <c r="AF14" s="233">
        <v>42307</v>
      </c>
      <c r="AG14" s="114">
        <f t="shared" si="7"/>
        <v>68.05</v>
      </c>
      <c r="AH14" s="115" t="s">
        <v>783</v>
      </c>
      <c r="AI14" s="116">
        <v>36</v>
      </c>
      <c r="AK14" s="181" t="s">
        <v>491</v>
      </c>
      <c r="AL14" s="198">
        <v>13.61</v>
      </c>
      <c r="AM14" s="20"/>
      <c r="AN14" s="114">
        <f t="shared" si="8"/>
        <v>0</v>
      </c>
      <c r="AO14" s="233"/>
      <c r="AP14" s="114">
        <f t="shared" si="9"/>
        <v>0</v>
      </c>
      <c r="AQ14" s="115"/>
      <c r="AR14" s="116"/>
      <c r="AT14" s="181" t="s">
        <v>491</v>
      </c>
      <c r="AU14" s="198">
        <v>13.61</v>
      </c>
      <c r="AV14" s="20"/>
      <c r="AW14" s="114">
        <f t="shared" si="10"/>
        <v>0</v>
      </c>
      <c r="AX14" s="233"/>
      <c r="AY14" s="114">
        <f t="shared" si="11"/>
        <v>0</v>
      </c>
      <c r="AZ14" s="115"/>
      <c r="BA14" s="116"/>
    </row>
    <row r="15" spans="1:53" x14ac:dyDescent="0.25">
      <c r="A15" s="59"/>
      <c r="B15" s="198">
        <v>13.61</v>
      </c>
      <c r="C15" s="20"/>
      <c r="D15" s="100">
        <f t="shared" si="0"/>
        <v>0</v>
      </c>
      <c r="E15" s="372"/>
      <c r="F15" s="100">
        <f t="shared" si="1"/>
        <v>0</v>
      </c>
      <c r="G15" s="111"/>
      <c r="H15" s="101"/>
      <c r="J15" s="59"/>
      <c r="K15" s="198">
        <v>13.61</v>
      </c>
      <c r="L15" s="20">
        <v>66</v>
      </c>
      <c r="M15" s="100">
        <f t="shared" ref="M15" si="12">L15*K15</f>
        <v>898.26</v>
      </c>
      <c r="N15" s="372">
        <v>42268</v>
      </c>
      <c r="O15" s="100">
        <f t="shared" ref="O15" si="13">M15</f>
        <v>898.26</v>
      </c>
      <c r="P15" s="111" t="s">
        <v>409</v>
      </c>
      <c r="Q15" s="101">
        <v>39</v>
      </c>
      <c r="S15" s="59"/>
      <c r="T15" s="198">
        <v>13.61</v>
      </c>
      <c r="U15" s="20">
        <v>5</v>
      </c>
      <c r="V15" s="100">
        <f t="shared" si="4"/>
        <v>68.05</v>
      </c>
      <c r="W15" s="372">
        <v>42238</v>
      </c>
      <c r="X15" s="100">
        <f t="shared" si="5"/>
        <v>68.05</v>
      </c>
      <c r="Y15" s="111" t="s">
        <v>320</v>
      </c>
      <c r="Z15" s="101">
        <v>39</v>
      </c>
      <c r="AB15" s="59"/>
      <c r="AC15" s="198">
        <v>13.61</v>
      </c>
      <c r="AD15" s="20"/>
      <c r="AE15" s="114">
        <f t="shared" si="6"/>
        <v>0</v>
      </c>
      <c r="AF15" s="233"/>
      <c r="AG15" s="114">
        <f t="shared" si="7"/>
        <v>0</v>
      </c>
      <c r="AH15" s="115"/>
      <c r="AI15" s="116"/>
      <c r="AK15" s="59"/>
      <c r="AL15" s="198">
        <v>13.61</v>
      </c>
      <c r="AM15" s="20"/>
      <c r="AN15" s="114">
        <f t="shared" si="8"/>
        <v>0</v>
      </c>
      <c r="AO15" s="233"/>
      <c r="AP15" s="114">
        <f t="shared" si="9"/>
        <v>0</v>
      </c>
      <c r="AQ15" s="115"/>
      <c r="AR15" s="116"/>
      <c r="AT15" s="59"/>
      <c r="AU15" s="198">
        <v>13.61</v>
      </c>
      <c r="AV15" s="20"/>
      <c r="AW15" s="114">
        <f t="shared" si="10"/>
        <v>0</v>
      </c>
      <c r="AX15" s="233"/>
      <c r="AY15" s="114">
        <f t="shared" si="11"/>
        <v>0</v>
      </c>
      <c r="AZ15" s="115"/>
      <c r="BA15" s="116"/>
    </row>
    <row r="16" spans="1:53" x14ac:dyDescent="0.25">
      <c r="A16" t="s">
        <v>22</v>
      </c>
      <c r="B16" s="198">
        <v>13.61</v>
      </c>
      <c r="C16" s="20"/>
      <c r="D16" s="100">
        <f t="shared" si="0"/>
        <v>0</v>
      </c>
      <c r="E16" s="372"/>
      <c r="F16" s="100">
        <f t="shared" si="1"/>
        <v>0</v>
      </c>
      <c r="G16" s="111"/>
      <c r="H16" s="101"/>
      <c r="J16" t="s">
        <v>22</v>
      </c>
      <c r="K16" s="198">
        <v>13.61</v>
      </c>
      <c r="L16" s="20">
        <v>35</v>
      </c>
      <c r="M16" s="100">
        <f t="shared" si="2"/>
        <v>476.34999999999997</v>
      </c>
      <c r="N16" s="372">
        <v>42277</v>
      </c>
      <c r="O16" s="100">
        <f t="shared" si="3"/>
        <v>476.34999999999997</v>
      </c>
      <c r="P16" s="111" t="s">
        <v>421</v>
      </c>
      <c r="Q16" s="101">
        <v>39</v>
      </c>
      <c r="S16" t="s">
        <v>22</v>
      </c>
      <c r="T16" s="198">
        <v>13.61</v>
      </c>
      <c r="U16" s="20">
        <v>10</v>
      </c>
      <c r="V16" s="100">
        <f t="shared" si="4"/>
        <v>136.1</v>
      </c>
      <c r="W16" s="372">
        <v>42241</v>
      </c>
      <c r="X16" s="100">
        <f t="shared" si="5"/>
        <v>136.1</v>
      </c>
      <c r="Y16" s="111" t="s">
        <v>324</v>
      </c>
      <c r="Z16" s="101">
        <v>39</v>
      </c>
      <c r="AB16" t="s">
        <v>22</v>
      </c>
      <c r="AC16" s="198">
        <v>13.61</v>
      </c>
      <c r="AD16" s="20"/>
      <c r="AE16" s="114">
        <f t="shared" si="6"/>
        <v>0</v>
      </c>
      <c r="AF16" s="233"/>
      <c r="AG16" s="114">
        <f t="shared" si="7"/>
        <v>0</v>
      </c>
      <c r="AH16" s="115"/>
      <c r="AI16" s="116"/>
      <c r="AK16" t="s">
        <v>22</v>
      </c>
      <c r="AL16" s="198">
        <v>13.61</v>
      </c>
      <c r="AM16" s="20"/>
      <c r="AN16" s="114">
        <f t="shared" si="8"/>
        <v>0</v>
      </c>
      <c r="AO16" s="233"/>
      <c r="AP16" s="114">
        <f t="shared" si="9"/>
        <v>0</v>
      </c>
      <c r="AQ16" s="115"/>
      <c r="AR16" s="116"/>
      <c r="AT16" t="s">
        <v>22</v>
      </c>
      <c r="AU16" s="198">
        <v>13.61</v>
      </c>
      <c r="AV16" s="20"/>
      <c r="AW16" s="114">
        <f t="shared" si="10"/>
        <v>0</v>
      </c>
      <c r="AX16" s="233"/>
      <c r="AY16" s="114">
        <f t="shared" si="11"/>
        <v>0</v>
      </c>
      <c r="AZ16" s="115"/>
      <c r="BA16" s="116"/>
    </row>
    <row r="17" spans="2:53" x14ac:dyDescent="0.25">
      <c r="B17" s="198">
        <v>13.61</v>
      </c>
      <c r="C17" s="20"/>
      <c r="D17" s="100">
        <f t="shared" si="0"/>
        <v>0</v>
      </c>
      <c r="E17" s="372"/>
      <c r="F17" s="100">
        <f t="shared" si="1"/>
        <v>0</v>
      </c>
      <c r="G17" s="111"/>
      <c r="H17" s="101"/>
      <c r="K17" s="198">
        <v>13.61</v>
      </c>
      <c r="L17" s="20"/>
      <c r="M17" s="100">
        <f t="shared" si="2"/>
        <v>0</v>
      </c>
      <c r="N17" s="372"/>
      <c r="O17" s="100">
        <f t="shared" si="3"/>
        <v>0</v>
      </c>
      <c r="P17" s="111"/>
      <c r="Q17" s="101"/>
      <c r="T17" s="198">
        <v>13.61</v>
      </c>
      <c r="U17" s="20">
        <v>66</v>
      </c>
      <c r="V17" s="100">
        <f t="shared" si="4"/>
        <v>898.26</v>
      </c>
      <c r="W17" s="372">
        <v>42241</v>
      </c>
      <c r="X17" s="100">
        <f t="shared" si="5"/>
        <v>898.26</v>
      </c>
      <c r="Y17" s="111" t="s">
        <v>325</v>
      </c>
      <c r="Z17" s="101">
        <v>39</v>
      </c>
      <c r="AC17" s="198">
        <v>13.61</v>
      </c>
      <c r="AD17" s="20"/>
      <c r="AE17" s="114">
        <f t="shared" si="6"/>
        <v>0</v>
      </c>
      <c r="AF17" s="233"/>
      <c r="AG17" s="114">
        <f t="shared" si="7"/>
        <v>0</v>
      </c>
      <c r="AH17" s="115"/>
      <c r="AI17" s="116"/>
      <c r="AL17" s="198">
        <v>13.61</v>
      </c>
      <c r="AM17" s="20"/>
      <c r="AN17" s="114">
        <f t="shared" si="8"/>
        <v>0</v>
      </c>
      <c r="AO17" s="233"/>
      <c r="AP17" s="114">
        <f t="shared" si="9"/>
        <v>0</v>
      </c>
      <c r="AQ17" s="115"/>
      <c r="AR17" s="116"/>
      <c r="AU17" s="198">
        <v>13.61</v>
      </c>
      <c r="AV17" s="20"/>
      <c r="AW17" s="114">
        <f t="shared" si="10"/>
        <v>0</v>
      </c>
      <c r="AX17" s="233"/>
      <c r="AY17" s="114">
        <f t="shared" si="11"/>
        <v>0</v>
      </c>
      <c r="AZ17" s="115"/>
      <c r="BA17" s="116"/>
    </row>
    <row r="18" spans="2:53" x14ac:dyDescent="0.25">
      <c r="B18" s="198">
        <v>13.61</v>
      </c>
      <c r="C18" s="20"/>
      <c r="D18" s="100">
        <f t="shared" si="0"/>
        <v>0</v>
      </c>
      <c r="E18" s="372"/>
      <c r="F18" s="100">
        <f t="shared" si="1"/>
        <v>0</v>
      </c>
      <c r="G18" s="111"/>
      <c r="H18" s="101"/>
      <c r="K18" s="198">
        <v>13.61</v>
      </c>
      <c r="L18" s="20"/>
      <c r="M18" s="100">
        <f t="shared" si="2"/>
        <v>0</v>
      </c>
      <c r="N18" s="372"/>
      <c r="O18" s="100">
        <f t="shared" si="3"/>
        <v>0</v>
      </c>
      <c r="P18" s="111"/>
      <c r="Q18" s="101"/>
      <c r="T18" s="198">
        <v>13.61</v>
      </c>
      <c r="U18" s="20">
        <v>20</v>
      </c>
      <c r="V18" s="100">
        <f t="shared" si="4"/>
        <v>272.2</v>
      </c>
      <c r="W18" s="372">
        <v>42244</v>
      </c>
      <c r="X18" s="100">
        <f t="shared" si="5"/>
        <v>272.2</v>
      </c>
      <c r="Y18" s="111" t="s">
        <v>331</v>
      </c>
      <c r="Z18" s="101">
        <v>39</v>
      </c>
      <c r="AC18" s="198">
        <v>13.61</v>
      </c>
      <c r="AD18" s="20"/>
      <c r="AE18" s="114">
        <f t="shared" si="6"/>
        <v>0</v>
      </c>
      <c r="AF18" s="233"/>
      <c r="AG18" s="114">
        <f t="shared" si="7"/>
        <v>0</v>
      </c>
      <c r="AH18" s="115"/>
      <c r="AI18" s="116"/>
      <c r="AL18" s="198">
        <v>13.61</v>
      </c>
      <c r="AM18" s="20"/>
      <c r="AN18" s="114">
        <f t="shared" si="8"/>
        <v>0</v>
      </c>
      <c r="AO18" s="233"/>
      <c r="AP18" s="114">
        <f t="shared" si="9"/>
        <v>0</v>
      </c>
      <c r="AQ18" s="115"/>
      <c r="AR18" s="116"/>
      <c r="AU18" s="198">
        <v>13.61</v>
      </c>
      <c r="AV18" s="20"/>
      <c r="AW18" s="114">
        <f t="shared" si="10"/>
        <v>0</v>
      </c>
      <c r="AX18" s="233"/>
      <c r="AY18" s="114">
        <f t="shared" si="11"/>
        <v>0</v>
      </c>
      <c r="AZ18" s="115"/>
      <c r="BA18" s="116"/>
    </row>
    <row r="19" spans="2:53" x14ac:dyDescent="0.25">
      <c r="B19" s="198">
        <v>13.61</v>
      </c>
      <c r="C19" s="20">
        <v>28</v>
      </c>
      <c r="D19" s="100">
        <v>367.47</v>
      </c>
      <c r="E19" s="372"/>
      <c r="F19" s="100">
        <f t="shared" si="1"/>
        <v>367.47</v>
      </c>
      <c r="G19" s="111"/>
      <c r="H19" s="101"/>
      <c r="K19" s="198">
        <v>13.61</v>
      </c>
      <c r="L19" s="20"/>
      <c r="M19" s="100">
        <f t="shared" si="2"/>
        <v>0</v>
      </c>
      <c r="N19" s="372"/>
      <c r="O19" s="100">
        <f t="shared" si="3"/>
        <v>0</v>
      </c>
      <c r="P19" s="111"/>
      <c r="Q19" s="101"/>
      <c r="T19" s="198">
        <v>13.61</v>
      </c>
      <c r="U19" s="20">
        <v>5</v>
      </c>
      <c r="V19" s="100">
        <f t="shared" si="4"/>
        <v>68.05</v>
      </c>
      <c r="W19" s="372">
        <v>42245</v>
      </c>
      <c r="X19" s="100">
        <f t="shared" si="5"/>
        <v>68.05</v>
      </c>
      <c r="Y19" s="111" t="s">
        <v>334</v>
      </c>
      <c r="Z19" s="101">
        <v>39</v>
      </c>
      <c r="AC19" s="198">
        <v>13.61</v>
      </c>
      <c r="AD19" s="20"/>
      <c r="AE19" s="114">
        <f t="shared" si="6"/>
        <v>0</v>
      </c>
      <c r="AF19" s="233"/>
      <c r="AG19" s="114">
        <f t="shared" si="7"/>
        <v>0</v>
      </c>
      <c r="AH19" s="115"/>
      <c r="AI19" s="116"/>
      <c r="AL19" s="198">
        <v>13.61</v>
      </c>
      <c r="AM19" s="20"/>
      <c r="AN19" s="114">
        <f t="shared" si="8"/>
        <v>0</v>
      </c>
      <c r="AO19" s="233"/>
      <c r="AP19" s="114">
        <f t="shared" si="9"/>
        <v>0</v>
      </c>
      <c r="AQ19" s="115"/>
      <c r="AR19" s="116"/>
      <c r="AU19" s="198">
        <v>13.61</v>
      </c>
      <c r="AV19" s="20"/>
      <c r="AW19" s="114">
        <f t="shared" si="10"/>
        <v>0</v>
      </c>
      <c r="AX19" s="233"/>
      <c r="AY19" s="114">
        <f t="shared" si="11"/>
        <v>0</v>
      </c>
      <c r="AZ19" s="115"/>
      <c r="BA19" s="116"/>
    </row>
    <row r="20" spans="2:53" x14ac:dyDescent="0.25">
      <c r="B20" s="198">
        <v>13.61</v>
      </c>
      <c r="C20" s="20"/>
      <c r="D20" s="100">
        <f t="shared" si="0"/>
        <v>0</v>
      </c>
      <c r="E20" s="372"/>
      <c r="F20" s="100">
        <f t="shared" si="1"/>
        <v>0</v>
      </c>
      <c r="G20" s="111"/>
      <c r="H20" s="101"/>
      <c r="K20" s="198">
        <v>13.61</v>
      </c>
      <c r="L20" s="20"/>
      <c r="M20" s="100">
        <f t="shared" si="2"/>
        <v>0</v>
      </c>
      <c r="N20" s="372"/>
      <c r="O20" s="100">
        <f t="shared" si="3"/>
        <v>0</v>
      </c>
      <c r="P20" s="111"/>
      <c r="Q20" s="101"/>
      <c r="T20" s="198">
        <v>13.61</v>
      </c>
      <c r="U20" s="20">
        <v>3</v>
      </c>
      <c r="V20" s="528">
        <f t="shared" si="4"/>
        <v>40.83</v>
      </c>
      <c r="W20" s="531">
        <v>42248</v>
      </c>
      <c r="X20" s="528">
        <f t="shared" si="5"/>
        <v>40.83</v>
      </c>
      <c r="Y20" s="530" t="s">
        <v>361</v>
      </c>
      <c r="Z20" s="230">
        <v>39</v>
      </c>
      <c r="AC20" s="198">
        <v>13.61</v>
      </c>
      <c r="AD20" s="20"/>
      <c r="AE20" s="114">
        <f t="shared" si="6"/>
        <v>0</v>
      </c>
      <c r="AF20" s="233"/>
      <c r="AG20" s="114">
        <f t="shared" si="7"/>
        <v>0</v>
      </c>
      <c r="AH20" s="115"/>
      <c r="AI20" s="116"/>
      <c r="AL20" s="198">
        <v>13.61</v>
      </c>
      <c r="AM20" s="20"/>
      <c r="AN20" s="114">
        <f t="shared" si="8"/>
        <v>0</v>
      </c>
      <c r="AO20" s="233"/>
      <c r="AP20" s="114">
        <f t="shared" si="9"/>
        <v>0</v>
      </c>
      <c r="AQ20" s="115"/>
      <c r="AR20" s="116"/>
      <c r="AU20" s="198">
        <v>13.61</v>
      </c>
      <c r="AV20" s="20"/>
      <c r="AW20" s="114">
        <f t="shared" si="10"/>
        <v>0</v>
      </c>
      <c r="AX20" s="233"/>
      <c r="AY20" s="114">
        <f t="shared" si="11"/>
        <v>0</v>
      </c>
      <c r="AZ20" s="115"/>
      <c r="BA20" s="116"/>
    </row>
    <row r="21" spans="2:53" x14ac:dyDescent="0.25">
      <c r="B21" s="198">
        <v>13.61</v>
      </c>
      <c r="C21" s="20"/>
      <c r="D21" s="100">
        <f t="shared" si="0"/>
        <v>0</v>
      </c>
      <c r="E21" s="372"/>
      <c r="F21" s="100">
        <f t="shared" si="1"/>
        <v>0</v>
      </c>
      <c r="G21" s="111"/>
      <c r="H21" s="101"/>
      <c r="K21" s="198">
        <v>13.61</v>
      </c>
      <c r="L21" s="20"/>
      <c r="M21" s="100">
        <f t="shared" si="2"/>
        <v>0</v>
      </c>
      <c r="N21" s="372"/>
      <c r="O21" s="100">
        <f t="shared" si="3"/>
        <v>0</v>
      </c>
      <c r="P21" s="111"/>
      <c r="Q21" s="101"/>
      <c r="T21" s="198">
        <v>13.61</v>
      </c>
      <c r="U21" s="20">
        <v>5</v>
      </c>
      <c r="V21" s="528">
        <f t="shared" si="4"/>
        <v>68.05</v>
      </c>
      <c r="W21" s="531">
        <v>42250</v>
      </c>
      <c r="X21" s="528">
        <f t="shared" si="5"/>
        <v>68.05</v>
      </c>
      <c r="Y21" s="530" t="s">
        <v>370</v>
      </c>
      <c r="Z21" s="230">
        <v>39</v>
      </c>
      <c r="AC21" s="198">
        <v>13.61</v>
      </c>
      <c r="AD21" s="20"/>
      <c r="AE21" s="114">
        <f t="shared" si="6"/>
        <v>0</v>
      </c>
      <c r="AF21" s="233"/>
      <c r="AG21" s="114">
        <f t="shared" si="7"/>
        <v>0</v>
      </c>
      <c r="AH21" s="115"/>
      <c r="AI21" s="116"/>
      <c r="AL21" s="198">
        <v>13.61</v>
      </c>
      <c r="AM21" s="20"/>
      <c r="AN21" s="114">
        <f t="shared" si="8"/>
        <v>0</v>
      </c>
      <c r="AO21" s="233"/>
      <c r="AP21" s="114">
        <f t="shared" si="9"/>
        <v>0</v>
      </c>
      <c r="AQ21" s="115"/>
      <c r="AR21" s="116"/>
      <c r="AU21" s="198">
        <v>13.61</v>
      </c>
      <c r="AV21" s="20"/>
      <c r="AW21" s="114">
        <f t="shared" si="10"/>
        <v>0</v>
      </c>
      <c r="AX21" s="233"/>
      <c r="AY21" s="114">
        <f t="shared" si="11"/>
        <v>0</v>
      </c>
      <c r="AZ21" s="115"/>
      <c r="BA21" s="116"/>
    </row>
    <row r="22" spans="2:53" x14ac:dyDescent="0.25">
      <c r="B22" s="198">
        <v>13.61</v>
      </c>
      <c r="C22" s="20"/>
      <c r="D22" s="100">
        <f t="shared" si="0"/>
        <v>0</v>
      </c>
      <c r="E22" s="372"/>
      <c r="F22" s="100">
        <f t="shared" si="1"/>
        <v>0</v>
      </c>
      <c r="G22" s="111"/>
      <c r="H22" s="101"/>
      <c r="K22" s="198">
        <v>13.61</v>
      </c>
      <c r="L22" s="20"/>
      <c r="M22" s="100">
        <f t="shared" si="2"/>
        <v>0</v>
      </c>
      <c r="N22" s="372"/>
      <c r="O22" s="100">
        <f t="shared" si="3"/>
        <v>0</v>
      </c>
      <c r="P22" s="111"/>
      <c r="Q22" s="101"/>
      <c r="T22" s="198">
        <v>13.61</v>
      </c>
      <c r="U22" s="20">
        <v>5</v>
      </c>
      <c r="V22" s="528">
        <f t="shared" si="4"/>
        <v>68.05</v>
      </c>
      <c r="W22" s="531">
        <v>42251</v>
      </c>
      <c r="X22" s="528">
        <f t="shared" si="5"/>
        <v>68.05</v>
      </c>
      <c r="Y22" s="530" t="s">
        <v>373</v>
      </c>
      <c r="Z22" s="230">
        <v>39</v>
      </c>
      <c r="AC22" s="198">
        <v>13.61</v>
      </c>
      <c r="AD22" s="20"/>
      <c r="AE22" s="114">
        <f t="shared" si="6"/>
        <v>0</v>
      </c>
      <c r="AF22" s="233"/>
      <c r="AG22" s="114">
        <f t="shared" si="7"/>
        <v>0</v>
      </c>
      <c r="AH22" s="115"/>
      <c r="AI22" s="116"/>
      <c r="AL22" s="198">
        <v>13.61</v>
      </c>
      <c r="AM22" s="20"/>
      <c r="AN22" s="114">
        <f t="shared" si="8"/>
        <v>0</v>
      </c>
      <c r="AO22" s="233"/>
      <c r="AP22" s="114">
        <f t="shared" si="9"/>
        <v>0</v>
      </c>
      <c r="AQ22" s="115"/>
      <c r="AR22" s="116"/>
      <c r="AU22" s="198">
        <v>13.61</v>
      </c>
      <c r="AV22" s="20"/>
      <c r="AW22" s="114">
        <f t="shared" si="10"/>
        <v>0</v>
      </c>
      <c r="AX22" s="233"/>
      <c r="AY22" s="114">
        <f t="shared" si="11"/>
        <v>0</v>
      </c>
      <c r="AZ22" s="115"/>
      <c r="BA22" s="116"/>
    </row>
    <row r="23" spans="2:53" x14ac:dyDescent="0.25">
      <c r="B23" s="198">
        <v>13.61</v>
      </c>
      <c r="C23" s="20"/>
      <c r="D23" s="100">
        <f t="shared" si="0"/>
        <v>0</v>
      </c>
      <c r="E23" s="372"/>
      <c r="F23" s="100">
        <f t="shared" si="1"/>
        <v>0</v>
      </c>
      <c r="G23" s="111"/>
      <c r="H23" s="101"/>
      <c r="K23" s="198">
        <v>13.61</v>
      </c>
      <c r="L23" s="20"/>
      <c r="M23" s="100">
        <f t="shared" si="2"/>
        <v>0</v>
      </c>
      <c r="N23" s="372"/>
      <c r="O23" s="100">
        <f t="shared" si="3"/>
        <v>0</v>
      </c>
      <c r="P23" s="111"/>
      <c r="Q23" s="101"/>
      <c r="T23" s="198">
        <v>13.61</v>
      </c>
      <c r="U23" s="20">
        <v>5</v>
      </c>
      <c r="V23" s="528">
        <f t="shared" si="4"/>
        <v>68.05</v>
      </c>
      <c r="W23" s="531">
        <v>42252</v>
      </c>
      <c r="X23" s="528">
        <f t="shared" si="5"/>
        <v>68.05</v>
      </c>
      <c r="Y23" s="530" t="s">
        <v>375</v>
      </c>
      <c r="Z23" s="230">
        <v>39</v>
      </c>
      <c r="AC23" s="198">
        <v>13.61</v>
      </c>
      <c r="AD23" s="20"/>
      <c r="AE23" s="114">
        <f t="shared" si="6"/>
        <v>0</v>
      </c>
      <c r="AF23" s="233"/>
      <c r="AG23" s="114">
        <f t="shared" si="7"/>
        <v>0</v>
      </c>
      <c r="AH23" s="115"/>
      <c r="AI23" s="116"/>
      <c r="AL23" s="198">
        <v>13.61</v>
      </c>
      <c r="AM23" s="20"/>
      <c r="AN23" s="114">
        <f t="shared" si="8"/>
        <v>0</v>
      </c>
      <c r="AO23" s="233"/>
      <c r="AP23" s="114">
        <f t="shared" si="9"/>
        <v>0</v>
      </c>
      <c r="AQ23" s="115"/>
      <c r="AR23" s="116"/>
      <c r="AU23" s="198">
        <v>13.61</v>
      </c>
      <c r="AV23" s="20"/>
      <c r="AW23" s="114">
        <f t="shared" si="10"/>
        <v>0</v>
      </c>
      <c r="AX23" s="233"/>
      <c r="AY23" s="114">
        <f t="shared" si="11"/>
        <v>0</v>
      </c>
      <c r="AZ23" s="115"/>
      <c r="BA23" s="116"/>
    </row>
    <row r="24" spans="2:53" x14ac:dyDescent="0.25">
      <c r="B24" s="198">
        <v>13.61</v>
      </c>
      <c r="C24" s="20"/>
      <c r="D24" s="100">
        <f t="shared" si="0"/>
        <v>0</v>
      </c>
      <c r="E24" s="372"/>
      <c r="F24" s="100">
        <f t="shared" si="1"/>
        <v>0</v>
      </c>
      <c r="G24" s="111"/>
      <c r="H24" s="101"/>
      <c r="K24" s="198">
        <v>13.61</v>
      </c>
      <c r="L24" s="20"/>
      <c r="M24" s="100">
        <f t="shared" si="2"/>
        <v>0</v>
      </c>
      <c r="N24" s="372"/>
      <c r="O24" s="100">
        <f t="shared" si="3"/>
        <v>0</v>
      </c>
      <c r="P24" s="111"/>
      <c r="Q24" s="101"/>
      <c r="T24" s="198">
        <v>13.61</v>
      </c>
      <c r="U24" s="20">
        <v>5</v>
      </c>
      <c r="V24" s="528">
        <f t="shared" si="4"/>
        <v>68.05</v>
      </c>
      <c r="W24" s="531">
        <v>42255</v>
      </c>
      <c r="X24" s="528">
        <f t="shared" si="5"/>
        <v>68.05</v>
      </c>
      <c r="Y24" s="530" t="s">
        <v>384</v>
      </c>
      <c r="Z24" s="230">
        <v>39</v>
      </c>
      <c r="AC24" s="198">
        <v>13.61</v>
      </c>
      <c r="AD24" s="20"/>
      <c r="AE24" s="114">
        <f t="shared" si="6"/>
        <v>0</v>
      </c>
      <c r="AF24" s="233"/>
      <c r="AG24" s="114">
        <f t="shared" si="7"/>
        <v>0</v>
      </c>
      <c r="AH24" s="115"/>
      <c r="AI24" s="116"/>
      <c r="AL24" s="198">
        <v>13.61</v>
      </c>
      <c r="AM24" s="20"/>
      <c r="AN24" s="114">
        <f t="shared" si="8"/>
        <v>0</v>
      </c>
      <c r="AO24" s="233"/>
      <c r="AP24" s="114">
        <f t="shared" si="9"/>
        <v>0</v>
      </c>
      <c r="AQ24" s="115"/>
      <c r="AR24" s="116"/>
      <c r="AU24" s="198">
        <v>13.61</v>
      </c>
      <c r="AV24" s="20"/>
      <c r="AW24" s="114">
        <f t="shared" si="10"/>
        <v>0</v>
      </c>
      <c r="AX24" s="233"/>
      <c r="AY24" s="114">
        <f t="shared" si="11"/>
        <v>0</v>
      </c>
      <c r="AZ24" s="115"/>
      <c r="BA24" s="116"/>
    </row>
    <row r="25" spans="2:53" x14ac:dyDescent="0.25">
      <c r="B25" s="198">
        <v>13.61</v>
      </c>
      <c r="C25" s="20"/>
      <c r="D25" s="100">
        <f t="shared" si="0"/>
        <v>0</v>
      </c>
      <c r="E25" s="372"/>
      <c r="F25" s="100">
        <f t="shared" si="1"/>
        <v>0</v>
      </c>
      <c r="G25" s="111"/>
      <c r="H25" s="101"/>
      <c r="K25" s="198">
        <v>13.61</v>
      </c>
      <c r="L25" s="20"/>
      <c r="M25" s="100">
        <f t="shared" si="2"/>
        <v>0</v>
      </c>
      <c r="N25" s="372"/>
      <c r="O25" s="100">
        <f t="shared" si="3"/>
        <v>0</v>
      </c>
      <c r="P25" s="111"/>
      <c r="Q25" s="101"/>
      <c r="T25" s="198">
        <v>13.61</v>
      </c>
      <c r="U25" s="20">
        <v>10</v>
      </c>
      <c r="V25" s="528">
        <f t="shared" si="4"/>
        <v>136.1</v>
      </c>
      <c r="W25" s="531">
        <v>42258</v>
      </c>
      <c r="X25" s="528">
        <f t="shared" si="5"/>
        <v>136.1</v>
      </c>
      <c r="Y25" s="530" t="s">
        <v>388</v>
      </c>
      <c r="Z25" s="230">
        <v>39</v>
      </c>
      <c r="AC25" s="198">
        <v>13.61</v>
      </c>
      <c r="AD25" s="20"/>
      <c r="AE25" s="114">
        <f t="shared" si="6"/>
        <v>0</v>
      </c>
      <c r="AF25" s="233"/>
      <c r="AG25" s="114">
        <f t="shared" si="7"/>
        <v>0</v>
      </c>
      <c r="AH25" s="115"/>
      <c r="AI25" s="116"/>
      <c r="AL25" s="198">
        <v>13.61</v>
      </c>
      <c r="AM25" s="20"/>
      <c r="AN25" s="114">
        <f t="shared" si="8"/>
        <v>0</v>
      </c>
      <c r="AO25" s="233"/>
      <c r="AP25" s="114">
        <f t="shared" si="9"/>
        <v>0</v>
      </c>
      <c r="AQ25" s="115"/>
      <c r="AR25" s="116"/>
      <c r="AU25" s="198">
        <v>13.61</v>
      </c>
      <c r="AV25" s="20"/>
      <c r="AW25" s="114">
        <f t="shared" si="10"/>
        <v>0</v>
      </c>
      <c r="AX25" s="233"/>
      <c r="AY25" s="114">
        <f t="shared" si="11"/>
        <v>0</v>
      </c>
      <c r="AZ25" s="115"/>
      <c r="BA25" s="116"/>
    </row>
    <row r="26" spans="2:53" x14ac:dyDescent="0.25">
      <c r="B26" s="198">
        <v>13.61</v>
      </c>
      <c r="C26" s="20"/>
      <c r="D26" s="100">
        <f t="shared" si="0"/>
        <v>0</v>
      </c>
      <c r="E26" s="372"/>
      <c r="F26" s="100">
        <f t="shared" si="1"/>
        <v>0</v>
      </c>
      <c r="G26" s="111"/>
      <c r="H26" s="101"/>
      <c r="K26" s="198">
        <v>13.61</v>
      </c>
      <c r="L26" s="20"/>
      <c r="M26" s="100">
        <f t="shared" si="2"/>
        <v>0</v>
      </c>
      <c r="N26" s="372"/>
      <c r="O26" s="100">
        <f t="shared" si="3"/>
        <v>0</v>
      </c>
      <c r="P26" s="111"/>
      <c r="Q26" s="101"/>
      <c r="T26" s="198">
        <v>13.61</v>
      </c>
      <c r="U26" s="20">
        <v>5</v>
      </c>
      <c r="V26" s="528">
        <f t="shared" si="4"/>
        <v>68.05</v>
      </c>
      <c r="W26" s="531">
        <v>42261</v>
      </c>
      <c r="X26" s="528">
        <f t="shared" si="5"/>
        <v>68.05</v>
      </c>
      <c r="Y26" s="530" t="s">
        <v>399</v>
      </c>
      <c r="Z26" s="230">
        <v>39</v>
      </c>
      <c r="AC26" s="198">
        <v>13.61</v>
      </c>
      <c r="AD26" s="20"/>
      <c r="AE26" s="114">
        <f t="shared" si="6"/>
        <v>0</v>
      </c>
      <c r="AF26" s="233"/>
      <c r="AG26" s="114">
        <f t="shared" si="7"/>
        <v>0</v>
      </c>
      <c r="AH26" s="115"/>
      <c r="AI26" s="116"/>
      <c r="AL26" s="198">
        <v>13.61</v>
      </c>
      <c r="AM26" s="20"/>
      <c r="AN26" s="114">
        <f t="shared" si="8"/>
        <v>0</v>
      </c>
      <c r="AO26" s="233"/>
      <c r="AP26" s="114">
        <f t="shared" si="9"/>
        <v>0</v>
      </c>
      <c r="AQ26" s="115"/>
      <c r="AR26" s="116"/>
      <c r="AU26" s="198">
        <v>13.61</v>
      </c>
      <c r="AV26" s="20"/>
      <c r="AW26" s="114">
        <f t="shared" si="10"/>
        <v>0</v>
      </c>
      <c r="AX26" s="233"/>
      <c r="AY26" s="114">
        <f t="shared" si="11"/>
        <v>0</v>
      </c>
      <c r="AZ26" s="115"/>
      <c r="BA26" s="116"/>
    </row>
    <row r="27" spans="2:53" x14ac:dyDescent="0.25">
      <c r="B27" s="198">
        <v>13.61</v>
      </c>
      <c r="C27" s="20"/>
      <c r="D27" s="100">
        <f t="shared" si="0"/>
        <v>0</v>
      </c>
      <c r="E27" s="372"/>
      <c r="F27" s="100">
        <f t="shared" si="1"/>
        <v>0</v>
      </c>
      <c r="G27" s="111"/>
      <c r="H27" s="101"/>
      <c r="K27" s="198">
        <v>13.61</v>
      </c>
      <c r="L27" s="20"/>
      <c r="M27" s="100">
        <f t="shared" si="2"/>
        <v>0</v>
      </c>
      <c r="N27" s="372"/>
      <c r="O27" s="100">
        <f t="shared" si="3"/>
        <v>0</v>
      </c>
      <c r="P27" s="111"/>
      <c r="Q27" s="101"/>
      <c r="T27" s="198">
        <v>13.61</v>
      </c>
      <c r="U27" s="20">
        <v>5</v>
      </c>
      <c r="V27" s="528">
        <f t="shared" si="4"/>
        <v>68.05</v>
      </c>
      <c r="W27" s="531">
        <v>42265</v>
      </c>
      <c r="X27" s="528">
        <f t="shared" si="5"/>
        <v>68.05</v>
      </c>
      <c r="Y27" s="530" t="s">
        <v>405</v>
      </c>
      <c r="Z27" s="230">
        <v>39</v>
      </c>
      <c r="AC27" s="198">
        <v>13.61</v>
      </c>
      <c r="AD27" s="20"/>
      <c r="AE27" s="114">
        <f t="shared" si="6"/>
        <v>0</v>
      </c>
      <c r="AF27" s="233"/>
      <c r="AG27" s="114">
        <f t="shared" si="7"/>
        <v>0</v>
      </c>
      <c r="AH27" s="115"/>
      <c r="AI27" s="116"/>
      <c r="AL27" s="198">
        <v>13.61</v>
      </c>
      <c r="AM27" s="20"/>
      <c r="AN27" s="114">
        <f t="shared" si="8"/>
        <v>0</v>
      </c>
      <c r="AO27" s="233"/>
      <c r="AP27" s="114">
        <f t="shared" si="9"/>
        <v>0</v>
      </c>
      <c r="AQ27" s="115"/>
      <c r="AR27" s="116"/>
      <c r="AU27" s="198">
        <v>13.61</v>
      </c>
      <c r="AV27" s="20"/>
      <c r="AW27" s="114">
        <f t="shared" si="10"/>
        <v>0</v>
      </c>
      <c r="AX27" s="233"/>
      <c r="AY27" s="114">
        <f t="shared" si="11"/>
        <v>0</v>
      </c>
      <c r="AZ27" s="115"/>
      <c r="BA27" s="116"/>
    </row>
    <row r="28" spans="2:53" x14ac:dyDescent="0.25">
      <c r="B28" s="198">
        <v>13.61</v>
      </c>
      <c r="C28" s="20"/>
      <c r="D28" s="100">
        <f t="shared" si="0"/>
        <v>0</v>
      </c>
      <c r="E28" s="372"/>
      <c r="F28" s="100">
        <f t="shared" si="1"/>
        <v>0</v>
      </c>
      <c r="G28" s="111"/>
      <c r="H28" s="101"/>
      <c r="K28" s="198">
        <v>13.61</v>
      </c>
      <c r="L28" s="20"/>
      <c r="M28" s="100">
        <f t="shared" si="2"/>
        <v>0</v>
      </c>
      <c r="N28" s="372"/>
      <c r="O28" s="100">
        <f t="shared" si="3"/>
        <v>0</v>
      </c>
      <c r="P28" s="111"/>
      <c r="Q28" s="101"/>
      <c r="T28" s="198">
        <v>13.61</v>
      </c>
      <c r="U28" s="20">
        <v>5</v>
      </c>
      <c r="V28" s="528">
        <f t="shared" si="4"/>
        <v>68.05</v>
      </c>
      <c r="W28" s="531">
        <v>42272</v>
      </c>
      <c r="X28" s="528">
        <f t="shared" si="5"/>
        <v>68.05</v>
      </c>
      <c r="Y28" s="530" t="s">
        <v>415</v>
      </c>
      <c r="Z28" s="230">
        <v>39</v>
      </c>
      <c r="AC28" s="198">
        <v>13.61</v>
      </c>
      <c r="AD28" s="20"/>
      <c r="AE28" s="114">
        <f t="shared" si="6"/>
        <v>0</v>
      </c>
      <c r="AF28" s="233"/>
      <c r="AG28" s="114">
        <f t="shared" si="7"/>
        <v>0</v>
      </c>
      <c r="AH28" s="115"/>
      <c r="AI28" s="116"/>
      <c r="AL28" s="198">
        <v>13.61</v>
      </c>
      <c r="AM28" s="20"/>
      <c r="AN28" s="114">
        <f t="shared" si="8"/>
        <v>0</v>
      </c>
      <c r="AO28" s="233"/>
      <c r="AP28" s="114">
        <f t="shared" si="9"/>
        <v>0</v>
      </c>
      <c r="AQ28" s="115"/>
      <c r="AR28" s="116"/>
      <c r="AU28" s="198">
        <v>13.61</v>
      </c>
      <c r="AV28" s="20"/>
      <c r="AW28" s="114">
        <f t="shared" si="10"/>
        <v>0</v>
      </c>
      <c r="AX28" s="233"/>
      <c r="AY28" s="114">
        <f t="shared" si="11"/>
        <v>0</v>
      </c>
      <c r="AZ28" s="115"/>
      <c r="BA28" s="116"/>
    </row>
    <row r="29" spans="2:53" x14ac:dyDescent="0.25">
      <c r="B29" s="198">
        <v>13.61</v>
      </c>
      <c r="C29" s="20"/>
      <c r="D29" s="100">
        <f t="shared" si="0"/>
        <v>0</v>
      </c>
      <c r="E29" s="372"/>
      <c r="F29" s="100">
        <f t="shared" si="1"/>
        <v>0</v>
      </c>
      <c r="G29" s="111"/>
      <c r="H29" s="101"/>
      <c r="K29" s="198">
        <v>13.61</v>
      </c>
      <c r="L29" s="20"/>
      <c r="M29" s="100">
        <f t="shared" si="2"/>
        <v>0</v>
      </c>
      <c r="N29" s="372"/>
      <c r="O29" s="100">
        <f t="shared" si="3"/>
        <v>0</v>
      </c>
      <c r="P29" s="111"/>
      <c r="Q29" s="101"/>
      <c r="T29" s="198">
        <v>13.61</v>
      </c>
      <c r="U29" s="20"/>
      <c r="V29" s="528">
        <f t="shared" si="4"/>
        <v>0</v>
      </c>
      <c r="W29" s="531"/>
      <c r="X29" s="528">
        <f t="shared" si="5"/>
        <v>0</v>
      </c>
      <c r="Y29" s="530"/>
      <c r="Z29" s="230"/>
      <c r="AC29" s="198">
        <v>13.61</v>
      </c>
      <c r="AD29" s="20"/>
      <c r="AE29" s="114">
        <f t="shared" si="6"/>
        <v>0</v>
      </c>
      <c r="AF29" s="233"/>
      <c r="AG29" s="114">
        <f t="shared" si="7"/>
        <v>0</v>
      </c>
      <c r="AH29" s="115"/>
      <c r="AI29" s="116"/>
      <c r="AL29" s="198">
        <v>13.61</v>
      </c>
      <c r="AM29" s="20"/>
      <c r="AN29" s="114">
        <f t="shared" si="8"/>
        <v>0</v>
      </c>
      <c r="AO29" s="233"/>
      <c r="AP29" s="114">
        <f t="shared" si="9"/>
        <v>0</v>
      </c>
      <c r="AQ29" s="115"/>
      <c r="AR29" s="116"/>
      <c r="AU29" s="198">
        <v>13.61</v>
      </c>
      <c r="AV29" s="20"/>
      <c r="AW29" s="114">
        <f t="shared" si="10"/>
        <v>0</v>
      </c>
      <c r="AX29" s="233"/>
      <c r="AY29" s="114">
        <f t="shared" si="11"/>
        <v>0</v>
      </c>
      <c r="AZ29" s="115"/>
      <c r="BA29" s="116"/>
    </row>
    <row r="30" spans="2:53" x14ac:dyDescent="0.25">
      <c r="B30" s="198">
        <v>13.61</v>
      </c>
      <c r="C30" s="20"/>
      <c r="D30" s="100">
        <f t="shared" si="0"/>
        <v>0</v>
      </c>
      <c r="E30" s="372"/>
      <c r="F30" s="100">
        <f t="shared" si="1"/>
        <v>0</v>
      </c>
      <c r="G30" s="111"/>
      <c r="H30" s="101"/>
      <c r="K30" s="198">
        <v>13.61</v>
      </c>
      <c r="L30" s="20"/>
      <c r="M30" s="100">
        <f t="shared" si="2"/>
        <v>0</v>
      </c>
      <c r="N30" s="372"/>
      <c r="O30" s="100">
        <f t="shared" si="3"/>
        <v>0</v>
      </c>
      <c r="P30" s="111"/>
      <c r="Q30" s="101"/>
      <c r="T30" s="198">
        <v>13.61</v>
      </c>
      <c r="U30" s="20"/>
      <c r="V30" s="528">
        <f t="shared" si="4"/>
        <v>0</v>
      </c>
      <c r="W30" s="531"/>
      <c r="X30" s="528">
        <f t="shared" si="5"/>
        <v>0</v>
      </c>
      <c r="Y30" s="530"/>
      <c r="Z30" s="230"/>
      <c r="AC30" s="198">
        <v>13.61</v>
      </c>
      <c r="AD30" s="20"/>
      <c r="AE30" s="114">
        <f t="shared" si="6"/>
        <v>0</v>
      </c>
      <c r="AF30" s="233"/>
      <c r="AG30" s="114">
        <f t="shared" si="7"/>
        <v>0</v>
      </c>
      <c r="AH30" s="115"/>
      <c r="AI30" s="116"/>
      <c r="AL30" s="198">
        <v>13.61</v>
      </c>
      <c r="AM30" s="20"/>
      <c r="AN30" s="114">
        <f t="shared" si="8"/>
        <v>0</v>
      </c>
      <c r="AO30" s="233"/>
      <c r="AP30" s="114">
        <f t="shared" si="9"/>
        <v>0</v>
      </c>
      <c r="AQ30" s="115"/>
      <c r="AR30" s="116"/>
      <c r="AU30" s="198">
        <v>13.61</v>
      </c>
      <c r="AV30" s="20"/>
      <c r="AW30" s="114">
        <f t="shared" si="10"/>
        <v>0</v>
      </c>
      <c r="AX30" s="233"/>
      <c r="AY30" s="114">
        <f t="shared" si="11"/>
        <v>0</v>
      </c>
      <c r="AZ30" s="115"/>
      <c r="BA30" s="116"/>
    </row>
    <row r="31" spans="2:53" x14ac:dyDescent="0.25">
      <c r="B31" s="198">
        <v>13.61</v>
      </c>
      <c r="C31" s="20"/>
      <c r="D31" s="100">
        <f t="shared" si="0"/>
        <v>0</v>
      </c>
      <c r="E31" s="372"/>
      <c r="F31" s="100">
        <f t="shared" si="1"/>
        <v>0</v>
      </c>
      <c r="G31" s="111"/>
      <c r="H31" s="101"/>
      <c r="K31" s="198">
        <v>13.61</v>
      </c>
      <c r="L31" s="20"/>
      <c r="M31" s="100">
        <f t="shared" si="2"/>
        <v>0</v>
      </c>
      <c r="N31" s="372"/>
      <c r="O31" s="100">
        <f t="shared" si="3"/>
        <v>0</v>
      </c>
      <c r="P31" s="111"/>
      <c r="Q31" s="101"/>
      <c r="T31" s="198">
        <v>13.61</v>
      </c>
      <c r="U31" s="20"/>
      <c r="V31" s="528">
        <f t="shared" si="4"/>
        <v>0</v>
      </c>
      <c r="W31" s="531"/>
      <c r="X31" s="528">
        <f t="shared" si="5"/>
        <v>0</v>
      </c>
      <c r="Y31" s="530"/>
      <c r="Z31" s="230"/>
      <c r="AC31" s="198">
        <v>13.61</v>
      </c>
      <c r="AD31" s="20"/>
      <c r="AE31" s="114">
        <f t="shared" si="6"/>
        <v>0</v>
      </c>
      <c r="AF31" s="233"/>
      <c r="AG31" s="114">
        <f t="shared" si="7"/>
        <v>0</v>
      </c>
      <c r="AH31" s="115"/>
      <c r="AI31" s="116"/>
      <c r="AL31" s="198">
        <v>13.61</v>
      </c>
      <c r="AM31" s="20"/>
      <c r="AN31" s="114">
        <f t="shared" si="8"/>
        <v>0</v>
      </c>
      <c r="AO31" s="233"/>
      <c r="AP31" s="114">
        <f t="shared" si="9"/>
        <v>0</v>
      </c>
      <c r="AQ31" s="115"/>
      <c r="AR31" s="116"/>
      <c r="AU31" s="198">
        <v>13.61</v>
      </c>
      <c r="AV31" s="20"/>
      <c r="AW31" s="114">
        <f t="shared" si="10"/>
        <v>0</v>
      </c>
      <c r="AX31" s="233"/>
      <c r="AY31" s="114">
        <f t="shared" si="11"/>
        <v>0</v>
      </c>
      <c r="AZ31" s="115"/>
      <c r="BA31" s="116"/>
    </row>
    <row r="32" spans="2:53" x14ac:dyDescent="0.25">
      <c r="B32" s="198">
        <v>13.61</v>
      </c>
      <c r="C32" s="20"/>
      <c r="D32" s="100">
        <f t="shared" si="0"/>
        <v>0</v>
      </c>
      <c r="E32" s="372"/>
      <c r="F32" s="100">
        <f t="shared" si="1"/>
        <v>0</v>
      </c>
      <c r="G32" s="111"/>
      <c r="H32" s="101"/>
      <c r="K32" s="198">
        <v>13.61</v>
      </c>
      <c r="L32" s="20"/>
      <c r="M32" s="100">
        <f t="shared" si="2"/>
        <v>0</v>
      </c>
      <c r="N32" s="372"/>
      <c r="O32" s="100">
        <f t="shared" si="3"/>
        <v>0</v>
      </c>
      <c r="P32" s="111"/>
      <c r="Q32" s="101"/>
      <c r="T32" s="198">
        <v>13.61</v>
      </c>
      <c r="U32" s="20"/>
      <c r="V32" s="528">
        <f t="shared" si="4"/>
        <v>0</v>
      </c>
      <c r="W32" s="531"/>
      <c r="X32" s="528">
        <f t="shared" si="5"/>
        <v>0</v>
      </c>
      <c r="Y32" s="530"/>
      <c r="Z32" s="230"/>
      <c r="AC32" s="198">
        <v>13.61</v>
      </c>
      <c r="AD32" s="20"/>
      <c r="AE32" s="114">
        <f t="shared" si="6"/>
        <v>0</v>
      </c>
      <c r="AF32" s="233"/>
      <c r="AG32" s="114">
        <f t="shared" si="7"/>
        <v>0</v>
      </c>
      <c r="AH32" s="115"/>
      <c r="AI32" s="116"/>
      <c r="AL32" s="198">
        <v>13.61</v>
      </c>
      <c r="AM32" s="20"/>
      <c r="AN32" s="114">
        <f t="shared" si="8"/>
        <v>0</v>
      </c>
      <c r="AO32" s="233"/>
      <c r="AP32" s="114">
        <f t="shared" si="9"/>
        <v>0</v>
      </c>
      <c r="AQ32" s="115"/>
      <c r="AR32" s="116"/>
      <c r="AU32" s="198">
        <v>13.61</v>
      </c>
      <c r="AV32" s="20"/>
      <c r="AW32" s="114">
        <f t="shared" si="10"/>
        <v>0</v>
      </c>
      <c r="AX32" s="233"/>
      <c r="AY32" s="114">
        <f t="shared" si="11"/>
        <v>0</v>
      </c>
      <c r="AZ32" s="115"/>
      <c r="BA32" s="116"/>
    </row>
    <row r="33" spans="2:53" x14ac:dyDescent="0.25">
      <c r="B33" s="198">
        <v>13.61</v>
      </c>
      <c r="C33" s="20"/>
      <c r="D33" s="100">
        <f t="shared" si="0"/>
        <v>0</v>
      </c>
      <c r="E33" s="372"/>
      <c r="F33" s="100">
        <f t="shared" si="1"/>
        <v>0</v>
      </c>
      <c r="G33" s="111"/>
      <c r="H33" s="101"/>
      <c r="K33" s="198">
        <v>13.61</v>
      </c>
      <c r="L33" s="20"/>
      <c r="M33" s="100">
        <f t="shared" si="2"/>
        <v>0</v>
      </c>
      <c r="N33" s="372"/>
      <c r="O33" s="100">
        <f t="shared" si="3"/>
        <v>0</v>
      </c>
      <c r="P33" s="111"/>
      <c r="Q33" s="101"/>
      <c r="T33" s="198">
        <v>13.61</v>
      </c>
      <c r="U33" s="20"/>
      <c r="V33" s="528">
        <f t="shared" si="4"/>
        <v>0</v>
      </c>
      <c r="W33" s="531"/>
      <c r="X33" s="528">
        <f t="shared" si="5"/>
        <v>0</v>
      </c>
      <c r="Y33" s="530"/>
      <c r="Z33" s="230"/>
      <c r="AC33" s="198">
        <v>13.61</v>
      </c>
      <c r="AD33" s="20"/>
      <c r="AE33" s="114">
        <f t="shared" si="6"/>
        <v>0</v>
      </c>
      <c r="AF33" s="233"/>
      <c r="AG33" s="114">
        <f t="shared" si="7"/>
        <v>0</v>
      </c>
      <c r="AH33" s="115"/>
      <c r="AI33" s="116"/>
      <c r="AL33" s="198">
        <v>13.61</v>
      </c>
      <c r="AM33" s="20"/>
      <c r="AN33" s="114">
        <f t="shared" si="8"/>
        <v>0</v>
      </c>
      <c r="AO33" s="233"/>
      <c r="AP33" s="114">
        <f t="shared" si="9"/>
        <v>0</v>
      </c>
      <c r="AQ33" s="115"/>
      <c r="AR33" s="116"/>
      <c r="AU33" s="198">
        <v>13.61</v>
      </c>
      <c r="AV33" s="20"/>
      <c r="AW33" s="114">
        <f t="shared" si="10"/>
        <v>0</v>
      </c>
      <c r="AX33" s="233"/>
      <c r="AY33" s="114">
        <f t="shared" si="11"/>
        <v>0</v>
      </c>
      <c r="AZ33" s="115"/>
      <c r="BA33" s="116"/>
    </row>
    <row r="34" spans="2:53" x14ac:dyDescent="0.25">
      <c r="B34" s="198">
        <v>13.61</v>
      </c>
      <c r="C34" s="20"/>
      <c r="D34" s="100">
        <f t="shared" si="0"/>
        <v>0</v>
      </c>
      <c r="E34" s="372"/>
      <c r="F34" s="100">
        <f t="shared" si="1"/>
        <v>0</v>
      </c>
      <c r="G34" s="111"/>
      <c r="H34" s="101"/>
      <c r="K34" s="198">
        <v>13.61</v>
      </c>
      <c r="L34" s="20"/>
      <c r="M34" s="100">
        <f t="shared" si="2"/>
        <v>0</v>
      </c>
      <c r="N34" s="372"/>
      <c r="O34" s="100">
        <f t="shared" si="3"/>
        <v>0</v>
      </c>
      <c r="P34" s="111"/>
      <c r="Q34" s="101"/>
      <c r="T34" s="198">
        <v>13.61</v>
      </c>
      <c r="U34" s="20"/>
      <c r="V34" s="528">
        <f t="shared" si="4"/>
        <v>0</v>
      </c>
      <c r="W34" s="531"/>
      <c r="X34" s="528">
        <f t="shared" si="5"/>
        <v>0</v>
      </c>
      <c r="Y34" s="530"/>
      <c r="Z34" s="230"/>
      <c r="AC34" s="198">
        <v>13.61</v>
      </c>
      <c r="AD34" s="20"/>
      <c r="AE34" s="114">
        <f t="shared" si="6"/>
        <v>0</v>
      </c>
      <c r="AF34" s="233"/>
      <c r="AG34" s="114">
        <f t="shared" si="7"/>
        <v>0</v>
      </c>
      <c r="AH34" s="115"/>
      <c r="AI34" s="116"/>
      <c r="AL34" s="198">
        <v>13.61</v>
      </c>
      <c r="AM34" s="20"/>
      <c r="AN34" s="114">
        <f t="shared" si="8"/>
        <v>0</v>
      </c>
      <c r="AO34" s="233"/>
      <c r="AP34" s="114">
        <f t="shared" si="9"/>
        <v>0</v>
      </c>
      <c r="AQ34" s="115"/>
      <c r="AR34" s="116"/>
      <c r="AU34" s="198">
        <v>13.61</v>
      </c>
      <c r="AV34" s="20"/>
      <c r="AW34" s="114">
        <f t="shared" si="10"/>
        <v>0</v>
      </c>
      <c r="AX34" s="233"/>
      <c r="AY34" s="114">
        <f t="shared" si="11"/>
        <v>0</v>
      </c>
      <c r="AZ34" s="115"/>
      <c r="BA34" s="116"/>
    </row>
    <row r="35" spans="2:53" x14ac:dyDescent="0.25">
      <c r="B35" s="198">
        <v>13.61</v>
      </c>
      <c r="C35" s="20"/>
      <c r="D35" s="100">
        <f t="shared" si="0"/>
        <v>0</v>
      </c>
      <c r="E35" s="372"/>
      <c r="F35" s="100">
        <f t="shared" si="1"/>
        <v>0</v>
      </c>
      <c r="G35" s="111"/>
      <c r="H35" s="101"/>
      <c r="K35" s="198">
        <v>13.61</v>
      </c>
      <c r="L35" s="20"/>
      <c r="M35" s="100">
        <f t="shared" si="2"/>
        <v>0</v>
      </c>
      <c r="N35" s="372"/>
      <c r="O35" s="100">
        <f t="shared" si="3"/>
        <v>0</v>
      </c>
      <c r="P35" s="111"/>
      <c r="Q35" s="101"/>
      <c r="T35" s="198">
        <v>13.61</v>
      </c>
      <c r="U35" s="20">
        <v>14</v>
      </c>
      <c r="V35" s="528">
        <v>189.55</v>
      </c>
      <c r="W35" s="531"/>
      <c r="X35" s="528">
        <f t="shared" si="5"/>
        <v>189.55</v>
      </c>
      <c r="Y35" s="530"/>
      <c r="Z35" s="230"/>
      <c r="AC35" s="198">
        <v>13.61</v>
      </c>
      <c r="AD35" s="20"/>
      <c r="AE35" s="114">
        <f t="shared" si="6"/>
        <v>0</v>
      </c>
      <c r="AF35" s="233"/>
      <c r="AG35" s="114">
        <f t="shared" si="7"/>
        <v>0</v>
      </c>
      <c r="AH35" s="115"/>
      <c r="AI35" s="116"/>
      <c r="AL35" s="198">
        <v>13.61</v>
      </c>
      <c r="AM35" s="20"/>
      <c r="AN35" s="114">
        <f t="shared" si="8"/>
        <v>0</v>
      </c>
      <c r="AO35" s="233"/>
      <c r="AP35" s="114">
        <f t="shared" si="9"/>
        <v>0</v>
      </c>
      <c r="AQ35" s="115"/>
      <c r="AR35" s="116"/>
      <c r="AU35" s="198">
        <v>13.61</v>
      </c>
      <c r="AV35" s="20"/>
      <c r="AW35" s="114">
        <f t="shared" si="10"/>
        <v>0</v>
      </c>
      <c r="AX35" s="233"/>
      <c r="AY35" s="114">
        <f t="shared" si="11"/>
        <v>0</v>
      </c>
      <c r="AZ35" s="115"/>
      <c r="BA35" s="116"/>
    </row>
    <row r="36" spans="2:53" x14ac:dyDescent="0.25">
      <c r="B36" s="198">
        <v>13.61</v>
      </c>
      <c r="C36" s="20"/>
      <c r="D36" s="100">
        <f t="shared" si="0"/>
        <v>0</v>
      </c>
      <c r="E36" s="372"/>
      <c r="F36" s="100">
        <f t="shared" si="1"/>
        <v>0</v>
      </c>
      <c r="G36" s="111"/>
      <c r="H36" s="101"/>
      <c r="K36" s="198">
        <v>13.61</v>
      </c>
      <c r="L36" s="20"/>
      <c r="M36" s="100">
        <f t="shared" si="2"/>
        <v>0</v>
      </c>
      <c r="N36" s="372"/>
      <c r="O36" s="100">
        <f t="shared" si="3"/>
        <v>0</v>
      </c>
      <c r="P36" s="111"/>
      <c r="Q36" s="101"/>
      <c r="T36" s="198">
        <v>13.61</v>
      </c>
      <c r="U36" s="20"/>
      <c r="V36" s="528">
        <f t="shared" si="4"/>
        <v>0</v>
      </c>
      <c r="W36" s="531"/>
      <c r="X36" s="528">
        <f t="shared" si="5"/>
        <v>0</v>
      </c>
      <c r="Y36" s="530"/>
      <c r="Z36" s="230"/>
      <c r="AC36" s="198">
        <v>13.61</v>
      </c>
      <c r="AD36" s="20"/>
      <c r="AE36" s="114">
        <f t="shared" si="6"/>
        <v>0</v>
      </c>
      <c r="AF36" s="233"/>
      <c r="AG36" s="114">
        <f t="shared" si="7"/>
        <v>0</v>
      </c>
      <c r="AH36" s="115"/>
      <c r="AI36" s="116"/>
      <c r="AL36" s="198">
        <v>13.61</v>
      </c>
      <c r="AM36" s="20"/>
      <c r="AN36" s="114">
        <f t="shared" si="8"/>
        <v>0</v>
      </c>
      <c r="AO36" s="233"/>
      <c r="AP36" s="114">
        <f t="shared" si="9"/>
        <v>0</v>
      </c>
      <c r="AQ36" s="115"/>
      <c r="AR36" s="116"/>
      <c r="AU36" s="198">
        <v>13.61</v>
      </c>
      <c r="AV36" s="20"/>
      <c r="AW36" s="114">
        <f t="shared" si="10"/>
        <v>0</v>
      </c>
      <c r="AX36" s="233"/>
      <c r="AY36" s="114">
        <f t="shared" si="11"/>
        <v>0</v>
      </c>
      <c r="AZ36" s="115"/>
      <c r="BA36" s="116"/>
    </row>
    <row r="37" spans="2:53" x14ac:dyDescent="0.25">
      <c r="B37" s="198">
        <v>13.61</v>
      </c>
      <c r="C37" s="20"/>
      <c r="D37" s="100">
        <f t="shared" si="0"/>
        <v>0</v>
      </c>
      <c r="E37" s="372"/>
      <c r="F37" s="100">
        <f t="shared" si="1"/>
        <v>0</v>
      </c>
      <c r="G37" s="111"/>
      <c r="H37" s="101"/>
      <c r="K37" s="198">
        <v>13.61</v>
      </c>
      <c r="L37" s="20"/>
      <c r="M37" s="100">
        <f t="shared" si="2"/>
        <v>0</v>
      </c>
      <c r="N37" s="372"/>
      <c r="O37" s="100">
        <f t="shared" si="3"/>
        <v>0</v>
      </c>
      <c r="P37" s="111"/>
      <c r="Q37" s="101"/>
      <c r="T37" s="198">
        <v>13.61</v>
      </c>
      <c r="U37" s="20"/>
      <c r="V37" s="528">
        <f t="shared" si="4"/>
        <v>0</v>
      </c>
      <c r="W37" s="531"/>
      <c r="X37" s="528">
        <f t="shared" si="5"/>
        <v>0</v>
      </c>
      <c r="Y37" s="530"/>
      <c r="Z37" s="230"/>
      <c r="AC37" s="198">
        <v>13.61</v>
      </c>
      <c r="AD37" s="20"/>
      <c r="AE37" s="114">
        <f t="shared" si="6"/>
        <v>0</v>
      </c>
      <c r="AF37" s="233"/>
      <c r="AG37" s="114">
        <f t="shared" si="7"/>
        <v>0</v>
      </c>
      <c r="AH37" s="115"/>
      <c r="AI37" s="116"/>
      <c r="AL37" s="198">
        <v>13.61</v>
      </c>
      <c r="AM37" s="20"/>
      <c r="AN37" s="114">
        <f t="shared" si="8"/>
        <v>0</v>
      </c>
      <c r="AO37" s="233"/>
      <c r="AP37" s="114">
        <f t="shared" si="9"/>
        <v>0</v>
      </c>
      <c r="AQ37" s="115"/>
      <c r="AR37" s="116"/>
      <c r="AU37" s="198">
        <v>13.61</v>
      </c>
      <c r="AV37" s="20"/>
      <c r="AW37" s="114">
        <f t="shared" si="10"/>
        <v>0</v>
      </c>
      <c r="AX37" s="233"/>
      <c r="AY37" s="114">
        <f t="shared" si="11"/>
        <v>0</v>
      </c>
      <c r="AZ37" s="115"/>
      <c r="BA37" s="116"/>
    </row>
    <row r="38" spans="2:53" x14ac:dyDescent="0.25">
      <c r="B38" s="198">
        <v>13.61</v>
      </c>
      <c r="C38" s="20"/>
      <c r="D38" s="100">
        <f t="shared" si="0"/>
        <v>0</v>
      </c>
      <c r="E38" s="372"/>
      <c r="F38" s="100">
        <f t="shared" si="1"/>
        <v>0</v>
      </c>
      <c r="G38" s="111"/>
      <c r="H38" s="101"/>
      <c r="K38" s="198">
        <v>13.61</v>
      </c>
      <c r="L38" s="20"/>
      <c r="M38" s="100">
        <f t="shared" si="2"/>
        <v>0</v>
      </c>
      <c r="N38" s="372"/>
      <c r="O38" s="100">
        <f t="shared" si="3"/>
        <v>0</v>
      </c>
      <c r="P38" s="111"/>
      <c r="Q38" s="101"/>
      <c r="T38" s="198">
        <v>13.61</v>
      </c>
      <c r="U38" s="20"/>
      <c r="V38" s="528">
        <f t="shared" si="4"/>
        <v>0</v>
      </c>
      <c r="W38" s="531"/>
      <c r="X38" s="528">
        <f t="shared" si="5"/>
        <v>0</v>
      </c>
      <c r="Y38" s="530"/>
      <c r="Z38" s="230"/>
      <c r="AC38" s="198">
        <v>13.61</v>
      </c>
      <c r="AD38" s="20"/>
      <c r="AE38" s="114">
        <f t="shared" si="6"/>
        <v>0</v>
      </c>
      <c r="AF38" s="233"/>
      <c r="AG38" s="114">
        <f t="shared" si="7"/>
        <v>0</v>
      </c>
      <c r="AH38" s="115"/>
      <c r="AI38" s="116"/>
      <c r="AL38" s="198">
        <v>13.61</v>
      </c>
      <c r="AM38" s="20"/>
      <c r="AN38" s="114">
        <f t="shared" si="8"/>
        <v>0</v>
      </c>
      <c r="AO38" s="233"/>
      <c r="AP38" s="114">
        <f t="shared" si="9"/>
        <v>0</v>
      </c>
      <c r="AQ38" s="115"/>
      <c r="AR38" s="116"/>
      <c r="AU38" s="198">
        <v>13.61</v>
      </c>
      <c r="AV38" s="20"/>
      <c r="AW38" s="114">
        <f t="shared" si="10"/>
        <v>0</v>
      </c>
      <c r="AX38" s="233"/>
      <c r="AY38" s="114">
        <f t="shared" si="11"/>
        <v>0</v>
      </c>
      <c r="AZ38" s="115"/>
      <c r="BA38" s="116"/>
    </row>
    <row r="39" spans="2:53" x14ac:dyDescent="0.25">
      <c r="B39" s="198">
        <v>13.61</v>
      </c>
      <c r="C39" s="20"/>
      <c r="D39" s="100">
        <f t="shared" si="0"/>
        <v>0</v>
      </c>
      <c r="E39" s="372"/>
      <c r="F39" s="100">
        <f t="shared" si="1"/>
        <v>0</v>
      </c>
      <c r="G39" s="111"/>
      <c r="H39" s="101"/>
      <c r="K39" s="198">
        <v>13.61</v>
      </c>
      <c r="L39" s="20"/>
      <c r="M39" s="100">
        <f t="shared" si="2"/>
        <v>0</v>
      </c>
      <c r="N39" s="372"/>
      <c r="O39" s="100">
        <f t="shared" si="3"/>
        <v>0</v>
      </c>
      <c r="P39" s="111"/>
      <c r="Q39" s="101"/>
      <c r="T39" s="198">
        <v>13.61</v>
      </c>
      <c r="U39" s="20"/>
      <c r="V39" s="528">
        <f t="shared" si="4"/>
        <v>0</v>
      </c>
      <c r="W39" s="531"/>
      <c r="X39" s="528">
        <f t="shared" si="5"/>
        <v>0</v>
      </c>
      <c r="Y39" s="530"/>
      <c r="Z39" s="230"/>
      <c r="AC39" s="198">
        <v>13.61</v>
      </c>
      <c r="AD39" s="20"/>
      <c r="AE39" s="114">
        <f t="shared" si="6"/>
        <v>0</v>
      </c>
      <c r="AF39" s="233"/>
      <c r="AG39" s="114">
        <f t="shared" si="7"/>
        <v>0</v>
      </c>
      <c r="AH39" s="115"/>
      <c r="AI39" s="116"/>
      <c r="AL39" s="198">
        <v>13.61</v>
      </c>
      <c r="AM39" s="20"/>
      <c r="AN39" s="114">
        <f t="shared" si="8"/>
        <v>0</v>
      </c>
      <c r="AO39" s="233"/>
      <c r="AP39" s="114">
        <f t="shared" si="9"/>
        <v>0</v>
      </c>
      <c r="AQ39" s="115"/>
      <c r="AR39" s="116"/>
      <c r="AU39" s="198">
        <v>13.61</v>
      </c>
      <c r="AV39" s="20"/>
      <c r="AW39" s="114">
        <f t="shared" si="10"/>
        <v>0</v>
      </c>
      <c r="AX39" s="233"/>
      <c r="AY39" s="114">
        <f t="shared" si="11"/>
        <v>0</v>
      </c>
      <c r="AZ39" s="115"/>
      <c r="BA39" s="116"/>
    </row>
    <row r="40" spans="2:53" x14ac:dyDescent="0.25">
      <c r="B40" s="198">
        <v>13.61</v>
      </c>
      <c r="C40" s="20"/>
      <c r="D40" s="100">
        <f t="shared" si="0"/>
        <v>0</v>
      </c>
      <c r="E40" s="372"/>
      <c r="F40" s="100">
        <f t="shared" si="1"/>
        <v>0</v>
      </c>
      <c r="G40" s="111"/>
      <c r="H40" s="101"/>
      <c r="K40" s="198">
        <v>13.61</v>
      </c>
      <c r="L40" s="20"/>
      <c r="M40" s="100">
        <f t="shared" si="2"/>
        <v>0</v>
      </c>
      <c r="N40" s="372"/>
      <c r="O40" s="100">
        <f t="shared" si="3"/>
        <v>0</v>
      </c>
      <c r="P40" s="111"/>
      <c r="Q40" s="101"/>
      <c r="T40" s="198">
        <v>13.61</v>
      </c>
      <c r="U40" s="20"/>
      <c r="V40" s="528">
        <f t="shared" si="4"/>
        <v>0</v>
      </c>
      <c r="W40" s="531"/>
      <c r="X40" s="528">
        <f t="shared" si="5"/>
        <v>0</v>
      </c>
      <c r="Y40" s="530"/>
      <c r="Z40" s="230"/>
      <c r="AC40" s="198">
        <v>13.61</v>
      </c>
      <c r="AD40" s="20"/>
      <c r="AE40" s="114">
        <f t="shared" si="6"/>
        <v>0</v>
      </c>
      <c r="AF40" s="233"/>
      <c r="AG40" s="114">
        <f t="shared" si="7"/>
        <v>0</v>
      </c>
      <c r="AH40" s="115"/>
      <c r="AI40" s="116"/>
      <c r="AL40" s="198">
        <v>13.61</v>
      </c>
      <c r="AM40" s="20"/>
      <c r="AN40" s="114">
        <f t="shared" si="8"/>
        <v>0</v>
      </c>
      <c r="AO40" s="233"/>
      <c r="AP40" s="114">
        <f t="shared" si="9"/>
        <v>0</v>
      </c>
      <c r="AQ40" s="115"/>
      <c r="AR40" s="116"/>
      <c r="AU40" s="198">
        <v>13.61</v>
      </c>
      <c r="AV40" s="20"/>
      <c r="AW40" s="114">
        <f t="shared" si="10"/>
        <v>0</v>
      </c>
      <c r="AX40" s="233"/>
      <c r="AY40" s="114">
        <f t="shared" si="11"/>
        <v>0</v>
      </c>
      <c r="AZ40" s="115"/>
      <c r="BA40" s="116"/>
    </row>
    <row r="41" spans="2:53" x14ac:dyDescent="0.25">
      <c r="B41" s="198">
        <v>13.61</v>
      </c>
      <c r="C41" s="20"/>
      <c r="D41" s="100">
        <f t="shared" si="0"/>
        <v>0</v>
      </c>
      <c r="E41" s="372"/>
      <c r="F41" s="100">
        <f t="shared" si="1"/>
        <v>0</v>
      </c>
      <c r="G41" s="111"/>
      <c r="H41" s="101"/>
      <c r="K41" s="198">
        <v>13.61</v>
      </c>
      <c r="L41" s="20"/>
      <c r="M41" s="100">
        <f t="shared" si="2"/>
        <v>0</v>
      </c>
      <c r="N41" s="372"/>
      <c r="O41" s="100">
        <f t="shared" si="3"/>
        <v>0</v>
      </c>
      <c r="P41" s="111"/>
      <c r="Q41" s="101"/>
      <c r="T41" s="198">
        <v>13.61</v>
      </c>
      <c r="U41" s="20"/>
      <c r="V41" s="528">
        <f t="shared" si="4"/>
        <v>0</v>
      </c>
      <c r="W41" s="531"/>
      <c r="X41" s="528">
        <f t="shared" si="5"/>
        <v>0</v>
      </c>
      <c r="Y41" s="530"/>
      <c r="Z41" s="230"/>
      <c r="AC41" s="198">
        <v>13.61</v>
      </c>
      <c r="AD41" s="20"/>
      <c r="AE41" s="114">
        <f t="shared" si="6"/>
        <v>0</v>
      </c>
      <c r="AF41" s="233"/>
      <c r="AG41" s="114">
        <f t="shared" si="7"/>
        <v>0</v>
      </c>
      <c r="AH41" s="115"/>
      <c r="AI41" s="116"/>
      <c r="AL41" s="198">
        <v>13.61</v>
      </c>
      <c r="AM41" s="20"/>
      <c r="AN41" s="114">
        <f t="shared" si="8"/>
        <v>0</v>
      </c>
      <c r="AO41" s="233"/>
      <c r="AP41" s="114">
        <f t="shared" si="9"/>
        <v>0</v>
      </c>
      <c r="AQ41" s="115"/>
      <c r="AR41" s="116"/>
      <c r="AU41" s="198">
        <v>13.61</v>
      </c>
      <c r="AV41" s="20"/>
      <c r="AW41" s="114">
        <f t="shared" si="10"/>
        <v>0</v>
      </c>
      <c r="AX41" s="233"/>
      <c r="AY41" s="114">
        <f t="shared" si="11"/>
        <v>0</v>
      </c>
      <c r="AZ41" s="115"/>
      <c r="BA41" s="116"/>
    </row>
    <row r="42" spans="2:53" x14ac:dyDescent="0.25">
      <c r="B42" s="198">
        <v>13.61</v>
      </c>
      <c r="C42" s="20"/>
      <c r="D42" s="100">
        <f t="shared" si="0"/>
        <v>0</v>
      </c>
      <c r="E42" s="372"/>
      <c r="F42" s="100">
        <f t="shared" si="1"/>
        <v>0</v>
      </c>
      <c r="G42" s="111"/>
      <c r="H42" s="101"/>
      <c r="K42" s="198">
        <v>13.61</v>
      </c>
      <c r="L42" s="20"/>
      <c r="M42" s="100">
        <f t="shared" si="2"/>
        <v>0</v>
      </c>
      <c r="N42" s="372"/>
      <c r="O42" s="100">
        <f t="shared" si="3"/>
        <v>0</v>
      </c>
      <c r="P42" s="111"/>
      <c r="Q42" s="101"/>
      <c r="T42" s="198">
        <v>13.61</v>
      </c>
      <c r="U42" s="20"/>
      <c r="V42" s="528">
        <f t="shared" si="4"/>
        <v>0</v>
      </c>
      <c r="W42" s="531"/>
      <c r="X42" s="528">
        <f t="shared" si="5"/>
        <v>0</v>
      </c>
      <c r="Y42" s="530"/>
      <c r="Z42" s="230"/>
      <c r="AC42" s="198">
        <v>13.61</v>
      </c>
      <c r="AD42" s="20"/>
      <c r="AE42" s="114">
        <f t="shared" si="6"/>
        <v>0</v>
      </c>
      <c r="AF42" s="233"/>
      <c r="AG42" s="114">
        <f t="shared" si="7"/>
        <v>0</v>
      </c>
      <c r="AH42" s="115"/>
      <c r="AI42" s="116"/>
      <c r="AL42" s="198">
        <v>13.61</v>
      </c>
      <c r="AM42" s="20"/>
      <c r="AN42" s="114">
        <f t="shared" si="8"/>
        <v>0</v>
      </c>
      <c r="AO42" s="233"/>
      <c r="AP42" s="114">
        <f t="shared" si="9"/>
        <v>0</v>
      </c>
      <c r="AQ42" s="115"/>
      <c r="AR42" s="116"/>
      <c r="AU42" s="198">
        <v>13.61</v>
      </c>
      <c r="AV42" s="20"/>
      <c r="AW42" s="114">
        <f t="shared" si="10"/>
        <v>0</v>
      </c>
      <c r="AX42" s="233"/>
      <c r="AY42" s="114">
        <f t="shared" si="11"/>
        <v>0</v>
      </c>
      <c r="AZ42" s="115"/>
      <c r="BA42" s="116"/>
    </row>
    <row r="43" spans="2:53" x14ac:dyDescent="0.25">
      <c r="B43" s="198">
        <v>13.61</v>
      </c>
      <c r="C43" s="20"/>
      <c r="D43" s="100">
        <f t="shared" si="0"/>
        <v>0</v>
      </c>
      <c r="E43" s="372"/>
      <c r="F43" s="100">
        <f t="shared" si="1"/>
        <v>0</v>
      </c>
      <c r="G43" s="111"/>
      <c r="H43" s="101"/>
      <c r="K43" s="198">
        <v>13.61</v>
      </c>
      <c r="L43" s="20"/>
      <c r="M43" s="100">
        <f t="shared" si="2"/>
        <v>0</v>
      </c>
      <c r="N43" s="372"/>
      <c r="O43" s="100">
        <f t="shared" si="3"/>
        <v>0</v>
      </c>
      <c r="P43" s="111"/>
      <c r="Q43" s="101"/>
      <c r="T43" s="198">
        <v>13.61</v>
      </c>
      <c r="U43" s="20"/>
      <c r="V43" s="528">
        <f t="shared" si="4"/>
        <v>0</v>
      </c>
      <c r="W43" s="531"/>
      <c r="X43" s="528">
        <f t="shared" si="5"/>
        <v>0</v>
      </c>
      <c r="Y43" s="530"/>
      <c r="Z43" s="230"/>
      <c r="AC43" s="198">
        <v>13.61</v>
      </c>
      <c r="AD43" s="20"/>
      <c r="AE43" s="114">
        <f t="shared" si="6"/>
        <v>0</v>
      </c>
      <c r="AF43" s="233"/>
      <c r="AG43" s="114">
        <f t="shared" si="7"/>
        <v>0</v>
      </c>
      <c r="AH43" s="115"/>
      <c r="AI43" s="116"/>
      <c r="AL43" s="198">
        <v>13.61</v>
      </c>
      <c r="AM43" s="20"/>
      <c r="AN43" s="114">
        <f t="shared" si="8"/>
        <v>0</v>
      </c>
      <c r="AO43" s="233"/>
      <c r="AP43" s="114">
        <f t="shared" si="9"/>
        <v>0</v>
      </c>
      <c r="AQ43" s="115"/>
      <c r="AR43" s="116"/>
      <c r="AU43" s="198">
        <v>13.61</v>
      </c>
      <c r="AV43" s="20"/>
      <c r="AW43" s="114">
        <f t="shared" si="10"/>
        <v>0</v>
      </c>
      <c r="AX43" s="233"/>
      <c r="AY43" s="114">
        <f t="shared" si="11"/>
        <v>0</v>
      </c>
      <c r="AZ43" s="115"/>
      <c r="BA43" s="116"/>
    </row>
    <row r="44" spans="2:53" x14ac:dyDescent="0.25">
      <c r="B44" s="198">
        <v>13.61</v>
      </c>
      <c r="C44" s="20"/>
      <c r="D44" s="100">
        <f t="shared" si="0"/>
        <v>0</v>
      </c>
      <c r="E44" s="372"/>
      <c r="F44" s="100">
        <f t="shared" si="1"/>
        <v>0</v>
      </c>
      <c r="G44" s="111"/>
      <c r="H44" s="101"/>
      <c r="K44" s="198">
        <v>13.61</v>
      </c>
      <c r="L44" s="20"/>
      <c r="M44" s="100">
        <f t="shared" si="2"/>
        <v>0</v>
      </c>
      <c r="N44" s="372"/>
      <c r="O44" s="100">
        <f t="shared" si="3"/>
        <v>0</v>
      </c>
      <c r="P44" s="111"/>
      <c r="Q44" s="101"/>
      <c r="T44" s="198">
        <v>13.61</v>
      </c>
      <c r="U44" s="20"/>
      <c r="V44" s="528">
        <f t="shared" si="4"/>
        <v>0</v>
      </c>
      <c r="W44" s="531"/>
      <c r="X44" s="528">
        <f t="shared" si="5"/>
        <v>0</v>
      </c>
      <c r="Y44" s="530"/>
      <c r="Z44" s="230"/>
      <c r="AC44" s="198">
        <v>13.61</v>
      </c>
      <c r="AD44" s="20"/>
      <c r="AE44" s="114">
        <f t="shared" si="6"/>
        <v>0</v>
      </c>
      <c r="AF44" s="233"/>
      <c r="AG44" s="114">
        <f t="shared" si="7"/>
        <v>0</v>
      </c>
      <c r="AH44" s="115"/>
      <c r="AI44" s="116"/>
      <c r="AL44" s="198">
        <v>13.61</v>
      </c>
      <c r="AM44" s="20"/>
      <c r="AN44" s="114">
        <f t="shared" si="8"/>
        <v>0</v>
      </c>
      <c r="AO44" s="233"/>
      <c r="AP44" s="114">
        <f t="shared" si="9"/>
        <v>0</v>
      </c>
      <c r="AQ44" s="115"/>
      <c r="AR44" s="116"/>
      <c r="AU44" s="198">
        <v>13.61</v>
      </c>
      <c r="AV44" s="20"/>
      <c r="AW44" s="114">
        <f t="shared" si="10"/>
        <v>0</v>
      </c>
      <c r="AX44" s="233"/>
      <c r="AY44" s="114">
        <f t="shared" si="11"/>
        <v>0</v>
      </c>
      <c r="AZ44" s="115"/>
      <c r="BA44" s="116"/>
    </row>
    <row r="45" spans="2:53" x14ac:dyDescent="0.25">
      <c r="B45" s="198">
        <v>13.61</v>
      </c>
      <c r="C45" s="20"/>
      <c r="D45" s="100">
        <f t="shared" si="0"/>
        <v>0</v>
      </c>
      <c r="E45" s="372"/>
      <c r="F45" s="100">
        <f t="shared" si="1"/>
        <v>0</v>
      </c>
      <c r="G45" s="111"/>
      <c r="H45" s="101"/>
      <c r="K45" s="198">
        <v>13.61</v>
      </c>
      <c r="L45" s="20"/>
      <c r="M45" s="114">
        <f t="shared" si="2"/>
        <v>0</v>
      </c>
      <c r="N45" s="233"/>
      <c r="O45" s="114">
        <f t="shared" si="3"/>
        <v>0</v>
      </c>
      <c r="P45" s="115"/>
      <c r="Q45" s="116"/>
      <c r="T45" s="198">
        <v>13.61</v>
      </c>
      <c r="U45" s="20"/>
      <c r="V45" s="528">
        <f t="shared" si="4"/>
        <v>0</v>
      </c>
      <c r="W45" s="531"/>
      <c r="X45" s="528">
        <f t="shared" si="5"/>
        <v>0</v>
      </c>
      <c r="Y45" s="530"/>
      <c r="Z45" s="230"/>
      <c r="AC45" s="198">
        <v>13.61</v>
      </c>
      <c r="AD45" s="20"/>
      <c r="AE45" s="114">
        <f t="shared" si="6"/>
        <v>0</v>
      </c>
      <c r="AF45" s="233"/>
      <c r="AG45" s="114">
        <f t="shared" si="7"/>
        <v>0</v>
      </c>
      <c r="AH45" s="115"/>
      <c r="AI45" s="116"/>
      <c r="AL45" s="198">
        <v>13.61</v>
      </c>
      <c r="AM45" s="20"/>
      <c r="AN45" s="114">
        <f t="shared" si="8"/>
        <v>0</v>
      </c>
      <c r="AO45" s="233"/>
      <c r="AP45" s="114">
        <f t="shared" si="9"/>
        <v>0</v>
      </c>
      <c r="AQ45" s="115"/>
      <c r="AR45" s="116"/>
      <c r="AU45" s="198">
        <v>13.61</v>
      </c>
      <c r="AV45" s="20"/>
      <c r="AW45" s="114">
        <f t="shared" si="10"/>
        <v>0</v>
      </c>
      <c r="AX45" s="233"/>
      <c r="AY45" s="114">
        <f t="shared" si="11"/>
        <v>0</v>
      </c>
      <c r="AZ45" s="115"/>
      <c r="BA45" s="116"/>
    </row>
    <row r="46" spans="2:53" x14ac:dyDescent="0.25">
      <c r="B46" s="198">
        <v>13.61</v>
      </c>
      <c r="C46" s="20"/>
      <c r="D46" s="100">
        <f t="shared" si="0"/>
        <v>0</v>
      </c>
      <c r="E46" s="372"/>
      <c r="F46" s="100">
        <f t="shared" si="1"/>
        <v>0</v>
      </c>
      <c r="G46" s="111"/>
      <c r="H46" s="101"/>
      <c r="K46" s="198">
        <v>13.61</v>
      </c>
      <c r="L46" s="20"/>
      <c r="M46" s="114">
        <f t="shared" si="2"/>
        <v>0</v>
      </c>
      <c r="N46" s="233"/>
      <c r="O46" s="114">
        <f t="shared" si="3"/>
        <v>0</v>
      </c>
      <c r="P46" s="115"/>
      <c r="Q46" s="116"/>
      <c r="T46" s="198">
        <v>13.61</v>
      </c>
      <c r="U46" s="20"/>
      <c r="V46" s="528">
        <f t="shared" si="4"/>
        <v>0</v>
      </c>
      <c r="W46" s="531"/>
      <c r="X46" s="528">
        <f t="shared" si="5"/>
        <v>0</v>
      </c>
      <c r="Y46" s="530"/>
      <c r="Z46" s="230"/>
      <c r="AC46" s="198">
        <v>13.61</v>
      </c>
      <c r="AD46" s="20"/>
      <c r="AE46" s="114">
        <f t="shared" si="6"/>
        <v>0</v>
      </c>
      <c r="AF46" s="233"/>
      <c r="AG46" s="114">
        <f t="shared" si="7"/>
        <v>0</v>
      </c>
      <c r="AH46" s="115"/>
      <c r="AI46" s="116"/>
      <c r="AL46" s="198">
        <v>13.61</v>
      </c>
      <c r="AM46" s="20"/>
      <c r="AN46" s="114">
        <f t="shared" si="8"/>
        <v>0</v>
      </c>
      <c r="AO46" s="233"/>
      <c r="AP46" s="114">
        <f t="shared" si="9"/>
        <v>0</v>
      </c>
      <c r="AQ46" s="115"/>
      <c r="AR46" s="116"/>
      <c r="AU46" s="198">
        <v>13.61</v>
      </c>
      <c r="AV46" s="20"/>
      <c r="AW46" s="114">
        <f t="shared" si="10"/>
        <v>0</v>
      </c>
      <c r="AX46" s="233"/>
      <c r="AY46" s="114">
        <f t="shared" si="11"/>
        <v>0</v>
      </c>
      <c r="AZ46" s="115"/>
      <c r="BA46" s="116"/>
    </row>
    <row r="47" spans="2:53" x14ac:dyDescent="0.25">
      <c r="B47" s="198">
        <v>13.61</v>
      </c>
      <c r="C47" s="20"/>
      <c r="D47" s="100">
        <f t="shared" si="0"/>
        <v>0</v>
      </c>
      <c r="E47" s="372"/>
      <c r="F47" s="100">
        <f t="shared" si="1"/>
        <v>0</v>
      </c>
      <c r="G47" s="111"/>
      <c r="H47" s="101"/>
      <c r="K47" s="198">
        <v>13.61</v>
      </c>
      <c r="L47" s="20"/>
      <c r="M47" s="114">
        <f t="shared" si="2"/>
        <v>0</v>
      </c>
      <c r="N47" s="233"/>
      <c r="O47" s="114">
        <f t="shared" si="3"/>
        <v>0</v>
      </c>
      <c r="P47" s="115"/>
      <c r="Q47" s="116"/>
      <c r="T47" s="198">
        <v>13.61</v>
      </c>
      <c r="U47" s="20"/>
      <c r="V47" s="528">
        <f t="shared" si="4"/>
        <v>0</v>
      </c>
      <c r="W47" s="531"/>
      <c r="X47" s="528">
        <f t="shared" si="5"/>
        <v>0</v>
      </c>
      <c r="Y47" s="530"/>
      <c r="Z47" s="230"/>
      <c r="AC47" s="198">
        <v>13.61</v>
      </c>
      <c r="AD47" s="20"/>
      <c r="AE47" s="114">
        <f t="shared" si="6"/>
        <v>0</v>
      </c>
      <c r="AF47" s="233"/>
      <c r="AG47" s="114">
        <f t="shared" si="7"/>
        <v>0</v>
      </c>
      <c r="AH47" s="115"/>
      <c r="AI47" s="116"/>
      <c r="AL47" s="198">
        <v>13.61</v>
      </c>
      <c r="AM47" s="20"/>
      <c r="AN47" s="114">
        <f t="shared" si="8"/>
        <v>0</v>
      </c>
      <c r="AO47" s="233"/>
      <c r="AP47" s="114">
        <f t="shared" si="9"/>
        <v>0</v>
      </c>
      <c r="AQ47" s="115"/>
      <c r="AR47" s="116"/>
      <c r="AU47" s="198">
        <v>13.61</v>
      </c>
      <c r="AV47" s="20"/>
      <c r="AW47" s="114">
        <f t="shared" si="10"/>
        <v>0</v>
      </c>
      <c r="AX47" s="233"/>
      <c r="AY47" s="114">
        <f t="shared" si="11"/>
        <v>0</v>
      </c>
      <c r="AZ47" s="115"/>
      <c r="BA47" s="116"/>
    </row>
    <row r="48" spans="2:53" x14ac:dyDescent="0.25">
      <c r="B48" s="198">
        <v>13.61</v>
      </c>
      <c r="C48" s="20"/>
      <c r="D48" s="100">
        <f t="shared" si="0"/>
        <v>0</v>
      </c>
      <c r="E48" s="372"/>
      <c r="F48" s="100">
        <f t="shared" si="1"/>
        <v>0</v>
      </c>
      <c r="G48" s="111"/>
      <c r="H48" s="101"/>
      <c r="K48" s="198">
        <v>13.61</v>
      </c>
      <c r="L48" s="20"/>
      <c r="M48" s="114">
        <f t="shared" si="2"/>
        <v>0</v>
      </c>
      <c r="N48" s="233"/>
      <c r="O48" s="114">
        <f t="shared" si="3"/>
        <v>0</v>
      </c>
      <c r="P48" s="115"/>
      <c r="Q48" s="116"/>
      <c r="T48" s="198">
        <v>13.61</v>
      </c>
      <c r="U48" s="20"/>
      <c r="V48" s="528">
        <f t="shared" si="4"/>
        <v>0</v>
      </c>
      <c r="W48" s="531"/>
      <c r="X48" s="528">
        <f t="shared" si="5"/>
        <v>0</v>
      </c>
      <c r="Y48" s="530"/>
      <c r="Z48" s="230"/>
      <c r="AC48" s="198">
        <v>13.61</v>
      </c>
      <c r="AD48" s="20"/>
      <c r="AE48" s="114">
        <f t="shared" si="6"/>
        <v>0</v>
      </c>
      <c r="AF48" s="233"/>
      <c r="AG48" s="114">
        <f t="shared" si="7"/>
        <v>0</v>
      </c>
      <c r="AH48" s="115"/>
      <c r="AI48" s="116"/>
      <c r="AL48" s="198">
        <v>13.61</v>
      </c>
      <c r="AM48" s="20"/>
      <c r="AN48" s="114">
        <f t="shared" si="8"/>
        <v>0</v>
      </c>
      <c r="AO48" s="233"/>
      <c r="AP48" s="114">
        <f t="shared" si="9"/>
        <v>0</v>
      </c>
      <c r="AQ48" s="115"/>
      <c r="AR48" s="116"/>
      <c r="AU48" s="198">
        <v>13.61</v>
      </c>
      <c r="AV48" s="20"/>
      <c r="AW48" s="114">
        <f t="shared" si="10"/>
        <v>0</v>
      </c>
      <c r="AX48" s="233"/>
      <c r="AY48" s="114">
        <f t="shared" si="11"/>
        <v>0</v>
      </c>
      <c r="AZ48" s="115"/>
      <c r="BA48" s="116"/>
    </row>
    <row r="49" spans="2:53" x14ac:dyDescent="0.25">
      <c r="B49" s="198">
        <v>13.61</v>
      </c>
      <c r="C49" s="20"/>
      <c r="D49" s="100">
        <f t="shared" si="0"/>
        <v>0</v>
      </c>
      <c r="E49" s="372"/>
      <c r="F49" s="100">
        <f t="shared" si="1"/>
        <v>0</v>
      </c>
      <c r="G49" s="111"/>
      <c r="H49" s="101"/>
      <c r="K49" s="198">
        <v>13.61</v>
      </c>
      <c r="L49" s="20"/>
      <c r="M49" s="114">
        <f t="shared" si="2"/>
        <v>0</v>
      </c>
      <c r="N49" s="233"/>
      <c r="O49" s="114">
        <f t="shared" si="3"/>
        <v>0</v>
      </c>
      <c r="P49" s="115"/>
      <c r="Q49" s="116"/>
      <c r="T49" s="198">
        <v>13.61</v>
      </c>
      <c r="U49" s="20"/>
      <c r="V49" s="528">
        <f t="shared" si="4"/>
        <v>0</v>
      </c>
      <c r="W49" s="531"/>
      <c r="X49" s="528">
        <f t="shared" si="5"/>
        <v>0</v>
      </c>
      <c r="Y49" s="530"/>
      <c r="Z49" s="230"/>
      <c r="AC49" s="198">
        <v>13.61</v>
      </c>
      <c r="AD49" s="20"/>
      <c r="AE49" s="114">
        <f t="shared" si="6"/>
        <v>0</v>
      </c>
      <c r="AF49" s="233"/>
      <c r="AG49" s="114">
        <f t="shared" si="7"/>
        <v>0</v>
      </c>
      <c r="AH49" s="115"/>
      <c r="AI49" s="116"/>
      <c r="AL49" s="198">
        <v>13.61</v>
      </c>
      <c r="AM49" s="20"/>
      <c r="AN49" s="114">
        <f t="shared" si="8"/>
        <v>0</v>
      </c>
      <c r="AO49" s="233"/>
      <c r="AP49" s="114">
        <f t="shared" si="9"/>
        <v>0</v>
      </c>
      <c r="AQ49" s="115"/>
      <c r="AR49" s="116"/>
      <c r="AU49" s="198">
        <v>13.61</v>
      </c>
      <c r="AV49" s="20"/>
      <c r="AW49" s="114">
        <f t="shared" si="10"/>
        <v>0</v>
      </c>
      <c r="AX49" s="233"/>
      <c r="AY49" s="114">
        <f t="shared" si="11"/>
        <v>0</v>
      </c>
      <c r="AZ49" s="115"/>
      <c r="BA49" s="116"/>
    </row>
    <row r="50" spans="2:53" x14ac:dyDescent="0.25">
      <c r="B50" s="198">
        <v>13.61</v>
      </c>
      <c r="C50" s="20"/>
      <c r="D50" s="100">
        <f t="shared" si="0"/>
        <v>0</v>
      </c>
      <c r="E50" s="372"/>
      <c r="F50" s="100">
        <f t="shared" si="1"/>
        <v>0</v>
      </c>
      <c r="G50" s="111"/>
      <c r="H50" s="101"/>
      <c r="K50" s="198">
        <v>13.61</v>
      </c>
      <c r="L50" s="20"/>
      <c r="M50" s="114">
        <f t="shared" si="2"/>
        <v>0</v>
      </c>
      <c r="N50" s="233"/>
      <c r="O50" s="114">
        <f t="shared" si="3"/>
        <v>0</v>
      </c>
      <c r="P50" s="115"/>
      <c r="Q50" s="116"/>
      <c r="T50" s="198">
        <v>13.61</v>
      </c>
      <c r="U50" s="20"/>
      <c r="V50" s="528">
        <f t="shared" si="4"/>
        <v>0</v>
      </c>
      <c r="W50" s="531"/>
      <c r="X50" s="528">
        <f t="shared" si="5"/>
        <v>0</v>
      </c>
      <c r="Y50" s="530"/>
      <c r="Z50" s="230"/>
      <c r="AC50" s="198">
        <v>13.61</v>
      </c>
      <c r="AD50" s="20"/>
      <c r="AE50" s="114">
        <f t="shared" si="6"/>
        <v>0</v>
      </c>
      <c r="AF50" s="233"/>
      <c r="AG50" s="114">
        <f t="shared" si="7"/>
        <v>0</v>
      </c>
      <c r="AH50" s="115"/>
      <c r="AI50" s="116"/>
      <c r="AL50" s="198">
        <v>13.61</v>
      </c>
      <c r="AM50" s="20"/>
      <c r="AN50" s="114">
        <f t="shared" si="8"/>
        <v>0</v>
      </c>
      <c r="AO50" s="233"/>
      <c r="AP50" s="114">
        <f t="shared" si="9"/>
        <v>0</v>
      </c>
      <c r="AQ50" s="115"/>
      <c r="AR50" s="116"/>
      <c r="AU50" s="198">
        <v>13.61</v>
      </c>
      <c r="AV50" s="20"/>
      <c r="AW50" s="114">
        <f t="shared" si="10"/>
        <v>0</v>
      </c>
      <c r="AX50" s="233"/>
      <c r="AY50" s="114">
        <f t="shared" si="11"/>
        <v>0</v>
      </c>
      <c r="AZ50" s="115"/>
      <c r="BA50" s="116"/>
    </row>
    <row r="51" spans="2:53" x14ac:dyDescent="0.25">
      <c r="B51" s="198">
        <v>13.61</v>
      </c>
      <c r="C51" s="20"/>
      <c r="D51" s="100">
        <f t="shared" si="0"/>
        <v>0</v>
      </c>
      <c r="E51" s="372"/>
      <c r="F51" s="100">
        <f t="shared" si="1"/>
        <v>0</v>
      </c>
      <c r="G51" s="111"/>
      <c r="H51" s="101"/>
      <c r="K51" s="198">
        <v>13.61</v>
      </c>
      <c r="L51" s="20"/>
      <c r="M51" s="114">
        <f t="shared" si="2"/>
        <v>0</v>
      </c>
      <c r="N51" s="233"/>
      <c r="O51" s="114">
        <f t="shared" si="3"/>
        <v>0</v>
      </c>
      <c r="P51" s="115"/>
      <c r="Q51" s="116"/>
      <c r="T51" s="198">
        <v>13.61</v>
      </c>
      <c r="U51" s="20"/>
      <c r="V51" s="528">
        <f t="shared" si="4"/>
        <v>0</v>
      </c>
      <c r="W51" s="531"/>
      <c r="X51" s="528">
        <f t="shared" si="5"/>
        <v>0</v>
      </c>
      <c r="Y51" s="530"/>
      <c r="Z51" s="230"/>
      <c r="AC51" s="198">
        <v>13.61</v>
      </c>
      <c r="AD51" s="20"/>
      <c r="AE51" s="114">
        <f t="shared" si="6"/>
        <v>0</v>
      </c>
      <c r="AF51" s="233"/>
      <c r="AG51" s="114">
        <f t="shared" si="7"/>
        <v>0</v>
      </c>
      <c r="AH51" s="115"/>
      <c r="AI51" s="116"/>
      <c r="AL51" s="198">
        <v>13.61</v>
      </c>
      <c r="AM51" s="20"/>
      <c r="AN51" s="114">
        <f t="shared" si="8"/>
        <v>0</v>
      </c>
      <c r="AO51" s="233"/>
      <c r="AP51" s="114">
        <f t="shared" si="9"/>
        <v>0</v>
      </c>
      <c r="AQ51" s="115"/>
      <c r="AR51" s="116"/>
      <c r="AU51" s="198">
        <v>13.61</v>
      </c>
      <c r="AV51" s="20"/>
      <c r="AW51" s="114">
        <f t="shared" si="10"/>
        <v>0</v>
      </c>
      <c r="AX51" s="233"/>
      <c r="AY51" s="114">
        <f t="shared" si="11"/>
        <v>0</v>
      </c>
      <c r="AZ51" s="115"/>
      <c r="BA51" s="116"/>
    </row>
    <row r="52" spans="2:53" x14ac:dyDescent="0.25">
      <c r="B52" s="198">
        <v>13.61</v>
      </c>
      <c r="C52" s="20"/>
      <c r="D52" s="100">
        <f t="shared" si="0"/>
        <v>0</v>
      </c>
      <c r="E52" s="372"/>
      <c r="F52" s="100">
        <f t="shared" si="1"/>
        <v>0</v>
      </c>
      <c r="G52" s="111"/>
      <c r="H52" s="101"/>
      <c r="K52" s="198">
        <v>13.61</v>
      </c>
      <c r="L52" s="20"/>
      <c r="M52" s="114">
        <f t="shared" si="2"/>
        <v>0</v>
      </c>
      <c r="N52" s="233"/>
      <c r="O52" s="114">
        <f t="shared" si="3"/>
        <v>0</v>
      </c>
      <c r="P52" s="115"/>
      <c r="Q52" s="116"/>
      <c r="T52" s="198">
        <v>13.61</v>
      </c>
      <c r="U52" s="20"/>
      <c r="V52" s="528">
        <f t="shared" si="4"/>
        <v>0</v>
      </c>
      <c r="W52" s="531"/>
      <c r="X52" s="528">
        <f t="shared" si="5"/>
        <v>0</v>
      </c>
      <c r="Y52" s="530"/>
      <c r="Z52" s="230"/>
      <c r="AC52" s="198">
        <v>13.61</v>
      </c>
      <c r="AD52" s="20"/>
      <c r="AE52" s="114">
        <f t="shared" si="6"/>
        <v>0</v>
      </c>
      <c r="AF52" s="233"/>
      <c r="AG52" s="114">
        <f t="shared" si="7"/>
        <v>0</v>
      </c>
      <c r="AH52" s="115"/>
      <c r="AI52" s="116"/>
      <c r="AL52" s="198">
        <v>13.61</v>
      </c>
      <c r="AM52" s="20"/>
      <c r="AN52" s="114">
        <f t="shared" si="8"/>
        <v>0</v>
      </c>
      <c r="AO52" s="233"/>
      <c r="AP52" s="114">
        <f t="shared" si="9"/>
        <v>0</v>
      </c>
      <c r="AQ52" s="115"/>
      <c r="AR52" s="116"/>
      <c r="AU52" s="198">
        <v>13.61</v>
      </c>
      <c r="AV52" s="20"/>
      <c r="AW52" s="114">
        <f t="shared" si="10"/>
        <v>0</v>
      </c>
      <c r="AX52" s="233"/>
      <c r="AY52" s="114">
        <f t="shared" si="11"/>
        <v>0</v>
      </c>
      <c r="AZ52" s="115"/>
      <c r="BA52" s="116"/>
    </row>
    <row r="53" spans="2:53" x14ac:dyDescent="0.25">
      <c r="B53" s="198">
        <v>13.61</v>
      </c>
      <c r="C53" s="20"/>
      <c r="D53" s="100">
        <f t="shared" si="0"/>
        <v>0</v>
      </c>
      <c r="E53" s="372"/>
      <c r="F53" s="100">
        <f t="shared" si="1"/>
        <v>0</v>
      </c>
      <c r="G53" s="111"/>
      <c r="H53" s="101"/>
      <c r="K53" s="198">
        <v>13.61</v>
      </c>
      <c r="L53" s="20"/>
      <c r="M53" s="114">
        <f t="shared" si="2"/>
        <v>0</v>
      </c>
      <c r="N53" s="233"/>
      <c r="O53" s="114">
        <f t="shared" si="3"/>
        <v>0</v>
      </c>
      <c r="P53" s="115"/>
      <c r="Q53" s="116"/>
      <c r="T53" s="198">
        <v>13.61</v>
      </c>
      <c r="U53" s="20"/>
      <c r="V53" s="528">
        <f t="shared" si="4"/>
        <v>0</v>
      </c>
      <c r="W53" s="531"/>
      <c r="X53" s="528">
        <f t="shared" si="5"/>
        <v>0</v>
      </c>
      <c r="Y53" s="530"/>
      <c r="Z53" s="230"/>
      <c r="AC53" s="198">
        <v>13.61</v>
      </c>
      <c r="AD53" s="20"/>
      <c r="AE53" s="114">
        <f t="shared" si="6"/>
        <v>0</v>
      </c>
      <c r="AF53" s="233"/>
      <c r="AG53" s="114">
        <f t="shared" si="7"/>
        <v>0</v>
      </c>
      <c r="AH53" s="115"/>
      <c r="AI53" s="116"/>
      <c r="AL53" s="198">
        <v>13.61</v>
      </c>
      <c r="AM53" s="20"/>
      <c r="AN53" s="114">
        <f t="shared" si="8"/>
        <v>0</v>
      </c>
      <c r="AO53" s="233"/>
      <c r="AP53" s="114">
        <f t="shared" si="9"/>
        <v>0</v>
      </c>
      <c r="AQ53" s="115"/>
      <c r="AR53" s="116"/>
      <c r="AU53" s="198">
        <v>13.61</v>
      </c>
      <c r="AV53" s="20"/>
      <c r="AW53" s="114">
        <f t="shared" si="10"/>
        <v>0</v>
      </c>
      <c r="AX53" s="233"/>
      <c r="AY53" s="114">
        <f t="shared" si="11"/>
        <v>0</v>
      </c>
      <c r="AZ53" s="115"/>
      <c r="BA53" s="116"/>
    </row>
    <row r="54" spans="2:53" x14ac:dyDescent="0.25">
      <c r="B54" s="198">
        <v>13.61</v>
      </c>
      <c r="C54" s="20"/>
      <c r="D54" s="100">
        <f t="shared" si="0"/>
        <v>0</v>
      </c>
      <c r="E54" s="372"/>
      <c r="F54" s="100">
        <f t="shared" si="1"/>
        <v>0</v>
      </c>
      <c r="G54" s="111"/>
      <c r="H54" s="101"/>
      <c r="K54" s="198">
        <v>13.61</v>
      </c>
      <c r="L54" s="20"/>
      <c r="M54" s="114">
        <f t="shared" si="2"/>
        <v>0</v>
      </c>
      <c r="N54" s="233"/>
      <c r="O54" s="114">
        <f t="shared" si="3"/>
        <v>0</v>
      </c>
      <c r="P54" s="115"/>
      <c r="Q54" s="116"/>
      <c r="T54" s="198">
        <v>13.61</v>
      </c>
      <c r="U54" s="20"/>
      <c r="V54" s="528">
        <f t="shared" si="4"/>
        <v>0</v>
      </c>
      <c r="W54" s="531"/>
      <c r="X54" s="528">
        <f t="shared" si="5"/>
        <v>0</v>
      </c>
      <c r="Y54" s="530"/>
      <c r="Z54" s="230"/>
      <c r="AC54" s="198">
        <v>13.61</v>
      </c>
      <c r="AD54" s="20"/>
      <c r="AE54" s="114">
        <f t="shared" si="6"/>
        <v>0</v>
      </c>
      <c r="AF54" s="233"/>
      <c r="AG54" s="114">
        <f t="shared" si="7"/>
        <v>0</v>
      </c>
      <c r="AH54" s="115"/>
      <c r="AI54" s="116"/>
      <c r="AL54" s="198">
        <v>13.61</v>
      </c>
      <c r="AM54" s="20"/>
      <c r="AN54" s="114">
        <f t="shared" si="8"/>
        <v>0</v>
      </c>
      <c r="AO54" s="233"/>
      <c r="AP54" s="114">
        <f t="shared" si="9"/>
        <v>0</v>
      </c>
      <c r="AQ54" s="115"/>
      <c r="AR54" s="116"/>
      <c r="AU54" s="198">
        <v>13.61</v>
      </c>
      <c r="AV54" s="20"/>
      <c r="AW54" s="114">
        <f t="shared" si="10"/>
        <v>0</v>
      </c>
      <c r="AX54" s="233"/>
      <c r="AY54" s="114">
        <f t="shared" si="11"/>
        <v>0</v>
      </c>
      <c r="AZ54" s="115"/>
      <c r="BA54" s="116"/>
    </row>
    <row r="55" spans="2:53" x14ac:dyDescent="0.25">
      <c r="B55" s="198">
        <v>13.61</v>
      </c>
      <c r="C55" s="20"/>
      <c r="D55" s="100">
        <f t="shared" si="0"/>
        <v>0</v>
      </c>
      <c r="E55" s="372"/>
      <c r="F55" s="100">
        <f t="shared" si="1"/>
        <v>0</v>
      </c>
      <c r="G55" s="111"/>
      <c r="H55" s="101"/>
      <c r="K55" s="198">
        <v>13.61</v>
      </c>
      <c r="L55" s="20"/>
      <c r="M55" s="114">
        <f t="shared" si="2"/>
        <v>0</v>
      </c>
      <c r="N55" s="233"/>
      <c r="O55" s="114">
        <f t="shared" si="3"/>
        <v>0</v>
      </c>
      <c r="P55" s="115"/>
      <c r="Q55" s="116"/>
      <c r="T55" s="198">
        <v>13.61</v>
      </c>
      <c r="U55" s="20"/>
      <c r="V55" s="528">
        <f t="shared" si="4"/>
        <v>0</v>
      </c>
      <c r="W55" s="531"/>
      <c r="X55" s="528">
        <f t="shared" si="5"/>
        <v>0</v>
      </c>
      <c r="Y55" s="530"/>
      <c r="Z55" s="230"/>
      <c r="AC55" s="198">
        <v>13.61</v>
      </c>
      <c r="AD55" s="20"/>
      <c r="AE55" s="114">
        <f t="shared" si="6"/>
        <v>0</v>
      </c>
      <c r="AF55" s="233"/>
      <c r="AG55" s="114">
        <f t="shared" si="7"/>
        <v>0</v>
      </c>
      <c r="AH55" s="115"/>
      <c r="AI55" s="116"/>
      <c r="AL55" s="198">
        <v>13.61</v>
      </c>
      <c r="AM55" s="20"/>
      <c r="AN55" s="114">
        <f t="shared" si="8"/>
        <v>0</v>
      </c>
      <c r="AO55" s="233"/>
      <c r="AP55" s="114">
        <f t="shared" si="9"/>
        <v>0</v>
      </c>
      <c r="AQ55" s="115"/>
      <c r="AR55" s="116"/>
      <c r="AU55" s="198">
        <v>13.61</v>
      </c>
      <c r="AV55" s="20"/>
      <c r="AW55" s="114">
        <f t="shared" si="10"/>
        <v>0</v>
      </c>
      <c r="AX55" s="233"/>
      <c r="AY55" s="114">
        <f t="shared" si="11"/>
        <v>0</v>
      </c>
      <c r="AZ55" s="115"/>
      <c r="BA55" s="116"/>
    </row>
    <row r="56" spans="2:53" x14ac:dyDescent="0.25">
      <c r="B56" s="198">
        <v>13.61</v>
      </c>
      <c r="C56" s="20"/>
      <c r="D56" s="100">
        <f t="shared" si="0"/>
        <v>0</v>
      </c>
      <c r="E56" s="372"/>
      <c r="F56" s="100">
        <f t="shared" si="1"/>
        <v>0</v>
      </c>
      <c r="G56" s="111"/>
      <c r="H56" s="101"/>
      <c r="K56" s="198">
        <v>13.61</v>
      </c>
      <c r="L56" s="20"/>
      <c r="M56" s="114">
        <f t="shared" si="2"/>
        <v>0</v>
      </c>
      <c r="N56" s="233"/>
      <c r="O56" s="114">
        <f t="shared" si="3"/>
        <v>0</v>
      </c>
      <c r="P56" s="115"/>
      <c r="Q56" s="116"/>
      <c r="T56" s="198">
        <v>13.61</v>
      </c>
      <c r="U56" s="20"/>
      <c r="V56" s="528">
        <f t="shared" si="4"/>
        <v>0</v>
      </c>
      <c r="W56" s="531"/>
      <c r="X56" s="528">
        <f t="shared" si="5"/>
        <v>0</v>
      </c>
      <c r="Y56" s="530"/>
      <c r="Z56" s="230"/>
      <c r="AC56" s="198">
        <v>13.61</v>
      </c>
      <c r="AD56" s="20"/>
      <c r="AE56" s="114">
        <f t="shared" si="6"/>
        <v>0</v>
      </c>
      <c r="AF56" s="233"/>
      <c r="AG56" s="114">
        <f t="shared" si="7"/>
        <v>0</v>
      </c>
      <c r="AH56" s="115"/>
      <c r="AI56" s="116"/>
      <c r="AL56" s="198">
        <v>13.61</v>
      </c>
      <c r="AM56" s="20"/>
      <c r="AN56" s="114">
        <f t="shared" si="8"/>
        <v>0</v>
      </c>
      <c r="AO56" s="233"/>
      <c r="AP56" s="114">
        <f t="shared" si="9"/>
        <v>0</v>
      </c>
      <c r="AQ56" s="115"/>
      <c r="AR56" s="116"/>
      <c r="AU56" s="198">
        <v>13.61</v>
      </c>
      <c r="AV56" s="20"/>
      <c r="AW56" s="114">
        <f t="shared" si="10"/>
        <v>0</v>
      </c>
      <c r="AX56" s="233"/>
      <c r="AY56" s="114">
        <f t="shared" si="11"/>
        <v>0</v>
      </c>
      <c r="AZ56" s="115"/>
      <c r="BA56" s="116"/>
    </row>
    <row r="57" spans="2:53" ht="15.75" thickBot="1" x14ac:dyDescent="0.3">
      <c r="B57" s="198">
        <v>13.61</v>
      </c>
      <c r="C57" s="305"/>
      <c r="D57" s="208">
        <f t="shared" si="0"/>
        <v>0</v>
      </c>
      <c r="E57" s="209"/>
      <c r="F57" s="199">
        <f>D57</f>
        <v>0</v>
      </c>
      <c r="G57" s="200"/>
      <c r="H57" s="101"/>
      <c r="K57" s="198">
        <v>13.61</v>
      </c>
      <c r="L57" s="305"/>
      <c r="M57" s="353">
        <f t="shared" si="2"/>
        <v>0</v>
      </c>
      <c r="N57" s="382"/>
      <c r="O57" s="355">
        <f>M57</f>
        <v>0</v>
      </c>
      <c r="P57" s="306"/>
      <c r="Q57" s="116"/>
      <c r="T57" s="198">
        <v>13.61</v>
      </c>
      <c r="U57" s="305"/>
      <c r="V57" s="612">
        <f t="shared" si="4"/>
        <v>0</v>
      </c>
      <c r="W57" s="265"/>
      <c r="X57" s="231">
        <f>V57</f>
        <v>0</v>
      </c>
      <c r="Y57" s="232"/>
      <c r="Z57" s="230"/>
      <c r="AC57" s="198">
        <v>13.61</v>
      </c>
      <c r="AD57" s="305"/>
      <c r="AE57" s="353">
        <f t="shared" si="6"/>
        <v>0</v>
      </c>
      <c r="AF57" s="382"/>
      <c r="AG57" s="355">
        <f>AE57</f>
        <v>0</v>
      </c>
      <c r="AH57" s="306"/>
      <c r="AI57" s="116"/>
      <c r="AL57" s="198">
        <v>13.61</v>
      </c>
      <c r="AM57" s="305"/>
      <c r="AN57" s="353">
        <f t="shared" si="8"/>
        <v>0</v>
      </c>
      <c r="AO57" s="382"/>
      <c r="AP57" s="355">
        <f>AN57</f>
        <v>0</v>
      </c>
      <c r="AQ57" s="306"/>
      <c r="AR57" s="116"/>
      <c r="AU57" s="198">
        <v>13.61</v>
      </c>
      <c r="AV57" s="305"/>
      <c r="AW57" s="353">
        <f t="shared" si="10"/>
        <v>0</v>
      </c>
      <c r="AX57" s="382"/>
      <c r="AY57" s="355">
        <f>AW57</f>
        <v>0</v>
      </c>
      <c r="AZ57" s="306"/>
      <c r="BA57" s="116"/>
    </row>
    <row r="58" spans="2:53" x14ac:dyDescent="0.25">
      <c r="C58" s="82">
        <f>SUM(C9:C57)</f>
        <v>151</v>
      </c>
      <c r="D58" s="9">
        <f>SUM(D9:D57)</f>
        <v>2041.5</v>
      </c>
      <c r="F58" s="9">
        <f>SUM(F9:F57)</f>
        <v>2041.5</v>
      </c>
      <c r="L58" s="82">
        <f>SUM(L9:L57)</f>
        <v>217</v>
      </c>
      <c r="M58" s="9">
        <f>SUM(M9:M57)</f>
        <v>2953.3699999999994</v>
      </c>
      <c r="O58" s="9">
        <f>SUM(O9:O57)</f>
        <v>2953.3699999999994</v>
      </c>
      <c r="U58" s="82">
        <f>SUM(U9:U57)</f>
        <v>445</v>
      </c>
      <c r="V58" s="9">
        <f>SUM(V9:V57)</f>
        <v>6055.4600000000019</v>
      </c>
      <c r="X58" s="9">
        <f>SUM(X9:X57)</f>
        <v>6055.4600000000019</v>
      </c>
      <c r="AD58" s="82">
        <f>SUM(AD9:AD57)</f>
        <v>65</v>
      </c>
      <c r="AE58" s="9">
        <f>SUM(AE9:AE57)</f>
        <v>884.64999999999986</v>
      </c>
      <c r="AG58" s="9">
        <f>SUM(AG9:AG57)</f>
        <v>884.64999999999986</v>
      </c>
      <c r="AM58" s="82">
        <f>SUM(AM9:AM57)</f>
        <v>137</v>
      </c>
      <c r="AN58" s="9">
        <f>SUM(AN9:AN57)</f>
        <v>1864.5699999999997</v>
      </c>
      <c r="AP58" s="9">
        <f>SUM(AP9:AP57)</f>
        <v>1864.5699999999997</v>
      </c>
      <c r="AV58" s="82">
        <f>SUM(AV9:AV57)</f>
        <v>0</v>
      </c>
      <c r="AW58" s="9">
        <f>SUM(AW9:AW57)</f>
        <v>0</v>
      </c>
      <c r="AY58" s="9">
        <f>SUM(AY9:AY57)</f>
        <v>0</v>
      </c>
    </row>
    <row r="60" spans="2:53" ht="15.75" thickBot="1" x14ac:dyDescent="0.3"/>
    <row r="61" spans="2:53" ht="15.75" thickBot="1" x14ac:dyDescent="0.3">
      <c r="D61" s="61" t="s">
        <v>4</v>
      </c>
      <c r="E61" s="93">
        <f>F5+F6+F7-C58+F4</f>
        <v>0</v>
      </c>
      <c r="M61" s="61" t="s">
        <v>4</v>
      </c>
      <c r="N61" s="93">
        <f>O5+O6+O7-L58+O4</f>
        <v>5</v>
      </c>
      <c r="V61" s="61" t="s">
        <v>4</v>
      </c>
      <c r="W61" s="93">
        <f>X5+X6+X7-U58+X4</f>
        <v>0</v>
      </c>
      <c r="AE61" s="61" t="s">
        <v>4</v>
      </c>
      <c r="AF61" s="93">
        <f>AG5+AG6+AG7-AD58+AG4</f>
        <v>96</v>
      </c>
      <c r="AN61" s="61" t="s">
        <v>4</v>
      </c>
      <c r="AO61" s="93">
        <f>AP5+AP6+AP7-AM58+AP4</f>
        <v>546</v>
      </c>
      <c r="AW61" s="61" t="s">
        <v>4</v>
      </c>
      <c r="AX61" s="93">
        <f>AY5+AY6+AY7-AV58+AY4</f>
        <v>150</v>
      </c>
    </row>
    <row r="62" spans="2:53" ht="15.75" thickBot="1" x14ac:dyDescent="0.3"/>
    <row r="63" spans="2:53" ht="15.75" thickBot="1" x14ac:dyDescent="0.3">
      <c r="C63" s="757" t="s">
        <v>11</v>
      </c>
      <c r="D63" s="758"/>
      <c r="E63" s="95">
        <f>E5+E6+E7-F58</f>
        <v>0</v>
      </c>
      <c r="F63" s="124"/>
      <c r="G63" s="16"/>
      <c r="L63" s="757" t="s">
        <v>11</v>
      </c>
      <c r="M63" s="758"/>
      <c r="N63" s="95">
        <f>N5+N6+N7-O58</f>
        <v>68.050000000000182</v>
      </c>
      <c r="O63" s="124"/>
      <c r="P63" s="16"/>
      <c r="U63" s="757" t="s">
        <v>11</v>
      </c>
      <c r="V63" s="758"/>
      <c r="W63" s="95">
        <f>W5+W6+W7-X58</f>
        <v>0</v>
      </c>
      <c r="X63" s="124"/>
      <c r="Y63" s="16"/>
      <c r="AD63" s="757" t="s">
        <v>11</v>
      </c>
      <c r="AE63" s="758"/>
      <c r="AF63" s="95">
        <f>AF5+AF6+AF7-AG58</f>
        <v>1307.0400000000002</v>
      </c>
      <c r="AG63" s="124"/>
      <c r="AH63" s="16"/>
      <c r="AM63" s="757" t="s">
        <v>11</v>
      </c>
      <c r="AN63" s="758"/>
      <c r="AO63" s="95">
        <f>AO5+AO6+AO7-AP58</f>
        <v>7417.4499999999989</v>
      </c>
      <c r="AP63" s="124"/>
      <c r="AQ63" s="16"/>
      <c r="AV63" s="757" t="s">
        <v>11</v>
      </c>
      <c r="AW63" s="758"/>
      <c r="AX63" s="95">
        <f>AX5+AX6+AX7-AY58</f>
        <v>2041.2</v>
      </c>
      <c r="AY63" s="124"/>
      <c r="AZ63" s="16"/>
    </row>
    <row r="64" spans="2:53" x14ac:dyDescent="0.25">
      <c r="F64" s="16"/>
      <c r="G64" s="16"/>
      <c r="O64" s="16"/>
      <c r="P64" s="16"/>
      <c r="X64" s="16"/>
      <c r="Y64" s="16"/>
      <c r="AG64" s="16"/>
      <c r="AH64" s="16"/>
      <c r="AP64" s="16"/>
      <c r="AQ64" s="16"/>
      <c r="AY64" s="16"/>
      <c r="AZ64" s="16"/>
    </row>
    <row r="67" spans="1:47" x14ac:dyDescent="0.25">
      <c r="A67" s="184"/>
      <c r="B67" s="225"/>
      <c r="J67" s="184"/>
      <c r="K67" s="225"/>
      <c r="S67" s="184"/>
      <c r="T67" s="225"/>
      <c r="AB67" s="184"/>
      <c r="AC67" s="225"/>
      <c r="AK67" s="184"/>
      <c r="AL67" s="225"/>
      <c r="AT67" s="184"/>
      <c r="AU67" s="225"/>
    </row>
  </sheetData>
  <mergeCells count="12">
    <mergeCell ref="AB1:AH1"/>
    <mergeCell ref="AD63:AE63"/>
    <mergeCell ref="AK1:AQ1"/>
    <mergeCell ref="AM63:AN63"/>
    <mergeCell ref="AT1:AZ1"/>
    <mergeCell ref="AV63:AW63"/>
    <mergeCell ref="S1:Y1"/>
    <mergeCell ref="U63:V63"/>
    <mergeCell ref="A1:G1"/>
    <mergeCell ref="C63:D63"/>
    <mergeCell ref="J1:P1"/>
    <mergeCell ref="L63:M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J82"/>
  <sheetViews>
    <sheetView topLeftCell="AJ1" workbookViewId="0">
      <selection activeCell="AM17" sqref="AM1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  <col min="35" max="35" width="9.42578125" customWidth="1"/>
    <col min="37" max="37" width="31.140625" bestFit="1" customWidth="1"/>
    <col min="38" max="38" width="18" customWidth="1"/>
    <col min="39" max="39" width="14.7109375" customWidth="1"/>
    <col min="41" max="41" width="13" bestFit="1" customWidth="1"/>
    <col min="44" max="44" width="9.42578125" customWidth="1"/>
    <col min="46" max="46" width="31.140625" bestFit="1" customWidth="1"/>
    <col min="47" max="47" width="18" customWidth="1"/>
    <col min="48" max="48" width="14.7109375" customWidth="1"/>
    <col min="50" max="50" width="13" bestFit="1" customWidth="1"/>
    <col min="53" max="53" width="9.42578125" customWidth="1"/>
    <col min="55" max="55" width="31.140625" bestFit="1" customWidth="1"/>
    <col min="56" max="56" width="18" customWidth="1"/>
    <col min="57" max="57" width="14.7109375" customWidth="1"/>
    <col min="59" max="59" width="13" bestFit="1" customWidth="1"/>
    <col min="62" max="62" width="9.42578125" customWidth="1"/>
  </cols>
  <sheetData>
    <row r="1" spans="1:62" ht="40.5" x14ac:dyDescent="0.55000000000000004">
      <c r="A1" s="759" t="s">
        <v>259</v>
      </c>
      <c r="B1" s="759"/>
      <c r="C1" s="759"/>
      <c r="D1" s="759"/>
      <c r="E1" s="759"/>
      <c r="F1" s="759"/>
      <c r="G1" s="759"/>
      <c r="H1" s="14">
        <v>1</v>
      </c>
      <c r="J1" s="759" t="str">
        <f>A1</f>
        <v>INVENTARIO  DEL MES DE JULIO 2015</v>
      </c>
      <c r="K1" s="759"/>
      <c r="L1" s="759"/>
      <c r="M1" s="759"/>
      <c r="N1" s="759"/>
      <c r="O1" s="759"/>
      <c r="P1" s="759"/>
      <c r="Q1" s="14">
        <v>2</v>
      </c>
      <c r="S1" s="756" t="s">
        <v>426</v>
      </c>
      <c r="T1" s="756"/>
      <c r="U1" s="756"/>
      <c r="V1" s="756"/>
      <c r="W1" s="756"/>
      <c r="X1" s="756"/>
      <c r="Y1" s="756"/>
      <c r="Z1" s="14">
        <v>3</v>
      </c>
      <c r="AB1" s="756" t="str">
        <f>S1</f>
        <v>INVENTARIO DE SEPTIEMBRE  2015</v>
      </c>
      <c r="AC1" s="756"/>
      <c r="AD1" s="756"/>
      <c r="AE1" s="756"/>
      <c r="AF1" s="756"/>
      <c r="AG1" s="756"/>
      <c r="AH1" s="756"/>
      <c r="AI1" s="14">
        <f>Z1+1</f>
        <v>4</v>
      </c>
      <c r="AK1" s="756" t="str">
        <f>AB1</f>
        <v>INVENTARIO DE SEPTIEMBRE  2015</v>
      </c>
      <c r="AL1" s="756"/>
      <c r="AM1" s="756"/>
      <c r="AN1" s="756"/>
      <c r="AO1" s="756"/>
      <c r="AP1" s="756"/>
      <c r="AQ1" s="756"/>
      <c r="AR1" s="14">
        <f>AI1+1</f>
        <v>5</v>
      </c>
      <c r="AT1" s="756" t="str">
        <f>AK1</f>
        <v>INVENTARIO DE SEPTIEMBRE  2015</v>
      </c>
      <c r="AU1" s="756"/>
      <c r="AV1" s="756"/>
      <c r="AW1" s="756"/>
      <c r="AX1" s="756"/>
      <c r="AY1" s="756"/>
      <c r="AZ1" s="756"/>
      <c r="BA1" s="14">
        <f>AR1+1</f>
        <v>6</v>
      </c>
      <c r="BC1" s="751" t="s">
        <v>465</v>
      </c>
      <c r="BD1" s="751"/>
      <c r="BE1" s="751"/>
      <c r="BF1" s="751"/>
      <c r="BG1" s="751"/>
      <c r="BH1" s="751"/>
      <c r="BI1" s="751"/>
      <c r="BJ1" s="14">
        <f>BA1+1</f>
        <v>7</v>
      </c>
    </row>
    <row r="2" spans="1:62" ht="15.75" thickBot="1" x14ac:dyDescent="0.3">
      <c r="C2" s="22"/>
      <c r="D2" s="66"/>
      <c r="F2" s="66"/>
      <c r="L2" s="22"/>
      <c r="M2" s="66"/>
      <c r="O2" s="66"/>
      <c r="U2" s="22"/>
      <c r="V2" s="66"/>
      <c r="X2" s="66"/>
      <c r="AD2" s="22"/>
      <c r="AE2" s="66"/>
      <c r="AG2" s="66"/>
      <c r="AM2" s="22"/>
      <c r="AN2" s="66"/>
      <c r="AP2" s="66"/>
      <c r="AV2" s="22"/>
      <c r="AW2" s="66"/>
      <c r="AY2" s="66"/>
      <c r="BE2" s="22"/>
      <c r="BF2" s="66"/>
      <c r="BH2" s="66"/>
    </row>
    <row r="3" spans="1:62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  <c r="AB3" s="105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35</v>
      </c>
      <c r="AI3" s="49" t="s">
        <v>11</v>
      </c>
      <c r="AK3" s="105" t="s">
        <v>0</v>
      </c>
      <c r="AL3" s="11" t="s">
        <v>1</v>
      </c>
      <c r="AM3" s="57"/>
      <c r="AN3" s="12" t="s">
        <v>2</v>
      </c>
      <c r="AO3" s="12" t="s">
        <v>3</v>
      </c>
      <c r="AP3" s="12" t="s">
        <v>4</v>
      </c>
      <c r="AQ3" s="34" t="s">
        <v>35</v>
      </c>
      <c r="AR3" s="49" t="s">
        <v>11</v>
      </c>
      <c r="AT3" s="105" t="s">
        <v>0</v>
      </c>
      <c r="AU3" s="11" t="s">
        <v>1</v>
      </c>
      <c r="AV3" s="57"/>
      <c r="AW3" s="12" t="s">
        <v>2</v>
      </c>
      <c r="AX3" s="12" t="s">
        <v>3</v>
      </c>
      <c r="AY3" s="12" t="s">
        <v>4</v>
      </c>
      <c r="AZ3" s="34" t="s">
        <v>35</v>
      </c>
      <c r="BA3" s="49" t="s">
        <v>11</v>
      </c>
      <c r="BC3" s="105" t="s">
        <v>0</v>
      </c>
      <c r="BD3" s="11" t="s">
        <v>1</v>
      </c>
      <c r="BE3" s="57"/>
      <c r="BF3" s="12" t="s">
        <v>2</v>
      </c>
      <c r="BG3" s="12" t="s">
        <v>3</v>
      </c>
      <c r="BH3" s="12" t="s">
        <v>4</v>
      </c>
      <c r="BI3" s="34" t="s">
        <v>35</v>
      </c>
      <c r="BJ3" s="49" t="s">
        <v>11</v>
      </c>
    </row>
    <row r="4" spans="1:62" ht="15.75" thickTop="1" x14ac:dyDescent="0.25">
      <c r="A4" s="248"/>
      <c r="B4" s="248"/>
      <c r="C4" s="205"/>
      <c r="D4" s="248"/>
      <c r="E4" s="248"/>
      <c r="F4" s="248"/>
      <c r="G4" s="415"/>
      <c r="H4" s="371"/>
      <c r="J4" s="248"/>
      <c r="K4" s="248"/>
      <c r="L4" s="205"/>
      <c r="M4" s="248"/>
      <c r="N4" s="248"/>
      <c r="O4" s="248"/>
      <c r="P4" s="415"/>
      <c r="Q4" s="619"/>
      <c r="S4" s="248"/>
      <c r="T4" s="248"/>
      <c r="U4" s="205"/>
      <c r="V4" s="248"/>
      <c r="W4" s="248"/>
      <c r="X4" s="248"/>
      <c r="Y4" s="415"/>
      <c r="Z4" s="371"/>
      <c r="AB4" s="248"/>
      <c r="AC4" s="248"/>
      <c r="AD4" s="205"/>
      <c r="AE4" s="248"/>
      <c r="AF4" s="248"/>
      <c r="AG4" s="248"/>
      <c r="AH4" s="415"/>
      <c r="AI4" s="371"/>
      <c r="AK4" s="248"/>
      <c r="AL4" s="248"/>
      <c r="AM4" s="205"/>
      <c r="AN4" s="248"/>
      <c r="AO4" s="248"/>
      <c r="AP4" s="248"/>
      <c r="AQ4" s="415"/>
      <c r="AR4" s="371"/>
      <c r="AT4" s="248"/>
      <c r="AU4" s="248"/>
      <c r="AV4" s="205"/>
      <c r="AW4" s="248"/>
      <c r="AX4" s="248"/>
      <c r="AY4" s="248"/>
      <c r="AZ4" s="415"/>
      <c r="BA4" s="371"/>
      <c r="BC4" s="248"/>
      <c r="BD4" s="248"/>
      <c r="BE4" s="205"/>
      <c r="BF4" s="248"/>
      <c r="BG4" s="248"/>
      <c r="BH4" s="248"/>
      <c r="BI4" s="415"/>
      <c r="BJ4" s="371"/>
    </row>
    <row r="5" spans="1:62" ht="15.75" x14ac:dyDescent="0.25">
      <c r="A5" s="16"/>
      <c r="B5" s="15" t="s">
        <v>49</v>
      </c>
      <c r="C5" s="369" t="s">
        <v>161</v>
      </c>
      <c r="D5" s="391"/>
      <c r="E5" s="153"/>
      <c r="F5" s="104"/>
      <c r="G5" s="197"/>
      <c r="J5" s="16"/>
      <c r="K5" s="15" t="s">
        <v>49</v>
      </c>
      <c r="L5" s="369">
        <v>88</v>
      </c>
      <c r="M5" s="391"/>
      <c r="N5" s="153">
        <v>260.77</v>
      </c>
      <c r="O5" s="104">
        <v>-5</v>
      </c>
      <c r="P5" s="197"/>
      <c r="Q5" s="620"/>
      <c r="S5" s="16"/>
      <c r="T5" s="15" t="s">
        <v>49</v>
      </c>
      <c r="U5" s="369">
        <v>88</v>
      </c>
      <c r="V5" s="391"/>
      <c r="W5" s="153"/>
      <c r="X5" s="104">
        <v>579</v>
      </c>
      <c r="Y5" s="697" t="s">
        <v>283</v>
      </c>
      <c r="AB5" s="16"/>
      <c r="AC5" s="15" t="s">
        <v>49</v>
      </c>
      <c r="AD5" s="369"/>
      <c r="AE5" s="391"/>
      <c r="AF5" s="153"/>
      <c r="AG5" s="104"/>
      <c r="AH5" s="698" t="s">
        <v>283</v>
      </c>
      <c r="AK5" s="16"/>
      <c r="AL5" s="15" t="s">
        <v>49</v>
      </c>
      <c r="AM5" s="369">
        <v>96</v>
      </c>
      <c r="AN5" s="391"/>
      <c r="AO5" s="153">
        <v>356.12</v>
      </c>
      <c r="AP5" s="104">
        <v>35</v>
      </c>
      <c r="AQ5" s="197"/>
      <c r="AT5" s="16"/>
      <c r="AU5" s="15" t="s">
        <v>49</v>
      </c>
      <c r="AV5" s="369"/>
      <c r="AW5" s="391"/>
      <c r="AX5" s="153">
        <v>199.2</v>
      </c>
      <c r="AY5" s="104">
        <v>4</v>
      </c>
      <c r="AZ5" s="197"/>
      <c r="BC5" s="16"/>
      <c r="BD5" s="671" t="s">
        <v>49</v>
      </c>
      <c r="BE5" s="369">
        <v>88</v>
      </c>
      <c r="BF5" s="391"/>
      <c r="BG5" s="153"/>
      <c r="BH5" s="104"/>
      <c r="BI5" s="197"/>
    </row>
    <row r="6" spans="1:62" ht="15.75" x14ac:dyDescent="0.25">
      <c r="A6" s="436" t="s">
        <v>53</v>
      </c>
      <c r="B6" s="514" t="s">
        <v>42</v>
      </c>
      <c r="C6" s="337"/>
      <c r="D6" s="364">
        <v>42156</v>
      </c>
      <c r="E6" s="153">
        <v>18780.07</v>
      </c>
      <c r="F6" s="104">
        <v>661</v>
      </c>
      <c r="G6" s="611">
        <f>F77</f>
        <v>19025.510000000002</v>
      </c>
      <c r="H6" s="10">
        <f>E6-G6+E7+E5</f>
        <v>-245.44000000000233</v>
      </c>
      <c r="J6" s="436" t="s">
        <v>167</v>
      </c>
      <c r="K6" s="399" t="s">
        <v>47</v>
      </c>
      <c r="L6" s="337" t="s">
        <v>168</v>
      </c>
      <c r="M6" s="364">
        <v>42167</v>
      </c>
      <c r="N6" s="153">
        <v>18724.14</v>
      </c>
      <c r="O6" s="104">
        <v>633</v>
      </c>
      <c r="P6" s="64">
        <f>O77</f>
        <v>19672.450000000004</v>
      </c>
      <c r="Q6" s="10">
        <f>N6-P6+N7+N5</f>
        <v>-687.54000000000497</v>
      </c>
      <c r="S6" s="436" t="s">
        <v>167</v>
      </c>
      <c r="T6" s="411" t="s">
        <v>215</v>
      </c>
      <c r="U6" s="337" t="s">
        <v>216</v>
      </c>
      <c r="V6" s="364">
        <v>42212</v>
      </c>
      <c r="W6" s="153">
        <v>16505.54</v>
      </c>
      <c r="X6" s="104">
        <v>20</v>
      </c>
      <c r="Y6" s="696">
        <f>X77</f>
        <v>16505.539999999997</v>
      </c>
      <c r="Z6" s="10">
        <f>W6-Y6+W7+W5</f>
        <v>3.637978807091713E-12</v>
      </c>
      <c r="AB6" s="436" t="s">
        <v>54</v>
      </c>
      <c r="AC6" s="399" t="s">
        <v>47</v>
      </c>
      <c r="AD6" s="337" t="s">
        <v>273</v>
      </c>
      <c r="AE6" s="364">
        <v>42236</v>
      </c>
      <c r="AF6" s="153">
        <v>18533.2</v>
      </c>
      <c r="AG6" s="104">
        <v>612</v>
      </c>
      <c r="AH6" s="696">
        <f>AG77</f>
        <v>18533.2</v>
      </c>
      <c r="AI6" s="10">
        <f>AF6-AH6+AF7+AF5</f>
        <v>0</v>
      </c>
      <c r="AK6" s="436" t="s">
        <v>281</v>
      </c>
      <c r="AL6" s="591" t="s">
        <v>215</v>
      </c>
      <c r="AM6" s="337"/>
      <c r="AN6" s="364">
        <v>42244</v>
      </c>
      <c r="AO6" s="153">
        <v>5962.92</v>
      </c>
      <c r="AP6" s="104">
        <v>180</v>
      </c>
      <c r="AQ6" s="64">
        <f>AP77</f>
        <v>6993.3799999999992</v>
      </c>
      <c r="AR6" s="10">
        <f>AO6-AQ6+AO7+AO5</f>
        <v>-674.33999999999912</v>
      </c>
      <c r="AT6" s="436" t="s">
        <v>45</v>
      </c>
      <c r="AU6" s="596" t="s">
        <v>351</v>
      </c>
      <c r="AV6" s="337"/>
      <c r="AW6" s="364">
        <v>42262</v>
      </c>
      <c r="AX6" s="153">
        <v>18808</v>
      </c>
      <c r="AY6" s="104">
        <v>607</v>
      </c>
      <c r="AZ6" s="64">
        <f>AY77</f>
        <v>18568.8</v>
      </c>
      <c r="BA6" s="10">
        <f>AX6-AZ6+AX7+AX5</f>
        <v>438.40000000000072</v>
      </c>
      <c r="BC6" s="130" t="s">
        <v>500</v>
      </c>
      <c r="BD6" s="411" t="s">
        <v>42</v>
      </c>
      <c r="BE6" s="337" t="s">
        <v>501</v>
      </c>
      <c r="BF6" s="364">
        <v>42304</v>
      </c>
      <c r="BG6" s="153">
        <v>17906.2</v>
      </c>
      <c r="BH6" s="104">
        <v>595</v>
      </c>
      <c r="BI6" s="64">
        <f>BH77</f>
        <v>0</v>
      </c>
      <c r="BJ6" s="10">
        <f>BG6-BI6+BG7+BG5</f>
        <v>17906.2</v>
      </c>
    </row>
    <row r="7" spans="1:62" ht="15.75" thickBot="1" x14ac:dyDescent="0.3">
      <c r="A7" s="16"/>
      <c r="B7" s="26"/>
      <c r="C7" s="337"/>
      <c r="D7" s="363"/>
      <c r="E7" s="153"/>
      <c r="F7" s="104"/>
      <c r="G7" s="596" t="s">
        <v>283</v>
      </c>
      <c r="J7" s="16" t="s">
        <v>137</v>
      </c>
      <c r="K7" s="26"/>
      <c r="L7" s="337"/>
      <c r="M7" s="363"/>
      <c r="N7" s="153"/>
      <c r="O7" s="104"/>
      <c r="P7" s="16"/>
      <c r="S7" s="16"/>
      <c r="T7" s="26"/>
      <c r="U7" s="337"/>
      <c r="V7" s="363"/>
      <c r="W7" s="153"/>
      <c r="X7" s="104"/>
      <c r="Y7" s="16"/>
      <c r="AB7" s="16"/>
      <c r="AC7" s="26"/>
      <c r="AD7" s="337"/>
      <c r="AE7" s="363"/>
      <c r="AF7" s="153"/>
      <c r="AG7" s="104"/>
      <c r="AH7" s="16"/>
      <c r="AK7" s="16" t="s">
        <v>282</v>
      </c>
      <c r="AL7" s="26"/>
      <c r="AM7" s="337"/>
      <c r="AN7" s="363"/>
      <c r="AO7" s="153"/>
      <c r="AP7" s="104"/>
      <c r="AQ7" s="16"/>
      <c r="AT7" s="16"/>
      <c r="AU7" s="26"/>
      <c r="AV7" s="337"/>
      <c r="AW7" s="363"/>
      <c r="AX7" s="153"/>
      <c r="AY7" s="104"/>
      <c r="AZ7" s="16"/>
      <c r="BC7" s="16"/>
      <c r="BD7" s="26"/>
      <c r="BE7" s="337"/>
      <c r="BF7" s="363"/>
      <c r="BG7" s="153"/>
      <c r="BH7" s="104"/>
      <c r="BI7" s="16"/>
    </row>
    <row r="8" spans="1:62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7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  <c r="AC8" s="107" t="s">
        <v>7</v>
      </c>
      <c r="AD8" s="35" t="s">
        <v>8</v>
      </c>
      <c r="AE8" s="41" t="s">
        <v>3</v>
      </c>
      <c r="AF8" s="42" t="s">
        <v>2</v>
      </c>
      <c r="AG8" s="12" t="s">
        <v>9</v>
      </c>
      <c r="AH8" s="13" t="s">
        <v>15</v>
      </c>
      <c r="AI8" s="32"/>
      <c r="AL8" s="107" t="s">
        <v>7</v>
      </c>
      <c r="AM8" s="35" t="s">
        <v>8</v>
      </c>
      <c r="AN8" s="41" t="s">
        <v>3</v>
      </c>
      <c r="AO8" s="42" t="s">
        <v>2</v>
      </c>
      <c r="AP8" s="12" t="s">
        <v>9</v>
      </c>
      <c r="AQ8" s="13" t="s">
        <v>15</v>
      </c>
      <c r="AR8" s="32"/>
      <c r="AU8" s="107" t="s">
        <v>7</v>
      </c>
      <c r="AV8" s="35" t="s">
        <v>8</v>
      </c>
      <c r="AW8" s="41" t="s">
        <v>3</v>
      </c>
      <c r="AX8" s="42" t="s">
        <v>2</v>
      </c>
      <c r="AY8" s="12" t="s">
        <v>9</v>
      </c>
      <c r="AZ8" s="13" t="s">
        <v>15</v>
      </c>
      <c r="BA8" s="32"/>
      <c r="BD8" s="107" t="s">
        <v>7</v>
      </c>
      <c r="BE8" s="35" t="s">
        <v>8</v>
      </c>
      <c r="BF8" s="41" t="s">
        <v>3</v>
      </c>
      <c r="BG8" s="42" t="s">
        <v>2</v>
      </c>
      <c r="BH8" s="12" t="s">
        <v>9</v>
      </c>
      <c r="BI8" s="13" t="s">
        <v>15</v>
      </c>
      <c r="BJ8" s="32"/>
    </row>
    <row r="9" spans="1:62" ht="15.75" thickTop="1" x14ac:dyDescent="0.25">
      <c r="A9" s="92" t="s">
        <v>33</v>
      </c>
      <c r="B9" s="2"/>
      <c r="C9" s="20">
        <v>1</v>
      </c>
      <c r="D9" s="114">
        <v>37.6</v>
      </c>
      <c r="E9" s="167">
        <v>42159</v>
      </c>
      <c r="F9" s="114">
        <f t="shared" ref="F9:F72" si="0">D9</f>
        <v>37.6</v>
      </c>
      <c r="G9" s="115" t="s">
        <v>171</v>
      </c>
      <c r="H9" s="116">
        <v>94</v>
      </c>
      <c r="J9" s="92" t="s">
        <v>33</v>
      </c>
      <c r="K9" s="2"/>
      <c r="L9" s="20">
        <v>9</v>
      </c>
      <c r="M9" s="114">
        <v>269.5</v>
      </c>
      <c r="N9" s="167">
        <v>42159</v>
      </c>
      <c r="O9" s="114">
        <f t="shared" ref="O9:O72" si="1">M9</f>
        <v>269.5</v>
      </c>
      <c r="P9" s="115" t="s">
        <v>173</v>
      </c>
      <c r="Q9" s="116">
        <v>94</v>
      </c>
      <c r="S9" s="92" t="s">
        <v>33</v>
      </c>
      <c r="T9" s="2"/>
      <c r="U9" s="20">
        <v>30</v>
      </c>
      <c r="V9" s="528">
        <v>853.8</v>
      </c>
      <c r="W9" s="529">
        <v>42218</v>
      </c>
      <c r="X9" s="528">
        <f t="shared" ref="X9" si="2">V9</f>
        <v>853.8</v>
      </c>
      <c r="Y9" s="530" t="s">
        <v>287</v>
      </c>
      <c r="Z9" s="230">
        <v>97</v>
      </c>
      <c r="AB9" s="92" t="s">
        <v>33</v>
      </c>
      <c r="AC9" s="2"/>
      <c r="AD9" s="20">
        <v>30</v>
      </c>
      <c r="AE9" s="114">
        <v>822.4</v>
      </c>
      <c r="AF9" s="167">
        <v>42223</v>
      </c>
      <c r="AG9" s="114">
        <v>822.4</v>
      </c>
      <c r="AH9" s="115" t="s">
        <v>294</v>
      </c>
      <c r="AI9" s="116">
        <v>97</v>
      </c>
      <c r="AK9" s="92" t="s">
        <v>33</v>
      </c>
      <c r="AL9" s="2"/>
      <c r="AM9" s="20">
        <v>30</v>
      </c>
      <c r="AN9" s="100">
        <v>1028.23</v>
      </c>
      <c r="AO9" s="185">
        <v>42272</v>
      </c>
      <c r="AP9" s="100">
        <v>1028.23</v>
      </c>
      <c r="AQ9" s="111" t="s">
        <v>415</v>
      </c>
      <c r="AR9" s="101">
        <v>100</v>
      </c>
      <c r="AT9" s="92" t="s">
        <v>33</v>
      </c>
      <c r="AU9" s="2"/>
      <c r="AV9" s="20">
        <v>30</v>
      </c>
      <c r="AW9" s="254">
        <v>895.9</v>
      </c>
      <c r="AX9" s="257">
        <v>42268</v>
      </c>
      <c r="AY9" s="254">
        <v>895.9</v>
      </c>
      <c r="AZ9" s="255" t="s">
        <v>409</v>
      </c>
      <c r="BA9" s="256">
        <v>100</v>
      </c>
      <c r="BC9" s="92" t="s">
        <v>33</v>
      </c>
      <c r="BD9" s="2"/>
      <c r="BE9" s="20"/>
      <c r="BF9" s="254"/>
      <c r="BG9" s="257"/>
      <c r="BH9" s="254"/>
      <c r="BI9" s="255"/>
      <c r="BJ9" s="256"/>
    </row>
    <row r="10" spans="1:62" x14ac:dyDescent="0.25">
      <c r="A10" s="286" t="s">
        <v>163</v>
      </c>
      <c r="B10" s="2"/>
      <c r="C10" s="20">
        <v>7</v>
      </c>
      <c r="D10" s="114">
        <v>210.5</v>
      </c>
      <c r="E10" s="167">
        <v>42161</v>
      </c>
      <c r="F10" s="114">
        <f t="shared" si="0"/>
        <v>210.5</v>
      </c>
      <c r="G10" s="115" t="s">
        <v>172</v>
      </c>
      <c r="H10" s="116">
        <v>94</v>
      </c>
      <c r="J10" s="286"/>
      <c r="K10" s="2"/>
      <c r="L10" s="20">
        <v>30</v>
      </c>
      <c r="M10" s="114">
        <v>786.9</v>
      </c>
      <c r="N10" s="167">
        <v>42182</v>
      </c>
      <c r="O10" s="114">
        <f t="shared" si="1"/>
        <v>786.9</v>
      </c>
      <c r="P10" s="115" t="s">
        <v>206</v>
      </c>
      <c r="Q10" s="116">
        <v>96</v>
      </c>
      <c r="S10" s="286"/>
      <c r="T10" s="2"/>
      <c r="U10" s="20">
        <v>40</v>
      </c>
      <c r="V10" s="528">
        <v>1109.8</v>
      </c>
      <c r="W10" s="529">
        <v>42220</v>
      </c>
      <c r="X10" s="528">
        <v>1109.8</v>
      </c>
      <c r="Y10" s="530" t="s">
        <v>288</v>
      </c>
      <c r="Z10" s="230">
        <v>97</v>
      </c>
      <c r="AB10" s="286"/>
      <c r="AC10" s="2"/>
      <c r="AD10" s="20">
        <v>3</v>
      </c>
      <c r="AE10" s="114">
        <v>88.1</v>
      </c>
      <c r="AF10" s="167">
        <v>42229</v>
      </c>
      <c r="AG10" s="114">
        <v>88.1</v>
      </c>
      <c r="AH10" s="115" t="s">
        <v>302</v>
      </c>
      <c r="AI10" s="116">
        <v>97</v>
      </c>
      <c r="AK10" s="286"/>
      <c r="AL10" s="2"/>
      <c r="AM10" s="20">
        <v>30</v>
      </c>
      <c r="AN10" s="100">
        <v>933.37</v>
      </c>
      <c r="AO10" s="185">
        <v>42273</v>
      </c>
      <c r="AP10" s="100">
        <v>933.37</v>
      </c>
      <c r="AQ10" s="111" t="s">
        <v>418</v>
      </c>
      <c r="AR10" s="101">
        <v>100</v>
      </c>
      <c r="AT10" s="286" t="s">
        <v>352</v>
      </c>
      <c r="AU10" s="2"/>
      <c r="AV10" s="20">
        <v>10</v>
      </c>
      <c r="AW10" s="550">
        <v>307.7</v>
      </c>
      <c r="AX10" s="551">
        <v>42279</v>
      </c>
      <c r="AY10" s="550">
        <v>307.7</v>
      </c>
      <c r="AZ10" s="552" t="s">
        <v>634</v>
      </c>
      <c r="BA10" s="553">
        <v>100</v>
      </c>
      <c r="BC10" s="286" t="s">
        <v>352</v>
      </c>
      <c r="BD10" s="2"/>
      <c r="BE10" s="20"/>
      <c r="BF10" s="254"/>
      <c r="BG10" s="257"/>
      <c r="BH10" s="254"/>
      <c r="BI10" s="255"/>
      <c r="BJ10" s="256"/>
    </row>
    <row r="11" spans="1:62" x14ac:dyDescent="0.25">
      <c r="A11" s="287" t="s">
        <v>164</v>
      </c>
      <c r="B11" s="2"/>
      <c r="C11" s="20">
        <v>30</v>
      </c>
      <c r="D11" s="114">
        <v>923.5</v>
      </c>
      <c r="E11" s="167">
        <v>42160</v>
      </c>
      <c r="F11" s="114">
        <f t="shared" si="0"/>
        <v>923.5</v>
      </c>
      <c r="G11" s="115" t="s">
        <v>175</v>
      </c>
      <c r="H11" s="116">
        <v>94</v>
      </c>
      <c r="J11" s="287"/>
      <c r="K11" s="2"/>
      <c r="L11" s="20">
        <v>35</v>
      </c>
      <c r="M11" s="550">
        <v>970.35</v>
      </c>
      <c r="N11" s="551">
        <v>42188</v>
      </c>
      <c r="O11" s="550">
        <f t="shared" si="1"/>
        <v>970.35</v>
      </c>
      <c r="P11" s="552" t="s">
        <v>224</v>
      </c>
      <c r="Q11" s="553">
        <v>96</v>
      </c>
      <c r="R11" s="554"/>
      <c r="S11" s="287"/>
      <c r="T11" s="2"/>
      <c r="U11" s="20">
        <v>30</v>
      </c>
      <c r="V11" s="528">
        <v>820.6</v>
      </c>
      <c r="W11" s="529">
        <v>42221</v>
      </c>
      <c r="X11" s="528">
        <v>820.6</v>
      </c>
      <c r="Y11" s="530" t="s">
        <v>290</v>
      </c>
      <c r="Z11" s="230">
        <v>97</v>
      </c>
      <c r="AB11" s="287"/>
      <c r="AC11" s="2"/>
      <c r="AD11" s="20">
        <v>32</v>
      </c>
      <c r="AE11" s="114">
        <v>1000.1</v>
      </c>
      <c r="AF11" s="167">
        <v>42241</v>
      </c>
      <c r="AG11" s="114">
        <v>1000.1</v>
      </c>
      <c r="AH11" s="115" t="s">
        <v>324</v>
      </c>
      <c r="AI11" s="116">
        <v>100</v>
      </c>
      <c r="AK11" s="287"/>
      <c r="AL11" s="2"/>
      <c r="AM11" s="20">
        <v>30</v>
      </c>
      <c r="AN11" s="100">
        <v>1024.27</v>
      </c>
      <c r="AO11" s="185">
        <v>42277</v>
      </c>
      <c r="AP11" s="100">
        <v>1024.27</v>
      </c>
      <c r="AQ11" s="111" t="s">
        <v>422</v>
      </c>
      <c r="AR11" s="101">
        <v>100</v>
      </c>
      <c r="AT11" s="287" t="s">
        <v>353</v>
      </c>
      <c r="AU11" s="2"/>
      <c r="AV11" s="20">
        <v>10</v>
      </c>
      <c r="AW11" s="550">
        <v>321.2</v>
      </c>
      <c r="AX11" s="551">
        <v>42279</v>
      </c>
      <c r="AY11" s="550">
        <v>312.2</v>
      </c>
      <c r="AZ11" s="552" t="s">
        <v>634</v>
      </c>
      <c r="BA11" s="553">
        <v>100</v>
      </c>
      <c r="BC11" s="287" t="s">
        <v>353</v>
      </c>
      <c r="BD11" s="2"/>
      <c r="BE11" s="20"/>
      <c r="BF11" s="254"/>
      <c r="BG11" s="257"/>
      <c r="BH11" s="254"/>
      <c r="BI11" s="255"/>
      <c r="BJ11" s="256"/>
    </row>
    <row r="12" spans="1:62" x14ac:dyDescent="0.25">
      <c r="A12" s="147" t="s">
        <v>34</v>
      </c>
      <c r="B12" s="2"/>
      <c r="C12" s="20">
        <v>30</v>
      </c>
      <c r="D12" s="114">
        <v>854.3</v>
      </c>
      <c r="E12" s="167">
        <v>42163</v>
      </c>
      <c r="F12" s="114">
        <f t="shared" si="0"/>
        <v>854.3</v>
      </c>
      <c r="G12" s="115" t="s">
        <v>177</v>
      </c>
      <c r="H12" s="116">
        <v>94</v>
      </c>
      <c r="J12" s="147" t="s">
        <v>34</v>
      </c>
      <c r="K12" s="2"/>
      <c r="L12" s="20">
        <v>30</v>
      </c>
      <c r="M12" s="550">
        <v>931.4</v>
      </c>
      <c r="N12" s="551">
        <v>42189</v>
      </c>
      <c r="O12" s="550">
        <f t="shared" si="1"/>
        <v>931.4</v>
      </c>
      <c r="P12" s="552" t="s">
        <v>225</v>
      </c>
      <c r="Q12" s="553">
        <v>96</v>
      </c>
      <c r="R12" s="554"/>
      <c r="S12" s="147" t="s">
        <v>34</v>
      </c>
      <c r="T12" s="2"/>
      <c r="U12" s="20">
        <v>30</v>
      </c>
      <c r="V12" s="528">
        <v>855.1</v>
      </c>
      <c r="W12" s="529">
        <v>42226</v>
      </c>
      <c r="X12" s="528">
        <v>855.1</v>
      </c>
      <c r="Y12" s="530" t="s">
        <v>297</v>
      </c>
      <c r="Z12" s="230">
        <v>97</v>
      </c>
      <c r="AB12" s="147" t="s">
        <v>34</v>
      </c>
      <c r="AC12" s="2"/>
      <c r="AD12" s="20">
        <v>1</v>
      </c>
      <c r="AE12" s="114">
        <v>34.799999999999997</v>
      </c>
      <c r="AF12" s="167">
        <v>42242</v>
      </c>
      <c r="AG12" s="114">
        <v>34.799999999999997</v>
      </c>
      <c r="AH12" s="115" t="s">
        <v>326</v>
      </c>
      <c r="AI12" s="116">
        <v>100</v>
      </c>
      <c r="AK12" s="147" t="s">
        <v>34</v>
      </c>
      <c r="AL12" s="2"/>
      <c r="AM12" s="20">
        <v>30</v>
      </c>
      <c r="AN12" s="550">
        <v>1011.35</v>
      </c>
      <c r="AO12" s="551">
        <v>42279</v>
      </c>
      <c r="AP12" s="550">
        <v>1011.35</v>
      </c>
      <c r="AQ12" s="552" t="s">
        <v>633</v>
      </c>
      <c r="AR12" s="553">
        <v>100</v>
      </c>
      <c r="AT12" s="147" t="s">
        <v>34</v>
      </c>
      <c r="AU12" s="2"/>
      <c r="AV12" s="20">
        <v>30</v>
      </c>
      <c r="AW12" s="550">
        <v>902.6</v>
      </c>
      <c r="AX12" s="551">
        <v>42282</v>
      </c>
      <c r="AY12" s="550">
        <v>902.6</v>
      </c>
      <c r="AZ12" s="552" t="s">
        <v>646</v>
      </c>
      <c r="BA12" s="553">
        <v>98</v>
      </c>
      <c r="BC12" s="147" t="s">
        <v>34</v>
      </c>
      <c r="BD12" s="2"/>
      <c r="BE12" s="20"/>
      <c r="BF12" s="254"/>
      <c r="BG12" s="257"/>
      <c r="BH12" s="254"/>
      <c r="BI12" s="255"/>
      <c r="BJ12" s="256"/>
    </row>
    <row r="13" spans="1:62" x14ac:dyDescent="0.25">
      <c r="A13" s="288" t="s">
        <v>165</v>
      </c>
      <c r="B13" s="2"/>
      <c r="C13" s="20">
        <v>10</v>
      </c>
      <c r="D13" s="114">
        <v>289.10000000000002</v>
      </c>
      <c r="E13" s="167">
        <v>42162</v>
      </c>
      <c r="F13" s="114">
        <f t="shared" si="0"/>
        <v>289.10000000000002</v>
      </c>
      <c r="G13" s="115" t="s">
        <v>178</v>
      </c>
      <c r="H13" s="116">
        <v>94</v>
      </c>
      <c r="J13" s="288"/>
      <c r="K13" s="2"/>
      <c r="L13" s="20">
        <v>10</v>
      </c>
      <c r="M13" s="550">
        <v>308.8</v>
      </c>
      <c r="N13" s="551">
        <v>42189</v>
      </c>
      <c r="O13" s="550">
        <f t="shared" si="1"/>
        <v>308.8</v>
      </c>
      <c r="P13" s="552" t="s">
        <v>226</v>
      </c>
      <c r="Q13" s="553">
        <v>96</v>
      </c>
      <c r="R13" s="554"/>
      <c r="S13" s="288"/>
      <c r="T13" s="2"/>
      <c r="U13" s="20">
        <v>30</v>
      </c>
      <c r="V13" s="528">
        <v>870</v>
      </c>
      <c r="W13" s="529">
        <v>42228</v>
      </c>
      <c r="X13" s="528">
        <v>870</v>
      </c>
      <c r="Y13" s="530" t="s">
        <v>299</v>
      </c>
      <c r="Z13" s="230">
        <v>97</v>
      </c>
      <c r="AB13" s="288"/>
      <c r="AC13" s="2"/>
      <c r="AD13" s="20">
        <v>1</v>
      </c>
      <c r="AE13" s="114">
        <v>30.1</v>
      </c>
      <c r="AF13" s="167">
        <v>42243</v>
      </c>
      <c r="AG13" s="114">
        <v>30.1</v>
      </c>
      <c r="AH13" s="115" t="s">
        <v>327</v>
      </c>
      <c r="AI13" s="116">
        <v>100</v>
      </c>
      <c r="AK13" s="288"/>
      <c r="AL13" s="2"/>
      <c r="AM13" s="20">
        <v>30</v>
      </c>
      <c r="AN13" s="550">
        <v>931.66</v>
      </c>
      <c r="AO13" s="551">
        <v>42279</v>
      </c>
      <c r="AP13" s="550">
        <v>931.66</v>
      </c>
      <c r="AQ13" s="552" t="s">
        <v>637</v>
      </c>
      <c r="AR13" s="553">
        <v>100</v>
      </c>
      <c r="AT13" s="288" t="s">
        <v>354</v>
      </c>
      <c r="AU13" s="2"/>
      <c r="AV13" s="20">
        <v>30</v>
      </c>
      <c r="AW13" s="550">
        <v>936.4</v>
      </c>
      <c r="AX13" s="551">
        <v>42282</v>
      </c>
      <c r="AY13" s="550">
        <v>936.4</v>
      </c>
      <c r="AZ13" s="552" t="s">
        <v>648</v>
      </c>
      <c r="BA13" s="553">
        <v>98</v>
      </c>
      <c r="BC13" s="288" t="s">
        <v>354</v>
      </c>
      <c r="BD13" s="2"/>
      <c r="BE13" s="20"/>
      <c r="BF13" s="254"/>
      <c r="BG13" s="257"/>
      <c r="BH13" s="254"/>
      <c r="BI13" s="255"/>
      <c r="BJ13" s="256"/>
    </row>
    <row r="14" spans="1:62" x14ac:dyDescent="0.25">
      <c r="A14" s="181" t="s">
        <v>166</v>
      </c>
      <c r="B14" s="2"/>
      <c r="C14" s="20">
        <v>50</v>
      </c>
      <c r="D14" s="114">
        <v>1524.4</v>
      </c>
      <c r="E14" s="167">
        <v>42164</v>
      </c>
      <c r="F14" s="114">
        <f t="shared" si="0"/>
        <v>1524.4</v>
      </c>
      <c r="G14" s="115" t="s">
        <v>179</v>
      </c>
      <c r="H14" s="116">
        <v>94</v>
      </c>
      <c r="J14" s="181"/>
      <c r="K14" s="2"/>
      <c r="L14" s="20">
        <v>30</v>
      </c>
      <c r="M14" s="550">
        <v>822.6</v>
      </c>
      <c r="N14" s="551">
        <v>42191</v>
      </c>
      <c r="O14" s="550">
        <f t="shared" si="1"/>
        <v>822.6</v>
      </c>
      <c r="P14" s="552" t="s">
        <v>227</v>
      </c>
      <c r="Q14" s="553">
        <v>96</v>
      </c>
      <c r="R14" s="554"/>
      <c r="S14" s="181"/>
      <c r="T14" s="2"/>
      <c r="U14" s="20">
        <v>30</v>
      </c>
      <c r="V14" s="528">
        <v>959.2</v>
      </c>
      <c r="W14" s="529">
        <v>42229</v>
      </c>
      <c r="X14" s="528">
        <v>959.2</v>
      </c>
      <c r="Y14" s="530" t="s">
        <v>302</v>
      </c>
      <c r="Z14" s="230">
        <v>97</v>
      </c>
      <c r="AB14" s="181"/>
      <c r="AC14" s="2"/>
      <c r="AD14" s="20">
        <v>30</v>
      </c>
      <c r="AE14" s="114">
        <v>889.6</v>
      </c>
      <c r="AF14" s="167">
        <v>42243</v>
      </c>
      <c r="AG14" s="114">
        <v>889.6</v>
      </c>
      <c r="AH14" s="115" t="s">
        <v>329</v>
      </c>
      <c r="AI14" s="116">
        <v>100</v>
      </c>
      <c r="AK14" s="181"/>
      <c r="AL14" s="2"/>
      <c r="AM14" s="20">
        <v>30</v>
      </c>
      <c r="AN14" s="550">
        <v>922.7</v>
      </c>
      <c r="AO14" s="551">
        <v>42301</v>
      </c>
      <c r="AP14" s="550">
        <v>922.7</v>
      </c>
      <c r="AQ14" s="552" t="s">
        <v>752</v>
      </c>
      <c r="AR14" s="553">
        <v>98</v>
      </c>
      <c r="AT14" s="181" t="s">
        <v>355</v>
      </c>
      <c r="AU14" s="2"/>
      <c r="AV14" s="20">
        <v>10</v>
      </c>
      <c r="AW14" s="550">
        <v>301.39999999999998</v>
      </c>
      <c r="AX14" s="551">
        <v>42282</v>
      </c>
      <c r="AY14" s="550">
        <v>301.39999999999998</v>
      </c>
      <c r="AZ14" s="552" t="s">
        <v>649</v>
      </c>
      <c r="BA14" s="553">
        <v>98</v>
      </c>
      <c r="BC14" s="181" t="s">
        <v>355</v>
      </c>
      <c r="BD14" s="2"/>
      <c r="BE14" s="20"/>
      <c r="BF14" s="254"/>
      <c r="BG14" s="257"/>
      <c r="BH14" s="254"/>
      <c r="BI14" s="255"/>
      <c r="BJ14" s="256"/>
    </row>
    <row r="15" spans="1:62" x14ac:dyDescent="0.25">
      <c r="A15" s="59"/>
      <c r="B15" s="2"/>
      <c r="C15" s="20">
        <v>30</v>
      </c>
      <c r="D15" s="114">
        <v>827.8</v>
      </c>
      <c r="E15" s="167">
        <v>42164</v>
      </c>
      <c r="F15" s="114">
        <f t="shared" si="0"/>
        <v>827.8</v>
      </c>
      <c r="G15" s="115" t="s">
        <v>180</v>
      </c>
      <c r="H15" s="116">
        <v>94</v>
      </c>
      <c r="J15" s="59"/>
      <c r="K15" s="2"/>
      <c r="L15" s="20">
        <v>30</v>
      </c>
      <c r="M15" s="550">
        <v>916.7</v>
      </c>
      <c r="N15" s="551">
        <v>42192</v>
      </c>
      <c r="O15" s="550">
        <f t="shared" si="1"/>
        <v>916.7</v>
      </c>
      <c r="P15" s="552" t="s">
        <v>228</v>
      </c>
      <c r="Q15" s="553">
        <v>96</v>
      </c>
      <c r="R15" s="554"/>
      <c r="S15" s="59"/>
      <c r="T15" s="2"/>
      <c r="U15" s="20">
        <v>30</v>
      </c>
      <c r="V15" s="528">
        <v>853.2</v>
      </c>
      <c r="W15" s="529">
        <v>42230</v>
      </c>
      <c r="X15" s="528">
        <v>853.2</v>
      </c>
      <c r="Y15" s="530" t="s">
        <v>303</v>
      </c>
      <c r="Z15" s="230">
        <v>97</v>
      </c>
      <c r="AB15" s="59"/>
      <c r="AC15" s="2"/>
      <c r="AD15" s="20">
        <v>30</v>
      </c>
      <c r="AE15" s="114">
        <v>922.6</v>
      </c>
      <c r="AF15" s="167">
        <v>42245</v>
      </c>
      <c r="AG15" s="114">
        <v>922.6</v>
      </c>
      <c r="AH15" s="115" t="s">
        <v>334</v>
      </c>
      <c r="AI15" s="116">
        <v>100</v>
      </c>
      <c r="AK15" s="59"/>
      <c r="AL15" s="2"/>
      <c r="AM15" s="20">
        <v>30</v>
      </c>
      <c r="AN15" s="550">
        <v>854.9</v>
      </c>
      <c r="AO15" s="551">
        <v>42308</v>
      </c>
      <c r="AP15" s="550">
        <v>854.9</v>
      </c>
      <c r="AQ15" s="552" t="s">
        <v>786</v>
      </c>
      <c r="AR15" s="553">
        <v>98</v>
      </c>
      <c r="AT15" s="59"/>
      <c r="AU15" s="2"/>
      <c r="AV15" s="20">
        <v>30</v>
      </c>
      <c r="AW15" s="550">
        <v>958.1</v>
      </c>
      <c r="AX15" s="551">
        <v>42284</v>
      </c>
      <c r="AY15" s="550">
        <v>958.1</v>
      </c>
      <c r="AZ15" s="552" t="s">
        <v>661</v>
      </c>
      <c r="BA15" s="553">
        <v>98</v>
      </c>
      <c r="BC15" s="59"/>
      <c r="BD15" s="2"/>
      <c r="BE15" s="20"/>
      <c r="BF15" s="254"/>
      <c r="BG15" s="257"/>
      <c r="BH15" s="254"/>
      <c r="BI15" s="255"/>
      <c r="BJ15" s="256"/>
    </row>
    <row r="16" spans="1:62" x14ac:dyDescent="0.25">
      <c r="B16" s="2"/>
      <c r="C16" s="20">
        <v>30</v>
      </c>
      <c r="D16" s="114">
        <v>940.6</v>
      </c>
      <c r="E16" s="167">
        <v>42166</v>
      </c>
      <c r="F16" s="114">
        <f t="shared" si="0"/>
        <v>940.6</v>
      </c>
      <c r="G16" s="115" t="s">
        <v>182</v>
      </c>
      <c r="H16" s="116">
        <v>94</v>
      </c>
      <c r="K16" s="2"/>
      <c r="L16" s="20">
        <v>30</v>
      </c>
      <c r="M16" s="550">
        <v>825.4</v>
      </c>
      <c r="N16" s="551">
        <v>42193</v>
      </c>
      <c r="O16" s="550">
        <f t="shared" si="1"/>
        <v>825.4</v>
      </c>
      <c r="P16" s="552" t="s">
        <v>229</v>
      </c>
      <c r="Q16" s="553">
        <v>96</v>
      </c>
      <c r="R16" s="554"/>
      <c r="T16" s="2"/>
      <c r="U16" s="20">
        <v>30</v>
      </c>
      <c r="V16" s="528">
        <v>844.1</v>
      </c>
      <c r="W16" s="529">
        <v>42231</v>
      </c>
      <c r="X16" s="528">
        <v>844.1</v>
      </c>
      <c r="Y16" s="530" t="s">
        <v>305</v>
      </c>
      <c r="Z16" s="230">
        <v>97</v>
      </c>
      <c r="AC16" s="2"/>
      <c r="AD16" s="20">
        <v>30</v>
      </c>
      <c r="AE16" s="114">
        <v>903.5</v>
      </c>
      <c r="AF16" s="167">
        <v>42245</v>
      </c>
      <c r="AG16" s="114">
        <v>903.5</v>
      </c>
      <c r="AH16" s="115" t="s">
        <v>335</v>
      </c>
      <c r="AI16" s="116">
        <v>100</v>
      </c>
      <c r="AL16" s="2"/>
      <c r="AM16" s="20">
        <v>10</v>
      </c>
      <c r="AN16" s="550">
        <v>286.89999999999998</v>
      </c>
      <c r="AO16" s="551">
        <v>42308</v>
      </c>
      <c r="AP16" s="550">
        <v>286.89999999999998</v>
      </c>
      <c r="AQ16" s="552" t="s">
        <v>788</v>
      </c>
      <c r="AR16" s="553">
        <v>98</v>
      </c>
      <c r="AU16" s="2"/>
      <c r="AV16" s="20">
        <v>30</v>
      </c>
      <c r="AW16" s="550">
        <v>926.1</v>
      </c>
      <c r="AX16" s="551">
        <v>42286</v>
      </c>
      <c r="AY16" s="550">
        <v>926.1</v>
      </c>
      <c r="AZ16" s="552" t="s">
        <v>665</v>
      </c>
      <c r="BA16" s="553">
        <v>98</v>
      </c>
      <c r="BD16" s="2"/>
      <c r="BE16" s="20"/>
      <c r="BF16" s="254"/>
      <c r="BG16" s="257"/>
      <c r="BH16" s="254"/>
      <c r="BI16" s="255"/>
      <c r="BJ16" s="256"/>
    </row>
    <row r="17" spans="1:62" x14ac:dyDescent="0.25">
      <c r="A17" s="250"/>
      <c r="B17" s="7"/>
      <c r="C17" s="20">
        <v>30</v>
      </c>
      <c r="D17" s="114">
        <v>915.7</v>
      </c>
      <c r="E17" s="167">
        <v>42168</v>
      </c>
      <c r="F17" s="114">
        <f t="shared" si="0"/>
        <v>915.7</v>
      </c>
      <c r="G17" s="115" t="s">
        <v>184</v>
      </c>
      <c r="H17" s="116">
        <v>96</v>
      </c>
      <c r="J17" s="250"/>
      <c r="K17" s="7"/>
      <c r="L17" s="20">
        <v>30</v>
      </c>
      <c r="M17" s="550">
        <v>824.2</v>
      </c>
      <c r="N17" s="551">
        <v>42193</v>
      </c>
      <c r="O17" s="550">
        <f t="shared" si="1"/>
        <v>824.2</v>
      </c>
      <c r="P17" s="552" t="s">
        <v>230</v>
      </c>
      <c r="Q17" s="553">
        <v>96</v>
      </c>
      <c r="R17" s="554"/>
      <c r="S17" s="250"/>
      <c r="T17" s="7"/>
      <c r="U17" s="20">
        <v>30</v>
      </c>
      <c r="V17" s="528">
        <v>916.6</v>
      </c>
      <c r="W17" s="529">
        <v>42231</v>
      </c>
      <c r="X17" s="528">
        <v>816.6</v>
      </c>
      <c r="Y17" s="530" t="s">
        <v>305</v>
      </c>
      <c r="Z17" s="230">
        <v>97</v>
      </c>
      <c r="AB17" s="250"/>
      <c r="AC17" s="7"/>
      <c r="AD17" s="20">
        <v>3</v>
      </c>
      <c r="AE17" s="100">
        <v>86.1</v>
      </c>
      <c r="AF17" s="185">
        <v>42248</v>
      </c>
      <c r="AG17" s="100">
        <v>86.1</v>
      </c>
      <c r="AH17" s="111" t="s">
        <v>361</v>
      </c>
      <c r="AI17" s="101">
        <v>100</v>
      </c>
      <c r="AK17" s="250"/>
      <c r="AL17" s="7"/>
      <c r="AM17" s="20"/>
      <c r="AN17" s="550"/>
      <c r="AO17" s="551"/>
      <c r="AP17" s="550"/>
      <c r="AQ17" s="552"/>
      <c r="AR17" s="553"/>
      <c r="AT17" s="250"/>
      <c r="AU17" s="7"/>
      <c r="AV17" s="20">
        <v>10</v>
      </c>
      <c r="AW17" s="550">
        <v>304.8</v>
      </c>
      <c r="AX17" s="551">
        <v>42286</v>
      </c>
      <c r="AY17" s="550">
        <v>304.8</v>
      </c>
      <c r="AZ17" s="552" t="s">
        <v>666</v>
      </c>
      <c r="BA17" s="553">
        <v>98</v>
      </c>
      <c r="BC17" s="250"/>
      <c r="BD17" s="7"/>
      <c r="BE17" s="20"/>
      <c r="BF17" s="254"/>
      <c r="BG17" s="257"/>
      <c r="BH17" s="254"/>
      <c r="BI17" s="255"/>
      <c r="BJ17" s="256"/>
    </row>
    <row r="18" spans="1:62" x14ac:dyDescent="0.25">
      <c r="A18" s="250"/>
      <c r="B18" s="7"/>
      <c r="C18" s="20">
        <v>30</v>
      </c>
      <c r="D18" s="114">
        <v>768.1</v>
      </c>
      <c r="E18" s="167">
        <v>42171</v>
      </c>
      <c r="F18" s="114">
        <f t="shared" si="0"/>
        <v>768.1</v>
      </c>
      <c r="G18" s="115" t="s">
        <v>186</v>
      </c>
      <c r="H18" s="116">
        <v>96</v>
      </c>
      <c r="J18" s="250"/>
      <c r="K18" s="7"/>
      <c r="L18" s="20">
        <v>30</v>
      </c>
      <c r="M18" s="550">
        <v>912.6</v>
      </c>
      <c r="N18" s="551">
        <v>42195</v>
      </c>
      <c r="O18" s="550">
        <f t="shared" si="1"/>
        <v>912.6</v>
      </c>
      <c r="P18" s="552" t="s">
        <v>232</v>
      </c>
      <c r="Q18" s="553">
        <v>96</v>
      </c>
      <c r="R18" s="554"/>
      <c r="S18" s="250"/>
      <c r="T18" s="7"/>
      <c r="U18" s="20">
        <v>30</v>
      </c>
      <c r="V18" s="528">
        <v>811.7</v>
      </c>
      <c r="W18" s="529">
        <v>42232</v>
      </c>
      <c r="X18" s="528">
        <v>811.7</v>
      </c>
      <c r="Y18" s="530" t="s">
        <v>308</v>
      </c>
      <c r="Z18" s="230">
        <v>97</v>
      </c>
      <c r="AB18" s="250"/>
      <c r="AC18" s="7"/>
      <c r="AD18" s="20">
        <v>1</v>
      </c>
      <c r="AE18" s="100">
        <v>30</v>
      </c>
      <c r="AF18" s="185">
        <v>42249</v>
      </c>
      <c r="AG18" s="100">
        <v>30</v>
      </c>
      <c r="AH18" s="111" t="s">
        <v>365</v>
      </c>
      <c r="AI18" s="101">
        <v>100</v>
      </c>
      <c r="AK18" s="250"/>
      <c r="AL18" s="7"/>
      <c r="AM18" s="20"/>
      <c r="AN18" s="550"/>
      <c r="AO18" s="551"/>
      <c r="AP18" s="550"/>
      <c r="AQ18" s="552"/>
      <c r="AR18" s="553"/>
      <c r="AT18" s="250"/>
      <c r="AU18" s="7"/>
      <c r="AV18" s="20">
        <v>12</v>
      </c>
      <c r="AW18" s="550">
        <v>389</v>
      </c>
      <c r="AX18" s="551">
        <v>42286</v>
      </c>
      <c r="AY18" s="550">
        <v>389</v>
      </c>
      <c r="AZ18" s="552" t="s">
        <v>669</v>
      </c>
      <c r="BA18" s="553">
        <v>98</v>
      </c>
      <c r="BC18" s="250"/>
      <c r="BD18" s="7"/>
      <c r="BE18" s="20"/>
      <c r="BF18" s="254"/>
      <c r="BG18" s="257"/>
      <c r="BH18" s="254"/>
      <c r="BI18" s="255"/>
      <c r="BJ18" s="256"/>
    </row>
    <row r="19" spans="1:62" x14ac:dyDescent="0.25">
      <c r="A19" s="250"/>
      <c r="B19" s="7"/>
      <c r="C19" s="20">
        <v>50</v>
      </c>
      <c r="D19" s="114">
        <v>1533.5</v>
      </c>
      <c r="E19" s="167">
        <v>42172</v>
      </c>
      <c r="F19" s="114">
        <f t="shared" si="0"/>
        <v>1533.5</v>
      </c>
      <c r="G19" s="115" t="s">
        <v>188</v>
      </c>
      <c r="H19" s="116">
        <v>96</v>
      </c>
      <c r="J19" s="250"/>
      <c r="K19" s="7"/>
      <c r="L19" s="20">
        <v>30</v>
      </c>
      <c r="M19" s="550">
        <v>913.9</v>
      </c>
      <c r="N19" s="551">
        <v>42196</v>
      </c>
      <c r="O19" s="550">
        <f t="shared" si="1"/>
        <v>913.9</v>
      </c>
      <c r="P19" s="552" t="s">
        <v>233</v>
      </c>
      <c r="Q19" s="553">
        <v>96</v>
      </c>
      <c r="R19" s="554"/>
      <c r="S19" s="250"/>
      <c r="T19" s="7"/>
      <c r="U19" s="20">
        <v>30</v>
      </c>
      <c r="V19" s="528">
        <v>799.5</v>
      </c>
      <c r="W19" s="529">
        <v>42233</v>
      </c>
      <c r="X19" s="528">
        <v>799.5</v>
      </c>
      <c r="Y19" s="530" t="s">
        <v>310</v>
      </c>
      <c r="Z19" s="230">
        <v>98</v>
      </c>
      <c r="AB19" s="250"/>
      <c r="AC19" s="7"/>
      <c r="AD19" s="20">
        <v>30</v>
      </c>
      <c r="AE19" s="100">
        <v>923.4</v>
      </c>
      <c r="AF19" s="185">
        <v>42250</v>
      </c>
      <c r="AG19" s="100">
        <v>923.4</v>
      </c>
      <c r="AH19" s="111" t="s">
        <v>367</v>
      </c>
      <c r="AI19" s="101">
        <v>100</v>
      </c>
      <c r="AK19" s="250"/>
      <c r="AL19" s="7"/>
      <c r="AM19" s="20"/>
      <c r="AN19" s="550"/>
      <c r="AO19" s="551"/>
      <c r="AP19" s="550"/>
      <c r="AQ19" s="552"/>
      <c r="AR19" s="553"/>
      <c r="AT19" s="250"/>
      <c r="AU19" s="7"/>
      <c r="AV19" s="20">
        <v>30</v>
      </c>
      <c r="AW19" s="550">
        <v>895.7</v>
      </c>
      <c r="AX19" s="551">
        <v>42286</v>
      </c>
      <c r="AY19" s="550">
        <v>895.7</v>
      </c>
      <c r="AZ19" s="552" t="s">
        <v>669</v>
      </c>
      <c r="BA19" s="553">
        <v>98</v>
      </c>
      <c r="BC19" s="250"/>
      <c r="BD19" s="7"/>
      <c r="BE19" s="20"/>
      <c r="BF19" s="254"/>
      <c r="BG19" s="257"/>
      <c r="BH19" s="254"/>
      <c r="BI19" s="255"/>
      <c r="BJ19" s="256"/>
    </row>
    <row r="20" spans="1:62" x14ac:dyDescent="0.25">
      <c r="A20" s="250"/>
      <c r="B20" s="7"/>
      <c r="C20" s="20">
        <v>30</v>
      </c>
      <c r="D20" s="114">
        <v>812.8</v>
      </c>
      <c r="E20" s="167">
        <v>42173</v>
      </c>
      <c r="F20" s="114">
        <f t="shared" si="0"/>
        <v>812.8</v>
      </c>
      <c r="G20" s="115" t="s">
        <v>189</v>
      </c>
      <c r="H20" s="116">
        <v>96</v>
      </c>
      <c r="J20" s="250"/>
      <c r="K20" s="7"/>
      <c r="L20" s="20">
        <v>30</v>
      </c>
      <c r="M20" s="550">
        <v>931.7</v>
      </c>
      <c r="N20" s="551">
        <v>42198</v>
      </c>
      <c r="O20" s="550">
        <f t="shared" si="1"/>
        <v>931.7</v>
      </c>
      <c r="P20" s="552" t="s">
        <v>234</v>
      </c>
      <c r="Q20" s="553">
        <v>96</v>
      </c>
      <c r="R20" s="554"/>
      <c r="S20" s="250"/>
      <c r="T20" s="7"/>
      <c r="U20" s="20">
        <v>30</v>
      </c>
      <c r="V20" s="528">
        <v>772.8</v>
      </c>
      <c r="W20" s="529">
        <v>42236</v>
      </c>
      <c r="X20" s="528">
        <v>772.8</v>
      </c>
      <c r="Y20" s="530" t="s">
        <v>313</v>
      </c>
      <c r="Z20" s="230">
        <v>99</v>
      </c>
      <c r="AB20" s="250"/>
      <c r="AC20" s="7"/>
      <c r="AD20" s="20">
        <v>30</v>
      </c>
      <c r="AE20" s="100">
        <v>895.5</v>
      </c>
      <c r="AF20" s="185">
        <v>42250</v>
      </c>
      <c r="AG20" s="100">
        <v>895.5</v>
      </c>
      <c r="AH20" s="111" t="s">
        <v>370</v>
      </c>
      <c r="AI20" s="101">
        <v>100</v>
      </c>
      <c r="AK20" s="250"/>
      <c r="AL20" s="7"/>
      <c r="AM20" s="20"/>
      <c r="AN20" s="550"/>
      <c r="AO20" s="551"/>
      <c r="AP20" s="550"/>
      <c r="AQ20" s="552"/>
      <c r="AR20" s="553"/>
      <c r="AT20" s="250"/>
      <c r="AU20" s="7"/>
      <c r="AV20" s="20">
        <v>30</v>
      </c>
      <c r="AW20" s="550">
        <v>924.7</v>
      </c>
      <c r="AX20" s="551">
        <v>42289</v>
      </c>
      <c r="AY20" s="550">
        <v>924.7</v>
      </c>
      <c r="AZ20" s="552" t="s">
        <v>680</v>
      </c>
      <c r="BA20" s="553">
        <v>98</v>
      </c>
      <c r="BC20" s="250"/>
      <c r="BD20" s="7"/>
      <c r="BE20" s="20"/>
      <c r="BF20" s="254"/>
      <c r="BG20" s="257"/>
      <c r="BH20" s="254"/>
      <c r="BI20" s="255"/>
      <c r="BJ20" s="256"/>
    </row>
    <row r="21" spans="1:62" x14ac:dyDescent="0.25">
      <c r="A21" s="250"/>
      <c r="B21" s="7"/>
      <c r="C21" s="20">
        <v>5</v>
      </c>
      <c r="D21" s="114">
        <v>141.41</v>
      </c>
      <c r="E21" s="167">
        <v>42175</v>
      </c>
      <c r="F21" s="114">
        <f t="shared" si="0"/>
        <v>141.41</v>
      </c>
      <c r="G21" s="115" t="s">
        <v>191</v>
      </c>
      <c r="H21" s="116">
        <v>96</v>
      </c>
      <c r="J21" s="250"/>
      <c r="K21" s="7"/>
      <c r="L21" s="20">
        <v>30</v>
      </c>
      <c r="M21" s="550">
        <v>942.2</v>
      </c>
      <c r="N21" s="551">
        <v>42200</v>
      </c>
      <c r="O21" s="550">
        <f t="shared" si="1"/>
        <v>942.2</v>
      </c>
      <c r="P21" s="552" t="s">
        <v>237</v>
      </c>
      <c r="Q21" s="553">
        <v>96</v>
      </c>
      <c r="R21" s="554"/>
      <c r="S21" s="250"/>
      <c r="T21" s="7"/>
      <c r="U21" s="20">
        <v>30</v>
      </c>
      <c r="V21" s="528">
        <v>854.5</v>
      </c>
      <c r="W21" s="529">
        <v>42236</v>
      </c>
      <c r="X21" s="528">
        <v>854.5</v>
      </c>
      <c r="Y21" s="530" t="s">
        <v>313</v>
      </c>
      <c r="Z21" s="230">
        <v>99</v>
      </c>
      <c r="AB21" s="250"/>
      <c r="AC21" s="7"/>
      <c r="AD21" s="20">
        <v>30</v>
      </c>
      <c r="AE21" s="100">
        <v>918.7</v>
      </c>
      <c r="AF21" s="185">
        <v>42252</v>
      </c>
      <c r="AG21" s="100">
        <v>918.7</v>
      </c>
      <c r="AH21" s="111" t="s">
        <v>374</v>
      </c>
      <c r="AI21" s="101">
        <v>100</v>
      </c>
      <c r="AK21" s="250"/>
      <c r="AL21" s="7"/>
      <c r="AM21" s="20"/>
      <c r="AN21" s="550"/>
      <c r="AO21" s="551"/>
      <c r="AP21" s="550"/>
      <c r="AQ21" s="552"/>
      <c r="AR21" s="553"/>
      <c r="AT21" s="250"/>
      <c r="AU21" s="7"/>
      <c r="AV21" s="20">
        <v>10</v>
      </c>
      <c r="AW21" s="550">
        <v>327.5</v>
      </c>
      <c r="AX21" s="551">
        <v>42290</v>
      </c>
      <c r="AY21" s="550">
        <v>327.5</v>
      </c>
      <c r="AZ21" s="552" t="s">
        <v>683</v>
      </c>
      <c r="BA21" s="553">
        <v>98</v>
      </c>
      <c r="BC21" s="250"/>
      <c r="BD21" s="7"/>
      <c r="BE21" s="20"/>
      <c r="BF21" s="254"/>
      <c r="BG21" s="257"/>
      <c r="BH21" s="254"/>
      <c r="BI21" s="255"/>
      <c r="BJ21" s="256"/>
    </row>
    <row r="22" spans="1:62" x14ac:dyDescent="0.25">
      <c r="A22" s="251"/>
      <c r="B22" s="7"/>
      <c r="C22" s="20">
        <v>30</v>
      </c>
      <c r="D22" s="114">
        <v>873.1</v>
      </c>
      <c r="E22" s="167">
        <v>42175</v>
      </c>
      <c r="F22" s="114">
        <f t="shared" si="0"/>
        <v>873.1</v>
      </c>
      <c r="G22" s="115" t="s">
        <v>192</v>
      </c>
      <c r="H22" s="116">
        <v>96</v>
      </c>
      <c r="J22" s="251"/>
      <c r="K22" s="7"/>
      <c r="L22" s="20">
        <v>10</v>
      </c>
      <c r="M22" s="550">
        <v>262.60000000000002</v>
      </c>
      <c r="N22" s="551">
        <v>42201</v>
      </c>
      <c r="O22" s="550">
        <f t="shared" si="1"/>
        <v>262.60000000000002</v>
      </c>
      <c r="P22" s="552" t="s">
        <v>238</v>
      </c>
      <c r="Q22" s="553">
        <v>96</v>
      </c>
      <c r="R22" s="554"/>
      <c r="S22" s="251"/>
      <c r="T22" s="7"/>
      <c r="U22" s="20">
        <v>1</v>
      </c>
      <c r="V22" s="528">
        <v>27</v>
      </c>
      <c r="W22" s="529">
        <v>42236</v>
      </c>
      <c r="X22" s="528">
        <v>27</v>
      </c>
      <c r="Y22" s="530" t="s">
        <v>314</v>
      </c>
      <c r="Z22" s="230">
        <v>99</v>
      </c>
      <c r="AB22" s="251"/>
      <c r="AC22" s="7"/>
      <c r="AD22" s="20">
        <v>30</v>
      </c>
      <c r="AE22" s="100">
        <v>926.6</v>
      </c>
      <c r="AF22" s="185">
        <v>42252</v>
      </c>
      <c r="AG22" s="100">
        <v>926.6</v>
      </c>
      <c r="AH22" s="111" t="s">
        <v>377</v>
      </c>
      <c r="AI22" s="101">
        <v>100</v>
      </c>
      <c r="AK22" s="251"/>
      <c r="AL22" s="7"/>
      <c r="AM22" s="20"/>
      <c r="AN22" s="550"/>
      <c r="AO22" s="551"/>
      <c r="AP22" s="550"/>
      <c r="AQ22" s="552"/>
      <c r="AR22" s="553"/>
      <c r="AT22" s="251"/>
      <c r="AU22" s="7"/>
      <c r="AV22" s="20">
        <v>30</v>
      </c>
      <c r="AW22" s="550">
        <v>930</v>
      </c>
      <c r="AX22" s="551">
        <v>42292</v>
      </c>
      <c r="AY22" s="550">
        <v>930</v>
      </c>
      <c r="AZ22" s="552" t="s">
        <v>700</v>
      </c>
      <c r="BA22" s="553">
        <v>98</v>
      </c>
      <c r="BC22" s="251"/>
      <c r="BD22" s="7"/>
      <c r="BE22" s="20"/>
      <c r="BF22" s="254"/>
      <c r="BG22" s="257"/>
      <c r="BH22" s="254"/>
      <c r="BI22" s="255"/>
      <c r="BJ22" s="256"/>
    </row>
    <row r="23" spans="1:62" x14ac:dyDescent="0.25">
      <c r="A23" s="250"/>
      <c r="B23" s="7"/>
      <c r="C23" s="20">
        <v>30</v>
      </c>
      <c r="D23" s="114">
        <v>821.1</v>
      </c>
      <c r="E23" s="167">
        <v>42175</v>
      </c>
      <c r="F23" s="114">
        <f t="shared" si="0"/>
        <v>821.1</v>
      </c>
      <c r="G23" s="115" t="s">
        <v>193</v>
      </c>
      <c r="H23" s="116">
        <v>96</v>
      </c>
      <c r="J23" s="250"/>
      <c r="K23" s="7"/>
      <c r="L23" s="20">
        <v>5</v>
      </c>
      <c r="M23" s="550">
        <v>141.19999999999999</v>
      </c>
      <c r="N23" s="551">
        <v>42201</v>
      </c>
      <c r="O23" s="550">
        <f t="shared" si="1"/>
        <v>141.19999999999999</v>
      </c>
      <c r="P23" s="552" t="s">
        <v>239</v>
      </c>
      <c r="Q23" s="553">
        <v>96</v>
      </c>
      <c r="R23" s="554"/>
      <c r="S23" s="250"/>
      <c r="T23" s="7"/>
      <c r="U23" s="20">
        <v>30</v>
      </c>
      <c r="V23" s="528">
        <v>810.8</v>
      </c>
      <c r="W23" s="529">
        <v>42236</v>
      </c>
      <c r="X23" s="528">
        <v>810.8</v>
      </c>
      <c r="Y23" s="530" t="s">
        <v>316</v>
      </c>
      <c r="Z23" s="230">
        <v>99</v>
      </c>
      <c r="AB23" s="250"/>
      <c r="AC23" s="7"/>
      <c r="AD23" s="20">
        <v>5</v>
      </c>
      <c r="AE23" s="100">
        <v>154</v>
      </c>
      <c r="AF23" s="185">
        <v>42254</v>
      </c>
      <c r="AG23" s="100">
        <v>154</v>
      </c>
      <c r="AH23" s="111" t="s">
        <v>378</v>
      </c>
      <c r="AI23" s="101">
        <v>100</v>
      </c>
      <c r="AK23" s="250"/>
      <c r="AL23" s="7"/>
      <c r="AM23" s="20"/>
      <c r="AN23" s="550"/>
      <c r="AO23" s="551"/>
      <c r="AP23" s="550"/>
      <c r="AQ23" s="552"/>
      <c r="AR23" s="553"/>
      <c r="AT23" s="250"/>
      <c r="AU23" s="7"/>
      <c r="AV23" s="20">
        <v>30</v>
      </c>
      <c r="AW23" s="550">
        <v>306.89999999999998</v>
      </c>
      <c r="AX23" s="551">
        <v>42293</v>
      </c>
      <c r="AY23" s="550">
        <v>306.89999999999998</v>
      </c>
      <c r="AZ23" s="552" t="s">
        <v>706</v>
      </c>
      <c r="BA23" s="553">
        <v>98</v>
      </c>
      <c r="BC23" s="250"/>
      <c r="BD23" s="7"/>
      <c r="BE23" s="20"/>
      <c r="BF23" s="254"/>
      <c r="BG23" s="257"/>
      <c r="BH23" s="254"/>
      <c r="BI23" s="255"/>
      <c r="BJ23" s="256"/>
    </row>
    <row r="24" spans="1:62" x14ac:dyDescent="0.25">
      <c r="A24" s="250"/>
      <c r="B24" s="7"/>
      <c r="C24" s="20">
        <v>30</v>
      </c>
      <c r="D24" s="114">
        <v>859.9</v>
      </c>
      <c r="E24" s="167">
        <v>42177</v>
      </c>
      <c r="F24" s="114">
        <f t="shared" si="0"/>
        <v>859.9</v>
      </c>
      <c r="G24" s="115" t="s">
        <v>194</v>
      </c>
      <c r="H24" s="116">
        <v>96</v>
      </c>
      <c r="J24" s="250"/>
      <c r="K24" s="7"/>
      <c r="L24" s="20">
        <v>30</v>
      </c>
      <c r="M24" s="550">
        <v>900.2</v>
      </c>
      <c r="N24" s="551">
        <v>42201</v>
      </c>
      <c r="O24" s="550">
        <f t="shared" si="1"/>
        <v>900.2</v>
      </c>
      <c r="P24" s="552" t="s">
        <v>240</v>
      </c>
      <c r="Q24" s="553">
        <v>96</v>
      </c>
      <c r="R24" s="554"/>
      <c r="S24" s="250"/>
      <c r="T24" s="7"/>
      <c r="U24" s="20">
        <v>30</v>
      </c>
      <c r="V24" s="528">
        <v>998.8</v>
      </c>
      <c r="W24" s="529">
        <v>42238</v>
      </c>
      <c r="X24" s="528">
        <v>998.8</v>
      </c>
      <c r="Y24" s="530" t="s">
        <v>321</v>
      </c>
      <c r="Z24" s="230">
        <v>100</v>
      </c>
      <c r="AB24" s="250"/>
      <c r="AC24" s="7"/>
      <c r="AD24" s="20">
        <v>5</v>
      </c>
      <c r="AE24" s="100">
        <v>154.80000000000001</v>
      </c>
      <c r="AF24" s="185">
        <v>42255</v>
      </c>
      <c r="AG24" s="100">
        <v>154.80000000000001</v>
      </c>
      <c r="AH24" s="111" t="s">
        <v>382</v>
      </c>
      <c r="AI24" s="101">
        <v>100</v>
      </c>
      <c r="AK24" s="250"/>
      <c r="AL24" s="7"/>
      <c r="AM24" s="20"/>
      <c r="AN24" s="550"/>
      <c r="AO24" s="551"/>
      <c r="AP24" s="550"/>
      <c r="AQ24" s="552"/>
      <c r="AR24" s="553"/>
      <c r="AT24" s="250"/>
      <c r="AU24" s="7"/>
      <c r="AV24" s="20">
        <v>1</v>
      </c>
      <c r="AW24" s="550">
        <v>29.7</v>
      </c>
      <c r="AX24" s="551">
        <v>42293</v>
      </c>
      <c r="AY24" s="550">
        <v>29.7</v>
      </c>
      <c r="AZ24" s="552" t="s">
        <v>710</v>
      </c>
      <c r="BA24" s="553">
        <v>98</v>
      </c>
      <c r="BC24" s="250"/>
      <c r="BD24" s="7"/>
      <c r="BE24" s="20"/>
      <c r="BF24" s="254"/>
      <c r="BG24" s="257"/>
      <c r="BH24" s="254"/>
      <c r="BI24" s="255"/>
      <c r="BJ24" s="256"/>
    </row>
    <row r="25" spans="1:62" x14ac:dyDescent="0.25">
      <c r="A25" s="250"/>
      <c r="B25" s="7"/>
      <c r="C25" s="20">
        <v>30</v>
      </c>
      <c r="D25" s="114">
        <v>851.3</v>
      </c>
      <c r="E25" s="167">
        <v>42177</v>
      </c>
      <c r="F25" s="114">
        <f t="shared" si="0"/>
        <v>851.3</v>
      </c>
      <c r="G25" s="115" t="s">
        <v>195</v>
      </c>
      <c r="H25" s="116">
        <v>96</v>
      </c>
      <c r="J25" s="250"/>
      <c r="K25" s="7"/>
      <c r="L25" s="20">
        <v>30</v>
      </c>
      <c r="M25" s="550">
        <v>904.7</v>
      </c>
      <c r="N25" s="551">
        <v>42203</v>
      </c>
      <c r="O25" s="550">
        <f t="shared" si="1"/>
        <v>904.7</v>
      </c>
      <c r="P25" s="552" t="s">
        <v>243</v>
      </c>
      <c r="Q25" s="553">
        <v>96</v>
      </c>
      <c r="R25" s="554"/>
      <c r="S25" s="250"/>
      <c r="T25" s="7"/>
      <c r="U25" s="20">
        <v>30</v>
      </c>
      <c r="V25" s="528">
        <v>827.3</v>
      </c>
      <c r="W25" s="529">
        <v>42238</v>
      </c>
      <c r="X25" s="528">
        <v>827.3</v>
      </c>
      <c r="Y25" s="530" t="s">
        <v>322</v>
      </c>
      <c r="Z25" s="230">
        <v>100</v>
      </c>
      <c r="AB25" s="250"/>
      <c r="AC25" s="7"/>
      <c r="AD25" s="20">
        <v>30</v>
      </c>
      <c r="AE25" s="100">
        <v>905.9</v>
      </c>
      <c r="AF25" s="185">
        <v>42255</v>
      </c>
      <c r="AG25" s="100">
        <v>905.9</v>
      </c>
      <c r="AH25" s="111" t="s">
        <v>384</v>
      </c>
      <c r="AI25" s="101">
        <v>100</v>
      </c>
      <c r="AK25" s="250"/>
      <c r="AL25" s="7"/>
      <c r="AM25" s="20"/>
      <c r="AN25" s="550"/>
      <c r="AO25" s="551"/>
      <c r="AP25" s="550"/>
      <c r="AQ25" s="552"/>
      <c r="AR25" s="553"/>
      <c r="AT25" s="250"/>
      <c r="AU25" s="7"/>
      <c r="AV25" s="20">
        <v>30</v>
      </c>
      <c r="AW25" s="550">
        <v>938.6</v>
      </c>
      <c r="AX25" s="551">
        <v>42293</v>
      </c>
      <c r="AY25" s="550">
        <v>938.6</v>
      </c>
      <c r="AZ25" s="552" t="s">
        <v>710</v>
      </c>
      <c r="BA25" s="553">
        <v>98</v>
      </c>
      <c r="BC25" s="250"/>
      <c r="BD25" s="7"/>
      <c r="BE25" s="20"/>
      <c r="BF25" s="254"/>
      <c r="BG25" s="257"/>
      <c r="BH25" s="254"/>
      <c r="BI25" s="255"/>
      <c r="BJ25" s="256"/>
    </row>
    <row r="26" spans="1:62" x14ac:dyDescent="0.25">
      <c r="A26" s="250"/>
      <c r="B26" s="7"/>
      <c r="C26" s="20">
        <v>28</v>
      </c>
      <c r="D26" s="114">
        <v>802</v>
      </c>
      <c r="E26" s="167">
        <v>42178</v>
      </c>
      <c r="F26" s="114">
        <f t="shared" si="0"/>
        <v>802</v>
      </c>
      <c r="G26" s="115" t="s">
        <v>196</v>
      </c>
      <c r="H26" s="116">
        <v>96</v>
      </c>
      <c r="J26" s="250"/>
      <c r="K26" s="7"/>
      <c r="L26" s="20">
        <v>30</v>
      </c>
      <c r="M26" s="550">
        <v>906.7</v>
      </c>
      <c r="N26" s="551">
        <v>42203</v>
      </c>
      <c r="O26" s="550">
        <f t="shared" si="1"/>
        <v>906.7</v>
      </c>
      <c r="P26" s="552" t="s">
        <v>245</v>
      </c>
      <c r="Q26" s="553">
        <v>96</v>
      </c>
      <c r="R26" s="554"/>
      <c r="S26" s="250"/>
      <c r="T26" s="7"/>
      <c r="U26" s="20">
        <v>28</v>
      </c>
      <c r="V26" s="528">
        <v>772.6</v>
      </c>
      <c r="W26" s="529">
        <v>42241</v>
      </c>
      <c r="X26" s="528">
        <v>772.6</v>
      </c>
      <c r="Y26" s="530" t="s">
        <v>323</v>
      </c>
      <c r="Z26" s="230">
        <v>100</v>
      </c>
      <c r="AB26" s="250"/>
      <c r="AC26" s="7"/>
      <c r="AD26" s="20">
        <v>30</v>
      </c>
      <c r="AE26" s="100">
        <v>930.1</v>
      </c>
      <c r="AF26" s="185">
        <v>42257</v>
      </c>
      <c r="AG26" s="100">
        <v>930.1</v>
      </c>
      <c r="AH26" s="111" t="s">
        <v>386</v>
      </c>
      <c r="AI26" s="101">
        <v>100</v>
      </c>
      <c r="AK26" s="250"/>
      <c r="AL26" s="7"/>
      <c r="AM26" s="20"/>
      <c r="AN26" s="550"/>
      <c r="AO26" s="551"/>
      <c r="AP26" s="550"/>
      <c r="AQ26" s="552"/>
      <c r="AR26" s="553"/>
      <c r="AT26" s="250"/>
      <c r="AU26" s="7"/>
      <c r="AV26" s="20">
        <v>30</v>
      </c>
      <c r="AW26" s="550">
        <v>933.2</v>
      </c>
      <c r="AX26" s="551">
        <v>42293</v>
      </c>
      <c r="AY26" s="550">
        <v>933.2</v>
      </c>
      <c r="AZ26" s="552" t="s">
        <v>711</v>
      </c>
      <c r="BA26" s="553">
        <v>98</v>
      </c>
      <c r="BC26" s="250"/>
      <c r="BD26" s="7"/>
      <c r="BE26" s="20"/>
      <c r="BF26" s="254"/>
      <c r="BG26" s="257"/>
      <c r="BH26" s="254"/>
      <c r="BI26" s="255"/>
      <c r="BJ26" s="256"/>
    </row>
    <row r="27" spans="1:62" x14ac:dyDescent="0.25">
      <c r="A27" s="250"/>
      <c r="B27" s="7"/>
      <c r="C27" s="20">
        <v>37</v>
      </c>
      <c r="D27" s="114">
        <v>1010.3</v>
      </c>
      <c r="E27" s="167">
        <v>42181</v>
      </c>
      <c r="F27" s="114">
        <f t="shared" si="0"/>
        <v>1010.3</v>
      </c>
      <c r="G27" s="115" t="s">
        <v>201</v>
      </c>
      <c r="H27" s="116">
        <v>96</v>
      </c>
      <c r="J27" s="250"/>
      <c r="K27" s="7"/>
      <c r="L27" s="20">
        <v>30</v>
      </c>
      <c r="M27" s="550">
        <v>899.7</v>
      </c>
      <c r="N27" s="551">
        <v>42205</v>
      </c>
      <c r="O27" s="550">
        <f t="shared" si="1"/>
        <v>899.7</v>
      </c>
      <c r="P27" s="552" t="s">
        <v>246</v>
      </c>
      <c r="Q27" s="553">
        <v>96</v>
      </c>
      <c r="R27" s="554"/>
      <c r="S27" s="250"/>
      <c r="T27" s="7"/>
      <c r="U27" s="20">
        <v>30</v>
      </c>
      <c r="V27" s="254">
        <v>1035.32</v>
      </c>
      <c r="W27" s="257">
        <v>42269</v>
      </c>
      <c r="X27" s="254">
        <v>1035.32</v>
      </c>
      <c r="Y27" s="255" t="s">
        <v>410</v>
      </c>
      <c r="Z27" s="256">
        <v>100</v>
      </c>
      <c r="AB27" s="250"/>
      <c r="AC27" s="7"/>
      <c r="AD27" s="20">
        <v>2</v>
      </c>
      <c r="AE27" s="100">
        <v>58.4</v>
      </c>
      <c r="AF27" s="185">
        <v>42259</v>
      </c>
      <c r="AG27" s="100">
        <v>58.4</v>
      </c>
      <c r="AH27" s="111" t="s">
        <v>392</v>
      </c>
      <c r="AI27" s="101">
        <v>100</v>
      </c>
      <c r="AK27" s="250"/>
      <c r="AL27" s="7"/>
      <c r="AM27" s="20"/>
      <c r="AN27" s="550"/>
      <c r="AO27" s="551"/>
      <c r="AP27" s="550"/>
      <c r="AQ27" s="552"/>
      <c r="AR27" s="553"/>
      <c r="AT27" s="250"/>
      <c r="AU27" s="7"/>
      <c r="AV27" s="20">
        <v>10</v>
      </c>
      <c r="AW27" s="550">
        <v>301.5</v>
      </c>
      <c r="AX27" s="551">
        <v>42294</v>
      </c>
      <c r="AY27" s="550">
        <v>301.5</v>
      </c>
      <c r="AZ27" s="552" t="s">
        <v>718</v>
      </c>
      <c r="BA27" s="553">
        <v>98</v>
      </c>
      <c r="BC27" s="250"/>
      <c r="BD27" s="7"/>
      <c r="BE27" s="20"/>
      <c r="BF27" s="254"/>
      <c r="BG27" s="257"/>
      <c r="BH27" s="254"/>
      <c r="BI27" s="255"/>
      <c r="BJ27" s="256"/>
    </row>
    <row r="28" spans="1:62" x14ac:dyDescent="0.25">
      <c r="A28" s="250"/>
      <c r="B28" s="7"/>
      <c r="C28" s="20">
        <v>30</v>
      </c>
      <c r="D28" s="114">
        <v>792.3</v>
      </c>
      <c r="E28" s="167">
        <v>42181</v>
      </c>
      <c r="F28" s="114">
        <f t="shared" si="0"/>
        <v>792.3</v>
      </c>
      <c r="G28" s="115" t="s">
        <v>202</v>
      </c>
      <c r="H28" s="116">
        <v>96</v>
      </c>
      <c r="J28" s="250"/>
      <c r="K28" s="7"/>
      <c r="L28" s="20">
        <v>30</v>
      </c>
      <c r="M28" s="550">
        <v>816.4</v>
      </c>
      <c r="N28" s="551">
        <v>42207</v>
      </c>
      <c r="O28" s="550">
        <f t="shared" si="1"/>
        <v>816.4</v>
      </c>
      <c r="P28" s="552" t="s">
        <v>249</v>
      </c>
      <c r="Q28" s="553">
        <v>96</v>
      </c>
      <c r="R28" s="554"/>
      <c r="S28" s="250"/>
      <c r="T28" s="7"/>
      <c r="U28" s="20">
        <v>15</v>
      </c>
      <c r="V28" s="254">
        <v>456.7</v>
      </c>
      <c r="W28" s="257">
        <v>42271</v>
      </c>
      <c r="X28" s="254">
        <v>456.7</v>
      </c>
      <c r="Y28" s="255" t="s">
        <v>413</v>
      </c>
      <c r="Z28" s="256">
        <v>100</v>
      </c>
      <c r="AB28" s="250"/>
      <c r="AC28" s="7"/>
      <c r="AD28" s="20">
        <v>30</v>
      </c>
      <c r="AE28" s="100">
        <v>903.3</v>
      </c>
      <c r="AF28" s="185">
        <v>42259</v>
      </c>
      <c r="AG28" s="100">
        <v>903.3</v>
      </c>
      <c r="AH28" s="111" t="s">
        <v>394</v>
      </c>
      <c r="AI28" s="101">
        <v>100</v>
      </c>
      <c r="AK28" s="250"/>
      <c r="AL28" s="7"/>
      <c r="AM28" s="20"/>
      <c r="AN28" s="550"/>
      <c r="AO28" s="551"/>
      <c r="AP28" s="550"/>
      <c r="AQ28" s="552"/>
      <c r="AR28" s="553"/>
      <c r="AT28" s="250"/>
      <c r="AU28" s="7"/>
      <c r="AV28" s="20">
        <v>30</v>
      </c>
      <c r="AW28" s="550">
        <v>920.5</v>
      </c>
      <c r="AX28" s="551">
        <v>42296</v>
      </c>
      <c r="AY28" s="550">
        <v>920.5</v>
      </c>
      <c r="AZ28" s="552" t="s">
        <v>725</v>
      </c>
      <c r="BA28" s="553">
        <v>98</v>
      </c>
      <c r="BC28" s="250"/>
      <c r="BD28" s="7"/>
      <c r="BE28" s="20"/>
      <c r="BF28" s="254"/>
      <c r="BG28" s="257"/>
      <c r="BH28" s="254"/>
      <c r="BI28" s="255"/>
      <c r="BJ28" s="256"/>
    </row>
    <row r="29" spans="1:62" x14ac:dyDescent="0.25">
      <c r="A29" s="250"/>
      <c r="B29" s="7"/>
      <c r="C29" s="20">
        <v>30</v>
      </c>
      <c r="D29" s="114">
        <v>808.4</v>
      </c>
      <c r="E29" s="167">
        <v>42181</v>
      </c>
      <c r="F29" s="114">
        <f t="shared" si="0"/>
        <v>808.4</v>
      </c>
      <c r="G29" s="115" t="s">
        <v>204</v>
      </c>
      <c r="H29" s="116">
        <v>96</v>
      </c>
      <c r="J29" s="250"/>
      <c r="K29" s="7"/>
      <c r="L29" s="20">
        <v>30</v>
      </c>
      <c r="M29" s="550">
        <v>930.7</v>
      </c>
      <c r="N29" s="551">
        <v>42209</v>
      </c>
      <c r="O29" s="550">
        <f t="shared" si="1"/>
        <v>930.7</v>
      </c>
      <c r="P29" s="552" t="s">
        <v>251</v>
      </c>
      <c r="Q29" s="553">
        <v>96</v>
      </c>
      <c r="S29" s="250"/>
      <c r="T29" s="7"/>
      <c r="U29" s="20"/>
      <c r="V29" s="254"/>
      <c r="W29" s="257"/>
      <c r="X29" s="254"/>
      <c r="Y29" s="255"/>
      <c r="Z29" s="256"/>
      <c r="AB29" s="250"/>
      <c r="AC29" s="7"/>
      <c r="AD29" s="20">
        <v>30</v>
      </c>
      <c r="AE29" s="100">
        <v>896</v>
      </c>
      <c r="AF29" s="185">
        <v>42259</v>
      </c>
      <c r="AG29" s="100">
        <v>896</v>
      </c>
      <c r="AH29" s="111" t="s">
        <v>396</v>
      </c>
      <c r="AI29" s="101">
        <v>100</v>
      </c>
      <c r="AK29" s="250"/>
      <c r="AL29" s="7"/>
      <c r="AM29" s="20"/>
      <c r="AN29" s="550"/>
      <c r="AO29" s="551"/>
      <c r="AP29" s="550"/>
      <c r="AQ29" s="552"/>
      <c r="AR29" s="553"/>
      <c r="AT29" s="250"/>
      <c r="AU29" s="7"/>
      <c r="AV29" s="20">
        <v>30</v>
      </c>
      <c r="AW29" s="550">
        <v>913.9</v>
      </c>
      <c r="AX29" s="551">
        <v>42298</v>
      </c>
      <c r="AY29" s="550">
        <v>913.9</v>
      </c>
      <c r="AZ29" s="552" t="s">
        <v>732</v>
      </c>
      <c r="BA29" s="553">
        <v>98</v>
      </c>
      <c r="BC29" s="250"/>
      <c r="BD29" s="7"/>
      <c r="BE29" s="20"/>
      <c r="BF29" s="254"/>
      <c r="BG29" s="257"/>
      <c r="BH29" s="254"/>
      <c r="BI29" s="255"/>
      <c r="BJ29" s="256"/>
    </row>
    <row r="30" spans="1:62" x14ac:dyDescent="0.25">
      <c r="A30" s="250"/>
      <c r="B30" s="7"/>
      <c r="C30" s="20">
        <v>5</v>
      </c>
      <c r="D30" s="114">
        <v>138</v>
      </c>
      <c r="E30" s="167">
        <v>42184</v>
      </c>
      <c r="F30" s="114">
        <f t="shared" si="0"/>
        <v>138</v>
      </c>
      <c r="G30" s="115" t="s">
        <v>207</v>
      </c>
      <c r="H30" s="116">
        <v>96</v>
      </c>
      <c r="J30" s="250"/>
      <c r="K30" s="7"/>
      <c r="L30" s="20">
        <v>30</v>
      </c>
      <c r="M30" s="550">
        <v>917.5</v>
      </c>
      <c r="N30" s="551">
        <v>42210</v>
      </c>
      <c r="O30" s="550">
        <f t="shared" si="1"/>
        <v>917.5</v>
      </c>
      <c r="P30" s="552" t="s">
        <v>252</v>
      </c>
      <c r="Q30" s="553">
        <v>96</v>
      </c>
      <c r="S30" s="250"/>
      <c r="T30" s="7"/>
      <c r="U30" s="20"/>
      <c r="V30" s="528"/>
      <c r="W30" s="529"/>
      <c r="X30" s="528"/>
      <c r="Y30" s="530"/>
      <c r="Z30" s="230"/>
      <c r="AB30" s="250"/>
      <c r="AC30" s="7"/>
      <c r="AD30" s="20">
        <v>25</v>
      </c>
      <c r="AE30" s="100">
        <v>756.2</v>
      </c>
      <c r="AF30" s="185">
        <v>42260</v>
      </c>
      <c r="AG30" s="100">
        <v>756.2</v>
      </c>
      <c r="AH30" s="111" t="s">
        <v>397</v>
      </c>
      <c r="AI30" s="101">
        <v>100</v>
      </c>
      <c r="AK30" s="250"/>
      <c r="AL30" s="7"/>
      <c r="AM30" s="20"/>
      <c r="AN30" s="550"/>
      <c r="AO30" s="551"/>
      <c r="AP30" s="550"/>
      <c r="AQ30" s="552"/>
      <c r="AR30" s="553"/>
      <c r="AT30" s="250"/>
      <c r="AU30" s="7"/>
      <c r="AV30" s="20">
        <v>30</v>
      </c>
      <c r="AW30" s="550">
        <v>928.5</v>
      </c>
      <c r="AX30" s="551">
        <v>42300</v>
      </c>
      <c r="AY30" s="550">
        <v>928.5</v>
      </c>
      <c r="AZ30" s="552" t="s">
        <v>747</v>
      </c>
      <c r="BA30" s="553">
        <v>98</v>
      </c>
      <c r="BC30" s="250"/>
      <c r="BD30" s="7"/>
      <c r="BE30" s="20"/>
      <c r="BF30" s="254"/>
      <c r="BG30" s="257"/>
      <c r="BH30" s="254"/>
      <c r="BI30" s="255"/>
      <c r="BJ30" s="256"/>
    </row>
    <row r="31" spans="1:62" x14ac:dyDescent="0.25">
      <c r="A31" s="250"/>
      <c r="B31" s="7"/>
      <c r="C31" s="20">
        <v>20</v>
      </c>
      <c r="D31" s="574">
        <v>547.5</v>
      </c>
      <c r="E31" s="575">
        <v>42186</v>
      </c>
      <c r="F31" s="574">
        <f t="shared" si="0"/>
        <v>547.5</v>
      </c>
      <c r="G31" s="576" t="s">
        <v>221</v>
      </c>
      <c r="H31" s="577">
        <v>96</v>
      </c>
      <c r="J31" s="250"/>
      <c r="K31" s="7"/>
      <c r="L31" s="20">
        <v>30</v>
      </c>
      <c r="M31" s="550">
        <v>826.4</v>
      </c>
      <c r="N31" s="551">
        <v>42212</v>
      </c>
      <c r="O31" s="550">
        <f t="shared" si="1"/>
        <v>826.4</v>
      </c>
      <c r="P31" s="552" t="s">
        <v>253</v>
      </c>
      <c r="Q31" s="553">
        <v>96</v>
      </c>
      <c r="S31" s="250"/>
      <c r="T31" s="7"/>
      <c r="U31" s="20"/>
      <c r="V31" s="528"/>
      <c r="W31" s="529"/>
      <c r="X31" s="528"/>
      <c r="Y31" s="530"/>
      <c r="Z31" s="230"/>
      <c r="AB31" s="250"/>
      <c r="AC31" s="7"/>
      <c r="AD31" s="20">
        <v>30</v>
      </c>
      <c r="AE31" s="100">
        <v>910.7</v>
      </c>
      <c r="AF31" s="185">
        <v>42261</v>
      </c>
      <c r="AG31" s="100">
        <v>910.7</v>
      </c>
      <c r="AH31" s="111" t="s">
        <v>398</v>
      </c>
      <c r="AI31" s="101">
        <v>100</v>
      </c>
      <c r="AK31" s="250"/>
      <c r="AL31" s="7"/>
      <c r="AM31" s="20"/>
      <c r="AN31" s="550"/>
      <c r="AO31" s="551"/>
      <c r="AP31" s="550"/>
      <c r="AQ31" s="552"/>
      <c r="AR31" s="553"/>
      <c r="AT31" s="250"/>
      <c r="AU31" s="7"/>
      <c r="AV31" s="20">
        <v>15</v>
      </c>
      <c r="AW31" s="550">
        <v>482.1</v>
      </c>
      <c r="AX31" s="551">
        <v>42301</v>
      </c>
      <c r="AY31" s="550">
        <v>482.1</v>
      </c>
      <c r="AZ31" s="552" t="s">
        <v>751</v>
      </c>
      <c r="BA31" s="553">
        <v>98</v>
      </c>
      <c r="BC31" s="250"/>
      <c r="BD31" s="7"/>
      <c r="BE31" s="20"/>
      <c r="BF31" s="254"/>
      <c r="BG31" s="257"/>
      <c r="BH31" s="254"/>
      <c r="BI31" s="255"/>
      <c r="BJ31" s="256"/>
    </row>
    <row r="32" spans="1:62" x14ac:dyDescent="0.25">
      <c r="A32" s="250"/>
      <c r="B32" s="7"/>
      <c r="C32" s="20">
        <v>28</v>
      </c>
      <c r="D32" s="574">
        <v>745.9</v>
      </c>
      <c r="E32" s="575">
        <v>42187</v>
      </c>
      <c r="F32" s="574">
        <f t="shared" si="0"/>
        <v>745.9</v>
      </c>
      <c r="G32" s="576" t="s">
        <v>222</v>
      </c>
      <c r="H32" s="577">
        <v>96</v>
      </c>
      <c r="J32" s="250"/>
      <c r="K32" s="7"/>
      <c r="L32" s="20">
        <v>30</v>
      </c>
      <c r="M32" s="550">
        <v>897.8</v>
      </c>
      <c r="N32" s="551">
        <v>42215</v>
      </c>
      <c r="O32" s="550">
        <f t="shared" si="1"/>
        <v>897.8</v>
      </c>
      <c r="P32" s="552" t="s">
        <v>255</v>
      </c>
      <c r="Q32" s="553">
        <v>97</v>
      </c>
      <c r="S32" s="250"/>
      <c r="T32" s="7"/>
      <c r="U32" s="20"/>
      <c r="V32" s="528"/>
      <c r="W32" s="529"/>
      <c r="X32" s="528"/>
      <c r="Y32" s="530"/>
      <c r="Z32" s="230"/>
      <c r="AB32" s="250"/>
      <c r="AC32" s="7"/>
      <c r="AD32" s="20">
        <v>30</v>
      </c>
      <c r="AE32" s="100">
        <v>883.5</v>
      </c>
      <c r="AF32" s="185">
        <v>42261</v>
      </c>
      <c r="AG32" s="100">
        <v>883.5</v>
      </c>
      <c r="AH32" s="111" t="s">
        <v>399</v>
      </c>
      <c r="AI32" s="101">
        <v>100</v>
      </c>
      <c r="AK32" s="250"/>
      <c r="AL32" s="7"/>
      <c r="AM32" s="20"/>
      <c r="AN32" s="550"/>
      <c r="AO32" s="551"/>
      <c r="AP32" s="550"/>
      <c r="AQ32" s="552"/>
      <c r="AR32" s="553"/>
      <c r="AT32" s="250"/>
      <c r="AU32" s="7"/>
      <c r="AV32" s="20">
        <v>30</v>
      </c>
      <c r="AW32" s="550">
        <v>946.9</v>
      </c>
      <c r="AX32" s="551">
        <v>42303</v>
      </c>
      <c r="AY32" s="550">
        <v>946.9</v>
      </c>
      <c r="AZ32" s="552" t="s">
        <v>760</v>
      </c>
      <c r="BA32" s="553">
        <v>98</v>
      </c>
      <c r="BC32" s="250"/>
      <c r="BD32" s="7"/>
      <c r="BE32" s="20"/>
      <c r="BF32" s="254"/>
      <c r="BG32" s="257"/>
      <c r="BH32" s="254"/>
      <c r="BI32" s="255"/>
      <c r="BJ32" s="256"/>
    </row>
    <row r="33" spans="1:62" x14ac:dyDescent="0.25">
      <c r="A33" s="250"/>
      <c r="B33" s="7"/>
      <c r="C33" s="20">
        <v>30</v>
      </c>
      <c r="D33" s="528">
        <v>996.4</v>
      </c>
      <c r="E33" s="529">
        <v>42218</v>
      </c>
      <c r="F33" s="528">
        <f t="shared" si="0"/>
        <v>996.4</v>
      </c>
      <c r="G33" s="530" t="s">
        <v>284</v>
      </c>
      <c r="H33" s="230">
        <v>96</v>
      </c>
      <c r="J33" s="250"/>
      <c r="K33" s="7"/>
      <c r="L33" s="20">
        <v>30</v>
      </c>
      <c r="M33" s="550">
        <v>912.3</v>
      </c>
      <c r="N33" s="551">
        <v>42216</v>
      </c>
      <c r="O33" s="550">
        <f t="shared" si="1"/>
        <v>912.3</v>
      </c>
      <c r="P33" s="552" t="s">
        <v>257</v>
      </c>
      <c r="Q33" s="553">
        <v>97</v>
      </c>
      <c r="S33" s="250"/>
      <c r="T33" s="7"/>
      <c r="U33" s="20">
        <v>35</v>
      </c>
      <c r="V33" s="528">
        <v>356.12</v>
      </c>
      <c r="W33" s="529"/>
      <c r="X33" s="528">
        <v>356.12</v>
      </c>
      <c r="Y33" s="530"/>
      <c r="Z33" s="230"/>
      <c r="AB33" s="250"/>
      <c r="AC33" s="7"/>
      <c r="AD33" s="20">
        <v>50</v>
      </c>
      <c r="AE33" s="100">
        <v>1524.6</v>
      </c>
      <c r="AF33" s="185">
        <v>42262</v>
      </c>
      <c r="AG33" s="100">
        <v>1524.6</v>
      </c>
      <c r="AH33" s="111" t="s">
        <v>400</v>
      </c>
      <c r="AI33" s="101">
        <v>100</v>
      </c>
      <c r="AK33" s="250"/>
      <c r="AL33" s="7"/>
      <c r="AM33" s="20"/>
      <c r="AN33" s="550"/>
      <c r="AO33" s="551"/>
      <c r="AP33" s="550"/>
      <c r="AQ33" s="552"/>
      <c r="AR33" s="553"/>
      <c r="AT33" s="250"/>
      <c r="AU33" s="7"/>
      <c r="AV33" s="20">
        <v>32</v>
      </c>
      <c r="AW33" s="550">
        <v>1017.3</v>
      </c>
      <c r="AX33" s="551">
        <v>42305</v>
      </c>
      <c r="AY33" s="550">
        <v>1017.3</v>
      </c>
      <c r="AZ33" s="552" t="s">
        <v>770</v>
      </c>
      <c r="BA33" s="553">
        <v>98</v>
      </c>
      <c r="BC33" s="250"/>
      <c r="BD33" s="7"/>
      <c r="BE33" s="20"/>
      <c r="BF33" s="254"/>
      <c r="BG33" s="257"/>
      <c r="BH33" s="254"/>
      <c r="BI33" s="255"/>
      <c r="BJ33" s="256"/>
    </row>
    <row r="34" spans="1:62" x14ac:dyDescent="0.25">
      <c r="A34" s="250"/>
      <c r="B34" s="7"/>
      <c r="C34" s="20"/>
      <c r="D34" s="528">
        <v>0</v>
      </c>
      <c r="E34" s="529"/>
      <c r="F34" s="528">
        <f t="shared" si="0"/>
        <v>0</v>
      </c>
      <c r="G34" s="530"/>
      <c r="H34" s="230"/>
      <c r="J34" s="250"/>
      <c r="K34" s="7"/>
      <c r="L34" s="20"/>
      <c r="M34" s="550"/>
      <c r="N34" s="551"/>
      <c r="O34" s="550">
        <f t="shared" si="1"/>
        <v>0</v>
      </c>
      <c r="P34" s="552"/>
      <c r="Q34" s="553"/>
      <c r="S34" s="250"/>
      <c r="T34" s="7"/>
      <c r="U34" s="20"/>
      <c r="V34" s="528"/>
      <c r="W34" s="529"/>
      <c r="X34" s="528"/>
      <c r="Y34" s="530"/>
      <c r="Z34" s="230"/>
      <c r="AB34" s="250"/>
      <c r="AC34" s="7"/>
      <c r="AD34" s="20">
        <v>30</v>
      </c>
      <c r="AE34" s="100">
        <v>889.9</v>
      </c>
      <c r="AF34" s="185">
        <v>42264</v>
      </c>
      <c r="AG34" s="100">
        <v>889.9</v>
      </c>
      <c r="AH34" s="111" t="s">
        <v>403</v>
      </c>
      <c r="AI34" s="101">
        <v>100</v>
      </c>
      <c r="AK34" s="250"/>
      <c r="AL34" s="7"/>
      <c r="AM34" s="20"/>
      <c r="AN34" s="550"/>
      <c r="AO34" s="551"/>
      <c r="AP34" s="550"/>
      <c r="AQ34" s="552"/>
      <c r="AR34" s="553"/>
      <c r="AT34" s="250"/>
      <c r="AU34" s="7"/>
      <c r="AV34" s="20">
        <v>30</v>
      </c>
      <c r="AW34" s="550">
        <v>914.6</v>
      </c>
      <c r="AX34" s="551">
        <v>42305</v>
      </c>
      <c r="AY34" s="550">
        <v>914.6</v>
      </c>
      <c r="AZ34" s="552" t="s">
        <v>771</v>
      </c>
      <c r="BA34" s="553">
        <v>98</v>
      </c>
      <c r="BC34" s="250"/>
      <c r="BD34" s="7"/>
      <c r="BE34" s="20"/>
      <c r="BF34" s="254"/>
      <c r="BG34" s="257"/>
      <c r="BH34" s="254"/>
      <c r="BI34" s="255"/>
      <c r="BJ34" s="256"/>
    </row>
    <row r="35" spans="1:62" x14ac:dyDescent="0.25">
      <c r="A35" s="250" t="s">
        <v>22</v>
      </c>
      <c r="B35" s="7"/>
      <c r="C35" s="20"/>
      <c r="D35" s="528"/>
      <c r="E35" s="529"/>
      <c r="F35" s="528">
        <f t="shared" si="0"/>
        <v>0</v>
      </c>
      <c r="G35" s="530"/>
      <c r="H35" s="230"/>
      <c r="J35" s="250" t="s">
        <v>22</v>
      </c>
      <c r="K35" s="7"/>
      <c r="L35" s="20"/>
      <c r="M35" s="550"/>
      <c r="N35" s="551"/>
      <c r="O35" s="550">
        <f t="shared" si="1"/>
        <v>0</v>
      </c>
      <c r="P35" s="552"/>
      <c r="Q35" s="553"/>
      <c r="S35" s="250" t="s">
        <v>22</v>
      </c>
      <c r="T35" s="7"/>
      <c r="U35" s="20"/>
      <c r="V35" s="528"/>
      <c r="W35" s="529"/>
      <c r="X35" s="528"/>
      <c r="Y35" s="530"/>
      <c r="Z35" s="230"/>
      <c r="AB35" s="250" t="s">
        <v>22</v>
      </c>
      <c r="AC35" s="7"/>
      <c r="AD35" s="20">
        <v>30</v>
      </c>
      <c r="AE35" s="100">
        <v>895.1</v>
      </c>
      <c r="AF35" s="185">
        <v>42265</v>
      </c>
      <c r="AG35" s="100">
        <v>895.1</v>
      </c>
      <c r="AH35" s="111" t="s">
        <v>405</v>
      </c>
      <c r="AI35" s="101">
        <v>100</v>
      </c>
      <c r="AK35" s="250" t="s">
        <v>22</v>
      </c>
      <c r="AL35" s="7"/>
      <c r="AM35" s="20"/>
      <c r="AN35" s="550"/>
      <c r="AO35" s="551"/>
      <c r="AP35" s="550"/>
      <c r="AQ35" s="552"/>
      <c r="AR35" s="553"/>
      <c r="AT35" s="250" t="s">
        <v>22</v>
      </c>
      <c r="AU35" s="7"/>
      <c r="AV35" s="20">
        <v>20</v>
      </c>
      <c r="AW35" s="550">
        <v>623</v>
      </c>
      <c r="AX35" s="551">
        <v>42306</v>
      </c>
      <c r="AY35" s="550">
        <v>623</v>
      </c>
      <c r="AZ35" s="552" t="s">
        <v>775</v>
      </c>
      <c r="BA35" s="553">
        <v>98</v>
      </c>
      <c r="BC35" s="250" t="s">
        <v>22</v>
      </c>
      <c r="BD35" s="7"/>
      <c r="BE35" s="20"/>
      <c r="BF35" s="254"/>
      <c r="BG35" s="257"/>
      <c r="BH35" s="254"/>
      <c r="BI35" s="255"/>
      <c r="BJ35" s="256"/>
    </row>
    <row r="36" spans="1:62" x14ac:dyDescent="0.25">
      <c r="A36" s="251"/>
      <c r="B36" s="7"/>
      <c r="C36" s="20"/>
      <c r="D36" s="528"/>
      <c r="E36" s="529"/>
      <c r="F36" s="528">
        <f t="shared" si="0"/>
        <v>0</v>
      </c>
      <c r="G36" s="530"/>
      <c r="H36" s="230"/>
      <c r="J36" s="251"/>
      <c r="K36" s="7"/>
      <c r="L36" s="20"/>
      <c r="M36" s="550"/>
      <c r="N36" s="551"/>
      <c r="O36" s="550">
        <f t="shared" si="1"/>
        <v>0</v>
      </c>
      <c r="P36" s="552"/>
      <c r="Q36" s="553"/>
      <c r="S36" s="251"/>
      <c r="T36" s="7"/>
      <c r="U36" s="20"/>
      <c r="V36" s="528"/>
      <c r="W36" s="529"/>
      <c r="X36" s="528"/>
      <c r="Y36" s="530"/>
      <c r="Z36" s="230"/>
      <c r="AB36" s="251"/>
      <c r="AC36" s="7"/>
      <c r="AD36" s="20"/>
      <c r="AE36" s="100"/>
      <c r="AF36" s="185"/>
      <c r="AG36" s="100"/>
      <c r="AH36" s="111"/>
      <c r="AI36" s="101"/>
      <c r="AK36" s="251"/>
      <c r="AL36" s="7"/>
      <c r="AM36" s="20"/>
      <c r="AN36" s="550"/>
      <c r="AO36" s="551"/>
      <c r="AP36" s="550"/>
      <c r="AQ36" s="552"/>
      <c r="AR36" s="553"/>
      <c r="AT36" s="251"/>
      <c r="AU36" s="7"/>
      <c r="AV36" s="20"/>
      <c r="AW36" s="550"/>
      <c r="AX36" s="551"/>
      <c r="AY36" s="550"/>
      <c r="AZ36" s="552"/>
      <c r="BA36" s="553"/>
      <c r="BC36" s="251"/>
      <c r="BD36" s="7"/>
      <c r="BE36" s="20"/>
      <c r="BF36" s="254"/>
      <c r="BG36" s="257"/>
      <c r="BH36" s="254"/>
      <c r="BI36" s="255"/>
      <c r="BJ36" s="256"/>
    </row>
    <row r="37" spans="1:62" x14ac:dyDescent="0.25">
      <c r="A37" s="250"/>
      <c r="B37" s="7"/>
      <c r="C37" s="20"/>
      <c r="D37" s="528"/>
      <c r="E37" s="529"/>
      <c r="F37" s="528">
        <f t="shared" si="0"/>
        <v>0</v>
      </c>
      <c r="G37" s="530"/>
      <c r="H37" s="230"/>
      <c r="J37" s="250"/>
      <c r="K37" s="7"/>
      <c r="L37" s="20"/>
      <c r="M37" s="550"/>
      <c r="N37" s="551"/>
      <c r="O37" s="550">
        <f t="shared" si="1"/>
        <v>0</v>
      </c>
      <c r="P37" s="552"/>
      <c r="Q37" s="553"/>
      <c r="S37" s="250"/>
      <c r="T37" s="7"/>
      <c r="U37" s="20"/>
      <c r="V37" s="528"/>
      <c r="W37" s="529"/>
      <c r="X37" s="528"/>
      <c r="Y37" s="530"/>
      <c r="Z37" s="230"/>
      <c r="AB37" s="250"/>
      <c r="AC37" s="7"/>
      <c r="AD37" s="20"/>
      <c r="AE37" s="100"/>
      <c r="AF37" s="185"/>
      <c r="AG37" s="100"/>
      <c r="AH37" s="111"/>
      <c r="AI37" s="101"/>
      <c r="AK37" s="250"/>
      <c r="AL37" s="7"/>
      <c r="AM37" s="20"/>
      <c r="AN37" s="550"/>
      <c r="AO37" s="551"/>
      <c r="AP37" s="550"/>
      <c r="AQ37" s="552"/>
      <c r="AR37" s="553"/>
      <c r="AT37" s="250"/>
      <c r="AU37" s="7"/>
      <c r="AV37" s="20"/>
      <c r="AW37" s="550"/>
      <c r="AX37" s="551"/>
      <c r="AY37" s="550"/>
      <c r="AZ37" s="552"/>
      <c r="BA37" s="553"/>
      <c r="BC37" s="250"/>
      <c r="BD37" s="7"/>
      <c r="BE37" s="20"/>
      <c r="BF37" s="254"/>
      <c r="BG37" s="257"/>
      <c r="BH37" s="254"/>
      <c r="BI37" s="255"/>
      <c r="BJ37" s="256"/>
    </row>
    <row r="38" spans="1:62" x14ac:dyDescent="0.25">
      <c r="A38" s="250"/>
      <c r="B38" s="7"/>
      <c r="C38" s="20"/>
      <c r="D38" s="528"/>
      <c r="E38" s="529"/>
      <c r="F38" s="528">
        <f t="shared" si="0"/>
        <v>0</v>
      </c>
      <c r="G38" s="530"/>
      <c r="H38" s="230"/>
      <c r="J38" s="250"/>
      <c r="K38" s="7"/>
      <c r="L38" s="20"/>
      <c r="M38" s="550"/>
      <c r="N38" s="551"/>
      <c r="O38" s="550">
        <f t="shared" si="1"/>
        <v>0</v>
      </c>
      <c r="P38" s="552"/>
      <c r="Q38" s="553"/>
      <c r="S38" s="250"/>
      <c r="T38" s="7"/>
      <c r="U38" s="20"/>
      <c r="V38" s="528"/>
      <c r="W38" s="529"/>
      <c r="X38" s="528"/>
      <c r="Y38" s="530"/>
      <c r="Z38" s="230"/>
      <c r="AB38" s="250"/>
      <c r="AC38" s="7"/>
      <c r="AD38" s="20"/>
      <c r="AE38" s="100"/>
      <c r="AF38" s="185"/>
      <c r="AG38" s="100"/>
      <c r="AH38" s="111"/>
      <c r="AI38" s="101"/>
      <c r="AK38" s="250"/>
      <c r="AL38" s="7"/>
      <c r="AM38" s="20"/>
      <c r="AN38" s="550"/>
      <c r="AO38" s="551"/>
      <c r="AP38" s="550"/>
      <c r="AQ38" s="552"/>
      <c r="AR38" s="553"/>
      <c r="AT38" s="250"/>
      <c r="AU38" s="7"/>
      <c r="AV38" s="20"/>
      <c r="AW38" s="550"/>
      <c r="AX38" s="551"/>
      <c r="AY38" s="550"/>
      <c r="AZ38" s="552"/>
      <c r="BA38" s="553"/>
      <c r="BC38" s="250"/>
      <c r="BD38" s="7"/>
      <c r="BE38" s="20"/>
      <c r="BF38" s="254"/>
      <c r="BG38" s="257"/>
      <c r="BH38" s="254"/>
      <c r="BI38" s="255"/>
      <c r="BJ38" s="256"/>
    </row>
    <row r="39" spans="1:62" x14ac:dyDescent="0.25">
      <c r="A39" s="250"/>
      <c r="B39" s="7"/>
      <c r="C39" s="20"/>
      <c r="D39" s="528"/>
      <c r="E39" s="529"/>
      <c r="F39" s="528">
        <f t="shared" si="0"/>
        <v>0</v>
      </c>
      <c r="G39" s="530"/>
      <c r="H39" s="230"/>
      <c r="J39" s="250"/>
      <c r="K39" s="7"/>
      <c r="L39" s="20"/>
      <c r="M39" s="550"/>
      <c r="N39" s="551"/>
      <c r="O39" s="550">
        <f t="shared" si="1"/>
        <v>0</v>
      </c>
      <c r="P39" s="552"/>
      <c r="Q39" s="553"/>
      <c r="S39" s="250"/>
      <c r="T39" s="7"/>
      <c r="U39" s="20"/>
      <c r="V39" s="528"/>
      <c r="W39" s="529"/>
      <c r="X39" s="528">
        <f t="shared" ref="X39:X72" si="3">V39</f>
        <v>0</v>
      </c>
      <c r="Y39" s="530"/>
      <c r="Z39" s="230"/>
      <c r="AB39" s="250"/>
      <c r="AC39" s="7"/>
      <c r="AD39" s="20">
        <v>4</v>
      </c>
      <c r="AE39" s="100">
        <v>199.2</v>
      </c>
      <c r="AF39" s="185"/>
      <c r="AG39" s="100">
        <f t="shared" ref="AG39:AG75" si="4">AE39</f>
        <v>199.2</v>
      </c>
      <c r="AH39" s="111"/>
      <c r="AI39" s="101"/>
      <c r="AK39" s="250"/>
      <c r="AL39" s="7"/>
      <c r="AM39" s="20"/>
      <c r="AN39" s="550"/>
      <c r="AO39" s="551"/>
      <c r="AP39" s="550">
        <f t="shared" ref="AP39:AP75" si="5">AN39</f>
        <v>0</v>
      </c>
      <c r="AQ39" s="552"/>
      <c r="AR39" s="553"/>
      <c r="AT39" s="250"/>
      <c r="AU39" s="7"/>
      <c r="AV39" s="20"/>
      <c r="AW39" s="550"/>
      <c r="AX39" s="551"/>
      <c r="AY39" s="550">
        <f t="shared" ref="AY39:AY75" si="6">AW39</f>
        <v>0</v>
      </c>
      <c r="AZ39" s="552"/>
      <c r="BA39" s="553"/>
      <c r="BC39" s="250"/>
      <c r="BD39" s="7"/>
      <c r="BE39" s="20"/>
      <c r="BF39" s="254"/>
      <c r="BG39" s="257"/>
      <c r="BH39" s="254">
        <f t="shared" ref="BH39:BH75" si="7">BF39</f>
        <v>0</v>
      </c>
      <c r="BI39" s="255"/>
      <c r="BJ39" s="256"/>
    </row>
    <row r="40" spans="1:62" x14ac:dyDescent="0.25">
      <c r="A40" s="250"/>
      <c r="B40" s="7"/>
      <c r="C40" s="20"/>
      <c r="D40" s="528"/>
      <c r="E40" s="529"/>
      <c r="F40" s="528">
        <f t="shared" si="0"/>
        <v>0</v>
      </c>
      <c r="G40" s="530"/>
      <c r="H40" s="230"/>
      <c r="J40" s="250"/>
      <c r="K40" s="7"/>
      <c r="L40" s="20"/>
      <c r="M40" s="550"/>
      <c r="N40" s="551"/>
      <c r="O40" s="550">
        <f t="shared" si="1"/>
        <v>0</v>
      </c>
      <c r="P40" s="552"/>
      <c r="Q40" s="553"/>
      <c r="S40" s="250"/>
      <c r="T40" s="7"/>
      <c r="U40" s="20"/>
      <c r="V40" s="528"/>
      <c r="W40" s="529"/>
      <c r="X40" s="528">
        <f t="shared" si="3"/>
        <v>0</v>
      </c>
      <c r="Y40" s="530"/>
      <c r="Z40" s="230"/>
      <c r="AB40" s="250"/>
      <c r="AC40" s="7"/>
      <c r="AD40" s="20"/>
      <c r="AE40" s="100"/>
      <c r="AF40" s="185"/>
      <c r="AG40" s="100">
        <f t="shared" si="4"/>
        <v>0</v>
      </c>
      <c r="AH40" s="111"/>
      <c r="AI40" s="101"/>
      <c r="AK40" s="250"/>
      <c r="AL40" s="7"/>
      <c r="AM40" s="20"/>
      <c r="AN40" s="550"/>
      <c r="AO40" s="551"/>
      <c r="AP40" s="550">
        <f t="shared" si="5"/>
        <v>0</v>
      </c>
      <c r="AQ40" s="552"/>
      <c r="AR40" s="553"/>
      <c r="AT40" s="250"/>
      <c r="AU40" s="7"/>
      <c r="AV40" s="20"/>
      <c r="AW40" s="550"/>
      <c r="AX40" s="551"/>
      <c r="AY40" s="550">
        <f t="shared" si="6"/>
        <v>0</v>
      </c>
      <c r="AZ40" s="552"/>
      <c r="BA40" s="553"/>
      <c r="BC40" s="250"/>
      <c r="BD40" s="7"/>
      <c r="BE40" s="20"/>
      <c r="BF40" s="254"/>
      <c r="BG40" s="257"/>
      <c r="BH40" s="254">
        <f t="shared" si="7"/>
        <v>0</v>
      </c>
      <c r="BI40" s="255"/>
      <c r="BJ40" s="256"/>
    </row>
    <row r="41" spans="1:62" x14ac:dyDescent="0.25">
      <c r="A41" s="250"/>
      <c r="B41" s="7"/>
      <c r="C41" s="20"/>
      <c r="D41" s="528"/>
      <c r="E41" s="529"/>
      <c r="F41" s="528">
        <f t="shared" si="0"/>
        <v>0</v>
      </c>
      <c r="G41" s="530"/>
      <c r="H41" s="230"/>
      <c r="J41" s="250"/>
      <c r="K41" s="7"/>
      <c r="L41" s="20"/>
      <c r="M41" s="550"/>
      <c r="N41" s="551"/>
      <c r="O41" s="550">
        <f t="shared" si="1"/>
        <v>0</v>
      </c>
      <c r="P41" s="552"/>
      <c r="Q41" s="553"/>
      <c r="S41" s="250"/>
      <c r="T41" s="7"/>
      <c r="U41" s="20"/>
      <c r="V41" s="528"/>
      <c r="W41" s="529"/>
      <c r="X41" s="528">
        <f t="shared" si="3"/>
        <v>0</v>
      </c>
      <c r="Y41" s="530"/>
      <c r="Z41" s="230"/>
      <c r="AB41" s="250"/>
      <c r="AC41" s="7"/>
      <c r="AD41" s="20"/>
      <c r="AE41" s="100"/>
      <c r="AF41" s="185"/>
      <c r="AG41" s="100">
        <f t="shared" si="4"/>
        <v>0</v>
      </c>
      <c r="AH41" s="111"/>
      <c r="AI41" s="101"/>
      <c r="AK41" s="250"/>
      <c r="AL41" s="7"/>
      <c r="AM41" s="20"/>
      <c r="AN41" s="550"/>
      <c r="AO41" s="551"/>
      <c r="AP41" s="550">
        <f t="shared" si="5"/>
        <v>0</v>
      </c>
      <c r="AQ41" s="552"/>
      <c r="AR41" s="553"/>
      <c r="AT41" s="250"/>
      <c r="AU41" s="7"/>
      <c r="AV41" s="20"/>
      <c r="AW41" s="550"/>
      <c r="AX41" s="551"/>
      <c r="AY41" s="550">
        <f t="shared" si="6"/>
        <v>0</v>
      </c>
      <c r="AZ41" s="552"/>
      <c r="BA41" s="553"/>
      <c r="BC41" s="250"/>
      <c r="BD41" s="7"/>
      <c r="BE41" s="20"/>
      <c r="BF41" s="254"/>
      <c r="BG41" s="257"/>
      <c r="BH41" s="254">
        <f t="shared" si="7"/>
        <v>0</v>
      </c>
      <c r="BI41" s="255"/>
      <c r="BJ41" s="256"/>
    </row>
    <row r="42" spans="1:62" x14ac:dyDescent="0.25">
      <c r="A42" s="250"/>
      <c r="B42" s="7"/>
      <c r="C42" s="20"/>
      <c r="D42" s="528"/>
      <c r="E42" s="529"/>
      <c r="F42" s="528">
        <f t="shared" si="0"/>
        <v>0</v>
      </c>
      <c r="G42" s="530"/>
      <c r="H42" s="230"/>
      <c r="J42" s="250"/>
      <c r="K42" s="7"/>
      <c r="L42" s="20"/>
      <c r="M42" s="550"/>
      <c r="N42" s="551"/>
      <c r="O42" s="550">
        <f t="shared" si="1"/>
        <v>0</v>
      </c>
      <c r="P42" s="552"/>
      <c r="Q42" s="553"/>
      <c r="S42" s="250"/>
      <c r="T42" s="7"/>
      <c r="U42" s="20"/>
      <c r="V42" s="528"/>
      <c r="W42" s="529"/>
      <c r="X42" s="528">
        <f t="shared" si="3"/>
        <v>0</v>
      </c>
      <c r="Y42" s="530"/>
      <c r="Z42" s="230"/>
      <c r="AB42" s="250"/>
      <c r="AC42" s="7"/>
      <c r="AD42" s="20"/>
      <c r="AE42" s="100"/>
      <c r="AF42" s="185"/>
      <c r="AG42" s="100">
        <f t="shared" si="4"/>
        <v>0</v>
      </c>
      <c r="AH42" s="111"/>
      <c r="AI42" s="101"/>
      <c r="AK42" s="250"/>
      <c r="AL42" s="7"/>
      <c r="AM42" s="20"/>
      <c r="AN42" s="550"/>
      <c r="AO42" s="551"/>
      <c r="AP42" s="550">
        <f t="shared" si="5"/>
        <v>0</v>
      </c>
      <c r="AQ42" s="552"/>
      <c r="AR42" s="553"/>
      <c r="AT42" s="250"/>
      <c r="AU42" s="7"/>
      <c r="AV42" s="20"/>
      <c r="AW42" s="550"/>
      <c r="AX42" s="551"/>
      <c r="AY42" s="550">
        <f t="shared" si="6"/>
        <v>0</v>
      </c>
      <c r="AZ42" s="552"/>
      <c r="BA42" s="553"/>
      <c r="BC42" s="250"/>
      <c r="BD42" s="7"/>
      <c r="BE42" s="20"/>
      <c r="BF42" s="254"/>
      <c r="BG42" s="257"/>
      <c r="BH42" s="254">
        <f t="shared" si="7"/>
        <v>0</v>
      </c>
      <c r="BI42" s="255"/>
      <c r="BJ42" s="256"/>
    </row>
    <row r="43" spans="1:62" x14ac:dyDescent="0.25">
      <c r="A43" s="250"/>
      <c r="B43" s="7"/>
      <c r="C43" s="20"/>
      <c r="D43" s="528"/>
      <c r="E43" s="529"/>
      <c r="F43" s="528">
        <f t="shared" si="0"/>
        <v>0</v>
      </c>
      <c r="G43" s="530"/>
      <c r="H43" s="230"/>
      <c r="J43" s="250"/>
      <c r="K43" s="7"/>
      <c r="L43" s="20"/>
      <c r="M43" s="550"/>
      <c r="N43" s="551"/>
      <c r="O43" s="550">
        <f t="shared" si="1"/>
        <v>0</v>
      </c>
      <c r="P43" s="552"/>
      <c r="Q43" s="553"/>
      <c r="S43" s="250"/>
      <c r="T43" s="7"/>
      <c r="U43" s="20"/>
      <c r="V43" s="528"/>
      <c r="W43" s="529"/>
      <c r="X43" s="528">
        <f t="shared" si="3"/>
        <v>0</v>
      </c>
      <c r="Y43" s="530"/>
      <c r="Z43" s="230"/>
      <c r="AB43" s="250"/>
      <c r="AC43" s="7"/>
      <c r="AD43" s="20"/>
      <c r="AE43" s="100"/>
      <c r="AF43" s="185"/>
      <c r="AG43" s="100">
        <f t="shared" si="4"/>
        <v>0</v>
      </c>
      <c r="AH43" s="111"/>
      <c r="AI43" s="101"/>
      <c r="AK43" s="250"/>
      <c r="AL43" s="7"/>
      <c r="AM43" s="20"/>
      <c r="AN43" s="550"/>
      <c r="AO43" s="551"/>
      <c r="AP43" s="550">
        <f t="shared" si="5"/>
        <v>0</v>
      </c>
      <c r="AQ43" s="552"/>
      <c r="AR43" s="553"/>
      <c r="AT43" s="250"/>
      <c r="AU43" s="7"/>
      <c r="AV43" s="20"/>
      <c r="AW43" s="550"/>
      <c r="AX43" s="551"/>
      <c r="AY43" s="550">
        <f t="shared" si="6"/>
        <v>0</v>
      </c>
      <c r="AZ43" s="552"/>
      <c r="BA43" s="553"/>
      <c r="BC43" s="250"/>
      <c r="BD43" s="7"/>
      <c r="BE43" s="20"/>
      <c r="BF43" s="254"/>
      <c r="BG43" s="257"/>
      <c r="BH43" s="254">
        <f t="shared" si="7"/>
        <v>0</v>
      </c>
      <c r="BI43" s="255"/>
      <c r="BJ43" s="256"/>
    </row>
    <row r="44" spans="1:62" x14ac:dyDescent="0.25">
      <c r="A44" s="250"/>
      <c r="B44" s="7"/>
      <c r="C44" s="20"/>
      <c r="D44" s="528"/>
      <c r="E44" s="529"/>
      <c r="F44" s="528">
        <f t="shared" si="0"/>
        <v>0</v>
      </c>
      <c r="G44" s="530"/>
      <c r="H44" s="230"/>
      <c r="J44" s="250"/>
      <c r="K44" s="7"/>
      <c r="L44" s="20"/>
      <c r="M44" s="550"/>
      <c r="N44" s="551"/>
      <c r="O44" s="550">
        <f t="shared" si="1"/>
        <v>0</v>
      </c>
      <c r="P44" s="552"/>
      <c r="Q44" s="553"/>
      <c r="S44" s="250"/>
      <c r="T44" s="7"/>
      <c r="U44" s="20"/>
      <c r="V44" s="528"/>
      <c r="W44" s="529"/>
      <c r="X44" s="528">
        <f t="shared" si="3"/>
        <v>0</v>
      </c>
      <c r="Y44" s="530"/>
      <c r="Z44" s="230"/>
      <c r="AB44" s="250"/>
      <c r="AC44" s="7"/>
      <c r="AD44" s="20"/>
      <c r="AE44" s="100"/>
      <c r="AF44" s="185"/>
      <c r="AG44" s="100">
        <f t="shared" si="4"/>
        <v>0</v>
      </c>
      <c r="AH44" s="111"/>
      <c r="AI44" s="101"/>
      <c r="AK44" s="250"/>
      <c r="AL44" s="7"/>
      <c r="AM44" s="20"/>
      <c r="AN44" s="550"/>
      <c r="AO44" s="551"/>
      <c r="AP44" s="550">
        <f t="shared" si="5"/>
        <v>0</v>
      </c>
      <c r="AQ44" s="552"/>
      <c r="AR44" s="553"/>
      <c r="AT44" s="250"/>
      <c r="AU44" s="7"/>
      <c r="AV44" s="20"/>
      <c r="AW44" s="550"/>
      <c r="AX44" s="551"/>
      <c r="AY44" s="550">
        <f t="shared" si="6"/>
        <v>0</v>
      </c>
      <c r="AZ44" s="552"/>
      <c r="BA44" s="553"/>
      <c r="BC44" s="250"/>
      <c r="BD44" s="7"/>
      <c r="BE44" s="20"/>
      <c r="BF44" s="254"/>
      <c r="BG44" s="257"/>
      <c r="BH44" s="254">
        <f t="shared" si="7"/>
        <v>0</v>
      </c>
      <c r="BI44" s="255"/>
      <c r="BJ44" s="256"/>
    </row>
    <row r="45" spans="1:62" x14ac:dyDescent="0.25">
      <c r="A45" s="250"/>
      <c r="B45" s="7"/>
      <c r="C45" s="20"/>
      <c r="D45" s="528"/>
      <c r="E45" s="529"/>
      <c r="F45" s="528">
        <f t="shared" si="0"/>
        <v>0</v>
      </c>
      <c r="G45" s="530"/>
      <c r="H45" s="230"/>
      <c r="J45" s="250"/>
      <c r="K45" s="7"/>
      <c r="L45" s="20"/>
      <c r="M45" s="550"/>
      <c r="N45" s="551"/>
      <c r="O45" s="550">
        <f t="shared" si="1"/>
        <v>0</v>
      </c>
      <c r="P45" s="552"/>
      <c r="Q45" s="553"/>
      <c r="S45" s="250"/>
      <c r="T45" s="7"/>
      <c r="U45" s="20"/>
      <c r="V45" s="528"/>
      <c r="W45" s="529"/>
      <c r="X45" s="528">
        <f t="shared" si="3"/>
        <v>0</v>
      </c>
      <c r="Y45" s="530"/>
      <c r="Z45" s="230"/>
      <c r="AB45" s="250"/>
      <c r="AC45" s="7"/>
      <c r="AD45" s="20"/>
      <c r="AE45" s="100"/>
      <c r="AF45" s="185"/>
      <c r="AG45" s="100">
        <f t="shared" si="4"/>
        <v>0</v>
      </c>
      <c r="AH45" s="111"/>
      <c r="AI45" s="101"/>
      <c r="AK45" s="250"/>
      <c r="AL45" s="7"/>
      <c r="AM45" s="20"/>
      <c r="AN45" s="550"/>
      <c r="AO45" s="551"/>
      <c r="AP45" s="550">
        <f t="shared" si="5"/>
        <v>0</v>
      </c>
      <c r="AQ45" s="552"/>
      <c r="AR45" s="553"/>
      <c r="AT45" s="250"/>
      <c r="AU45" s="7"/>
      <c r="AV45" s="20"/>
      <c r="AW45" s="550"/>
      <c r="AX45" s="551"/>
      <c r="AY45" s="550">
        <f t="shared" si="6"/>
        <v>0</v>
      </c>
      <c r="AZ45" s="552"/>
      <c r="BA45" s="553"/>
      <c r="BC45" s="250"/>
      <c r="BD45" s="7"/>
      <c r="BE45" s="20"/>
      <c r="BF45" s="254"/>
      <c r="BG45" s="257"/>
      <c r="BH45" s="254">
        <f t="shared" si="7"/>
        <v>0</v>
      </c>
      <c r="BI45" s="255"/>
      <c r="BJ45" s="256"/>
    </row>
    <row r="46" spans="1:62" x14ac:dyDescent="0.25">
      <c r="A46" s="250"/>
      <c r="B46" s="7"/>
      <c r="C46" s="20"/>
      <c r="D46" s="528"/>
      <c r="E46" s="529"/>
      <c r="F46" s="528">
        <f t="shared" si="0"/>
        <v>0</v>
      </c>
      <c r="G46" s="530"/>
      <c r="H46" s="230"/>
      <c r="J46" s="250"/>
      <c r="K46" s="7"/>
      <c r="L46" s="20"/>
      <c r="M46" s="550"/>
      <c r="N46" s="551"/>
      <c r="O46" s="550">
        <f t="shared" si="1"/>
        <v>0</v>
      </c>
      <c r="P46" s="552"/>
      <c r="Q46" s="553"/>
      <c r="S46" s="250"/>
      <c r="T46" s="7"/>
      <c r="U46" s="20"/>
      <c r="V46" s="528"/>
      <c r="W46" s="529"/>
      <c r="X46" s="528">
        <f t="shared" si="3"/>
        <v>0</v>
      </c>
      <c r="Y46" s="530"/>
      <c r="Z46" s="230"/>
      <c r="AB46" s="250"/>
      <c r="AC46" s="7"/>
      <c r="AD46" s="20"/>
      <c r="AE46" s="100"/>
      <c r="AF46" s="185"/>
      <c r="AG46" s="100">
        <f t="shared" si="4"/>
        <v>0</v>
      </c>
      <c r="AH46" s="111"/>
      <c r="AI46" s="101"/>
      <c r="AK46" s="250"/>
      <c r="AL46" s="7"/>
      <c r="AM46" s="20"/>
      <c r="AN46" s="550"/>
      <c r="AO46" s="551"/>
      <c r="AP46" s="550">
        <f t="shared" si="5"/>
        <v>0</v>
      </c>
      <c r="AQ46" s="552"/>
      <c r="AR46" s="553"/>
      <c r="AT46" s="250"/>
      <c r="AU46" s="7"/>
      <c r="AV46" s="20"/>
      <c r="AW46" s="550"/>
      <c r="AX46" s="551"/>
      <c r="AY46" s="550">
        <f t="shared" si="6"/>
        <v>0</v>
      </c>
      <c r="AZ46" s="552"/>
      <c r="BA46" s="553"/>
      <c r="BC46" s="250"/>
      <c r="BD46" s="7"/>
      <c r="BE46" s="20"/>
      <c r="BF46" s="254"/>
      <c r="BG46" s="257"/>
      <c r="BH46" s="254">
        <f t="shared" si="7"/>
        <v>0</v>
      </c>
      <c r="BI46" s="255"/>
      <c r="BJ46" s="256"/>
    </row>
    <row r="47" spans="1:62" x14ac:dyDescent="0.25">
      <c r="A47" s="250"/>
      <c r="B47" s="7"/>
      <c r="C47" s="20"/>
      <c r="D47" s="528"/>
      <c r="E47" s="529"/>
      <c r="F47" s="528">
        <f t="shared" si="0"/>
        <v>0</v>
      </c>
      <c r="G47" s="530"/>
      <c r="H47" s="230"/>
      <c r="J47" s="250"/>
      <c r="K47" s="7"/>
      <c r="L47" s="20"/>
      <c r="M47" s="550"/>
      <c r="N47" s="551"/>
      <c r="O47" s="550">
        <f t="shared" si="1"/>
        <v>0</v>
      </c>
      <c r="P47" s="552"/>
      <c r="Q47" s="553"/>
      <c r="S47" s="250"/>
      <c r="T47" s="7"/>
      <c r="U47" s="20"/>
      <c r="V47" s="528"/>
      <c r="W47" s="529"/>
      <c r="X47" s="528">
        <f t="shared" si="3"/>
        <v>0</v>
      </c>
      <c r="Y47" s="530"/>
      <c r="Z47" s="230"/>
      <c r="AB47" s="250"/>
      <c r="AC47" s="7"/>
      <c r="AD47" s="20"/>
      <c r="AE47" s="100"/>
      <c r="AF47" s="185"/>
      <c r="AG47" s="100">
        <f t="shared" si="4"/>
        <v>0</v>
      </c>
      <c r="AH47" s="111"/>
      <c r="AI47" s="101"/>
      <c r="AK47" s="250"/>
      <c r="AL47" s="7"/>
      <c r="AM47" s="20"/>
      <c r="AN47" s="550"/>
      <c r="AO47" s="551"/>
      <c r="AP47" s="550">
        <f t="shared" si="5"/>
        <v>0</v>
      </c>
      <c r="AQ47" s="552"/>
      <c r="AR47" s="553"/>
      <c r="AT47" s="250"/>
      <c r="AU47" s="7"/>
      <c r="AV47" s="20"/>
      <c r="AW47" s="550"/>
      <c r="AX47" s="551"/>
      <c r="AY47" s="550">
        <f t="shared" si="6"/>
        <v>0</v>
      </c>
      <c r="AZ47" s="552"/>
      <c r="BA47" s="553"/>
      <c r="BC47" s="250"/>
      <c r="BD47" s="7"/>
      <c r="BE47" s="20"/>
      <c r="BF47" s="254"/>
      <c r="BG47" s="257"/>
      <c r="BH47" s="254">
        <f t="shared" si="7"/>
        <v>0</v>
      </c>
      <c r="BI47" s="255"/>
      <c r="BJ47" s="256"/>
    </row>
    <row r="48" spans="1:62" x14ac:dyDescent="0.25">
      <c r="A48" s="250"/>
      <c r="B48" s="7"/>
      <c r="C48" s="20"/>
      <c r="D48" s="528"/>
      <c r="E48" s="529"/>
      <c r="F48" s="528">
        <f t="shared" si="0"/>
        <v>0</v>
      </c>
      <c r="G48" s="530"/>
      <c r="H48" s="230"/>
      <c r="J48" s="250"/>
      <c r="K48" s="7"/>
      <c r="L48" s="20"/>
      <c r="M48" s="550"/>
      <c r="N48" s="551"/>
      <c r="O48" s="550">
        <f t="shared" si="1"/>
        <v>0</v>
      </c>
      <c r="P48" s="552"/>
      <c r="Q48" s="553"/>
      <c r="S48" s="250"/>
      <c r="T48" s="7"/>
      <c r="U48" s="20"/>
      <c r="V48" s="528"/>
      <c r="W48" s="529"/>
      <c r="X48" s="528">
        <f t="shared" si="3"/>
        <v>0</v>
      </c>
      <c r="Y48" s="530"/>
      <c r="Z48" s="230"/>
      <c r="AB48" s="250"/>
      <c r="AC48" s="7"/>
      <c r="AD48" s="20"/>
      <c r="AE48" s="100"/>
      <c r="AF48" s="185"/>
      <c r="AG48" s="100">
        <f t="shared" si="4"/>
        <v>0</v>
      </c>
      <c r="AH48" s="111"/>
      <c r="AI48" s="101"/>
      <c r="AK48" s="250"/>
      <c r="AL48" s="7"/>
      <c r="AM48" s="20"/>
      <c r="AN48" s="550"/>
      <c r="AO48" s="551"/>
      <c r="AP48" s="550">
        <f t="shared" si="5"/>
        <v>0</v>
      </c>
      <c r="AQ48" s="552"/>
      <c r="AR48" s="553"/>
      <c r="AT48" s="250"/>
      <c r="AU48" s="7"/>
      <c r="AV48" s="20"/>
      <c r="AW48" s="550"/>
      <c r="AX48" s="551"/>
      <c r="AY48" s="550">
        <f t="shared" si="6"/>
        <v>0</v>
      </c>
      <c r="AZ48" s="552"/>
      <c r="BA48" s="553"/>
      <c r="BC48" s="250"/>
      <c r="BD48" s="7"/>
      <c r="BE48" s="20"/>
      <c r="BF48" s="254"/>
      <c r="BG48" s="257"/>
      <c r="BH48" s="254">
        <f t="shared" si="7"/>
        <v>0</v>
      </c>
      <c r="BI48" s="255"/>
      <c r="BJ48" s="256"/>
    </row>
    <row r="49" spans="1:62" x14ac:dyDescent="0.25">
      <c r="A49" s="250"/>
      <c r="B49" s="7"/>
      <c r="C49" s="20"/>
      <c r="D49" s="528"/>
      <c r="E49" s="529"/>
      <c r="F49" s="528">
        <f t="shared" si="0"/>
        <v>0</v>
      </c>
      <c r="G49" s="530"/>
      <c r="H49" s="230"/>
      <c r="J49" s="250"/>
      <c r="K49" s="7"/>
      <c r="L49" s="20"/>
      <c r="M49" s="550"/>
      <c r="N49" s="551"/>
      <c r="O49" s="550">
        <f t="shared" si="1"/>
        <v>0</v>
      </c>
      <c r="P49" s="552"/>
      <c r="Q49" s="553"/>
      <c r="S49" s="250"/>
      <c r="T49" s="7"/>
      <c r="U49" s="20"/>
      <c r="V49" s="528"/>
      <c r="W49" s="529"/>
      <c r="X49" s="528">
        <f t="shared" si="3"/>
        <v>0</v>
      </c>
      <c r="Y49" s="530"/>
      <c r="Z49" s="230"/>
      <c r="AB49" s="250"/>
      <c r="AC49" s="7"/>
      <c r="AD49" s="20"/>
      <c r="AE49" s="100"/>
      <c r="AF49" s="185"/>
      <c r="AG49" s="100">
        <f t="shared" si="4"/>
        <v>0</v>
      </c>
      <c r="AH49" s="111"/>
      <c r="AI49" s="101"/>
      <c r="AK49" s="250"/>
      <c r="AL49" s="7"/>
      <c r="AM49" s="20"/>
      <c r="AN49" s="550"/>
      <c r="AO49" s="551"/>
      <c r="AP49" s="550">
        <f t="shared" si="5"/>
        <v>0</v>
      </c>
      <c r="AQ49" s="552"/>
      <c r="AR49" s="553"/>
      <c r="AT49" s="250"/>
      <c r="AU49" s="7"/>
      <c r="AV49" s="20"/>
      <c r="AW49" s="550"/>
      <c r="AX49" s="551"/>
      <c r="AY49" s="550">
        <f t="shared" si="6"/>
        <v>0</v>
      </c>
      <c r="AZ49" s="552"/>
      <c r="BA49" s="553"/>
      <c r="BC49" s="250"/>
      <c r="BD49" s="7"/>
      <c r="BE49" s="20"/>
      <c r="BF49" s="254"/>
      <c r="BG49" s="257"/>
      <c r="BH49" s="254">
        <f t="shared" si="7"/>
        <v>0</v>
      </c>
      <c r="BI49" s="255"/>
      <c r="BJ49" s="256"/>
    </row>
    <row r="50" spans="1:62" x14ac:dyDescent="0.25">
      <c r="A50" s="250"/>
      <c r="B50" s="7"/>
      <c r="C50" s="20"/>
      <c r="D50" s="528"/>
      <c r="E50" s="529"/>
      <c r="F50" s="528">
        <f t="shared" si="0"/>
        <v>0</v>
      </c>
      <c r="G50" s="530"/>
      <c r="H50" s="230"/>
      <c r="J50" s="250"/>
      <c r="K50" s="7"/>
      <c r="L50" s="20"/>
      <c r="M50" s="550"/>
      <c r="N50" s="551"/>
      <c r="O50" s="550">
        <f t="shared" si="1"/>
        <v>0</v>
      </c>
      <c r="P50" s="552"/>
      <c r="Q50" s="553"/>
      <c r="S50" s="250"/>
      <c r="T50" s="7"/>
      <c r="U50" s="20"/>
      <c r="V50" s="528"/>
      <c r="W50" s="529"/>
      <c r="X50" s="528">
        <f t="shared" si="3"/>
        <v>0</v>
      </c>
      <c r="Y50" s="530"/>
      <c r="Z50" s="230"/>
      <c r="AB50" s="250"/>
      <c r="AC50" s="7"/>
      <c r="AD50" s="20"/>
      <c r="AE50" s="100"/>
      <c r="AF50" s="185"/>
      <c r="AG50" s="100">
        <f t="shared" si="4"/>
        <v>0</v>
      </c>
      <c r="AH50" s="111"/>
      <c r="AI50" s="101"/>
      <c r="AK50" s="250"/>
      <c r="AL50" s="7"/>
      <c r="AM50" s="20"/>
      <c r="AN50" s="550"/>
      <c r="AO50" s="551"/>
      <c r="AP50" s="550">
        <f t="shared" si="5"/>
        <v>0</v>
      </c>
      <c r="AQ50" s="552"/>
      <c r="AR50" s="553"/>
      <c r="AT50" s="250"/>
      <c r="AU50" s="7"/>
      <c r="AV50" s="20"/>
      <c r="AW50" s="550"/>
      <c r="AX50" s="551"/>
      <c r="AY50" s="550">
        <f t="shared" si="6"/>
        <v>0</v>
      </c>
      <c r="AZ50" s="552"/>
      <c r="BA50" s="553"/>
      <c r="BC50" s="250"/>
      <c r="BD50" s="7"/>
      <c r="BE50" s="20"/>
      <c r="BF50" s="254"/>
      <c r="BG50" s="257"/>
      <c r="BH50" s="254">
        <f t="shared" si="7"/>
        <v>0</v>
      </c>
      <c r="BI50" s="255"/>
      <c r="BJ50" s="256"/>
    </row>
    <row r="51" spans="1:62" x14ac:dyDescent="0.25">
      <c r="A51" s="250"/>
      <c r="B51" s="7"/>
      <c r="C51" s="20"/>
      <c r="D51" s="528"/>
      <c r="E51" s="529"/>
      <c r="F51" s="528">
        <f t="shared" si="0"/>
        <v>0</v>
      </c>
      <c r="G51" s="530"/>
      <c r="H51" s="230"/>
      <c r="J51" s="250"/>
      <c r="K51" s="7"/>
      <c r="L51" s="20"/>
      <c r="M51" s="528"/>
      <c r="N51" s="529"/>
      <c r="O51" s="528">
        <f t="shared" si="1"/>
        <v>0</v>
      </c>
      <c r="P51" s="530"/>
      <c r="Q51" s="230"/>
      <c r="S51" s="250"/>
      <c r="T51" s="7"/>
      <c r="U51" s="20"/>
      <c r="V51" s="528"/>
      <c r="W51" s="529"/>
      <c r="X51" s="528">
        <f t="shared" si="3"/>
        <v>0</v>
      </c>
      <c r="Y51" s="530"/>
      <c r="Z51" s="230"/>
      <c r="AB51" s="250"/>
      <c r="AC51" s="7"/>
      <c r="AD51" s="20"/>
      <c r="AE51" s="100"/>
      <c r="AF51" s="185"/>
      <c r="AG51" s="100">
        <f t="shared" si="4"/>
        <v>0</v>
      </c>
      <c r="AH51" s="111"/>
      <c r="AI51" s="101"/>
      <c r="AK51" s="250"/>
      <c r="AL51" s="7"/>
      <c r="AM51" s="20"/>
      <c r="AN51" s="550"/>
      <c r="AO51" s="551"/>
      <c r="AP51" s="550">
        <f t="shared" si="5"/>
        <v>0</v>
      </c>
      <c r="AQ51" s="552"/>
      <c r="AR51" s="553"/>
      <c r="AT51" s="250"/>
      <c r="AU51" s="7"/>
      <c r="AV51" s="20"/>
      <c r="AW51" s="550"/>
      <c r="AX51" s="551"/>
      <c r="AY51" s="550">
        <f t="shared" si="6"/>
        <v>0</v>
      </c>
      <c r="AZ51" s="552"/>
      <c r="BA51" s="553"/>
      <c r="BC51" s="250"/>
      <c r="BD51" s="7"/>
      <c r="BE51" s="20"/>
      <c r="BF51" s="254"/>
      <c r="BG51" s="257"/>
      <c r="BH51" s="254">
        <f t="shared" si="7"/>
        <v>0</v>
      </c>
      <c r="BI51" s="255"/>
      <c r="BJ51" s="256"/>
    </row>
    <row r="52" spans="1:62" x14ac:dyDescent="0.25">
      <c r="A52" s="250"/>
      <c r="B52" s="7"/>
      <c r="C52" s="20"/>
      <c r="D52" s="528"/>
      <c r="E52" s="529"/>
      <c r="F52" s="528">
        <f t="shared" si="0"/>
        <v>0</v>
      </c>
      <c r="G52" s="530"/>
      <c r="H52" s="230"/>
      <c r="J52" s="250"/>
      <c r="K52" s="7"/>
      <c r="L52" s="20"/>
      <c r="M52" s="528"/>
      <c r="N52" s="529"/>
      <c r="O52" s="528">
        <f t="shared" si="1"/>
        <v>0</v>
      </c>
      <c r="P52" s="530"/>
      <c r="Q52" s="230"/>
      <c r="S52" s="250"/>
      <c r="T52" s="7"/>
      <c r="U52" s="20"/>
      <c r="V52" s="528"/>
      <c r="W52" s="529"/>
      <c r="X52" s="528">
        <f t="shared" si="3"/>
        <v>0</v>
      </c>
      <c r="Y52" s="530"/>
      <c r="Z52" s="230"/>
      <c r="AB52" s="250"/>
      <c r="AC52" s="7"/>
      <c r="AD52" s="20"/>
      <c r="AE52" s="100"/>
      <c r="AF52" s="185"/>
      <c r="AG52" s="100">
        <f t="shared" si="4"/>
        <v>0</v>
      </c>
      <c r="AH52" s="111"/>
      <c r="AI52" s="101"/>
      <c r="AK52" s="250"/>
      <c r="AL52" s="7"/>
      <c r="AM52" s="20"/>
      <c r="AN52" s="550"/>
      <c r="AO52" s="551"/>
      <c r="AP52" s="550">
        <f t="shared" si="5"/>
        <v>0</v>
      </c>
      <c r="AQ52" s="552"/>
      <c r="AR52" s="553"/>
      <c r="AT52" s="250"/>
      <c r="AU52" s="7"/>
      <c r="AV52" s="20"/>
      <c r="AW52" s="550"/>
      <c r="AX52" s="551"/>
      <c r="AY52" s="550">
        <f t="shared" si="6"/>
        <v>0</v>
      </c>
      <c r="AZ52" s="552"/>
      <c r="BA52" s="553"/>
      <c r="BC52" s="250"/>
      <c r="BD52" s="7"/>
      <c r="BE52" s="20"/>
      <c r="BF52" s="254"/>
      <c r="BG52" s="257"/>
      <c r="BH52" s="254">
        <f t="shared" si="7"/>
        <v>0</v>
      </c>
      <c r="BI52" s="255"/>
      <c r="BJ52" s="256"/>
    </row>
    <row r="53" spans="1:62" x14ac:dyDescent="0.25">
      <c r="A53" s="250"/>
      <c r="B53" s="7"/>
      <c r="C53" s="20"/>
      <c r="D53" s="528"/>
      <c r="E53" s="529"/>
      <c r="F53" s="528">
        <f t="shared" si="0"/>
        <v>0</v>
      </c>
      <c r="G53" s="530"/>
      <c r="H53" s="230"/>
      <c r="J53" s="250"/>
      <c r="K53" s="7"/>
      <c r="L53" s="20"/>
      <c r="M53" s="528"/>
      <c r="N53" s="529"/>
      <c r="O53" s="528">
        <f t="shared" si="1"/>
        <v>0</v>
      </c>
      <c r="P53" s="530"/>
      <c r="Q53" s="230"/>
      <c r="S53" s="250"/>
      <c r="T53" s="7"/>
      <c r="U53" s="20"/>
      <c r="V53" s="528"/>
      <c r="W53" s="529"/>
      <c r="X53" s="528">
        <f t="shared" si="3"/>
        <v>0</v>
      </c>
      <c r="Y53" s="530"/>
      <c r="Z53" s="230"/>
      <c r="AB53" s="250"/>
      <c r="AC53" s="7"/>
      <c r="AD53" s="20"/>
      <c r="AE53" s="100"/>
      <c r="AF53" s="185"/>
      <c r="AG53" s="100">
        <f t="shared" si="4"/>
        <v>0</v>
      </c>
      <c r="AH53" s="111"/>
      <c r="AI53" s="101"/>
      <c r="AK53" s="250"/>
      <c r="AL53" s="7"/>
      <c r="AM53" s="20"/>
      <c r="AN53" s="550"/>
      <c r="AO53" s="551"/>
      <c r="AP53" s="550">
        <f t="shared" si="5"/>
        <v>0</v>
      </c>
      <c r="AQ53" s="552"/>
      <c r="AR53" s="553"/>
      <c r="AT53" s="250"/>
      <c r="AU53" s="7"/>
      <c r="AV53" s="20"/>
      <c r="AW53" s="550"/>
      <c r="AX53" s="551"/>
      <c r="AY53" s="550">
        <f t="shared" si="6"/>
        <v>0</v>
      </c>
      <c r="AZ53" s="552"/>
      <c r="BA53" s="553"/>
      <c r="BC53" s="250"/>
      <c r="BD53" s="7"/>
      <c r="BE53" s="20"/>
      <c r="BF53" s="254"/>
      <c r="BG53" s="257"/>
      <c r="BH53" s="254">
        <f t="shared" si="7"/>
        <v>0</v>
      </c>
      <c r="BI53" s="255"/>
      <c r="BJ53" s="256"/>
    </row>
    <row r="54" spans="1:62" x14ac:dyDescent="0.25">
      <c r="A54" s="250"/>
      <c r="B54" s="7"/>
      <c r="C54" s="20"/>
      <c r="D54" s="528"/>
      <c r="E54" s="529"/>
      <c r="F54" s="528">
        <f t="shared" si="0"/>
        <v>0</v>
      </c>
      <c r="G54" s="530"/>
      <c r="H54" s="230"/>
      <c r="J54" s="250"/>
      <c r="K54" s="7"/>
      <c r="L54" s="20"/>
      <c r="M54" s="528"/>
      <c r="N54" s="529"/>
      <c r="O54" s="528">
        <f t="shared" si="1"/>
        <v>0</v>
      </c>
      <c r="P54" s="530"/>
      <c r="Q54" s="230"/>
      <c r="S54" s="250"/>
      <c r="T54" s="7"/>
      <c r="U54" s="20"/>
      <c r="V54" s="528"/>
      <c r="W54" s="529"/>
      <c r="X54" s="528">
        <f t="shared" si="3"/>
        <v>0</v>
      </c>
      <c r="Y54" s="530"/>
      <c r="Z54" s="230"/>
      <c r="AB54" s="250"/>
      <c r="AC54" s="7"/>
      <c r="AD54" s="20"/>
      <c r="AE54" s="100"/>
      <c r="AF54" s="185"/>
      <c r="AG54" s="100">
        <f t="shared" si="4"/>
        <v>0</v>
      </c>
      <c r="AH54" s="111"/>
      <c r="AI54" s="101"/>
      <c r="AK54" s="250"/>
      <c r="AL54" s="7"/>
      <c r="AM54" s="20"/>
      <c r="AN54" s="550"/>
      <c r="AO54" s="551"/>
      <c r="AP54" s="550">
        <f t="shared" si="5"/>
        <v>0</v>
      </c>
      <c r="AQ54" s="552"/>
      <c r="AR54" s="553"/>
      <c r="AT54" s="250"/>
      <c r="AU54" s="7"/>
      <c r="AV54" s="20"/>
      <c r="AW54" s="550"/>
      <c r="AX54" s="551"/>
      <c r="AY54" s="550">
        <f t="shared" si="6"/>
        <v>0</v>
      </c>
      <c r="AZ54" s="552"/>
      <c r="BA54" s="553"/>
      <c r="BC54" s="250"/>
      <c r="BD54" s="7"/>
      <c r="BE54" s="20"/>
      <c r="BF54" s="254"/>
      <c r="BG54" s="257"/>
      <c r="BH54" s="254">
        <f t="shared" si="7"/>
        <v>0</v>
      </c>
      <c r="BI54" s="255"/>
      <c r="BJ54" s="256"/>
    </row>
    <row r="55" spans="1:62" x14ac:dyDescent="0.25">
      <c r="A55" s="250"/>
      <c r="B55" s="7"/>
      <c r="C55" s="20"/>
      <c r="D55" s="528"/>
      <c r="E55" s="529"/>
      <c r="F55" s="528">
        <f t="shared" si="0"/>
        <v>0</v>
      </c>
      <c r="G55" s="530"/>
      <c r="H55" s="230"/>
      <c r="J55" s="250"/>
      <c r="K55" s="7"/>
      <c r="L55" s="20"/>
      <c r="M55" s="528"/>
      <c r="N55" s="529"/>
      <c r="O55" s="528">
        <f t="shared" si="1"/>
        <v>0</v>
      </c>
      <c r="P55" s="530"/>
      <c r="Q55" s="230"/>
      <c r="S55" s="250"/>
      <c r="T55" s="7"/>
      <c r="U55" s="20"/>
      <c r="V55" s="528"/>
      <c r="W55" s="529"/>
      <c r="X55" s="528">
        <f t="shared" si="3"/>
        <v>0</v>
      </c>
      <c r="Y55" s="530"/>
      <c r="Z55" s="230"/>
      <c r="AB55" s="250"/>
      <c r="AC55" s="7"/>
      <c r="AD55" s="20"/>
      <c r="AE55" s="100"/>
      <c r="AF55" s="185"/>
      <c r="AG55" s="100">
        <f t="shared" si="4"/>
        <v>0</v>
      </c>
      <c r="AH55" s="111"/>
      <c r="AI55" s="101"/>
      <c r="AK55" s="250"/>
      <c r="AL55" s="7"/>
      <c r="AM55" s="20"/>
      <c r="AN55" s="550"/>
      <c r="AO55" s="551"/>
      <c r="AP55" s="550">
        <f t="shared" si="5"/>
        <v>0</v>
      </c>
      <c r="AQ55" s="552"/>
      <c r="AR55" s="553"/>
      <c r="AT55" s="250"/>
      <c r="AU55" s="7"/>
      <c r="AV55" s="20"/>
      <c r="AW55" s="550"/>
      <c r="AX55" s="551"/>
      <c r="AY55" s="550">
        <f t="shared" si="6"/>
        <v>0</v>
      </c>
      <c r="AZ55" s="552"/>
      <c r="BA55" s="553"/>
      <c r="BC55" s="250"/>
      <c r="BD55" s="7"/>
      <c r="BE55" s="20"/>
      <c r="BF55" s="254"/>
      <c r="BG55" s="257"/>
      <c r="BH55" s="254">
        <f t="shared" si="7"/>
        <v>0</v>
      </c>
      <c r="BI55" s="255"/>
      <c r="BJ55" s="256"/>
    </row>
    <row r="56" spans="1:62" x14ac:dyDescent="0.25">
      <c r="A56" s="250"/>
      <c r="B56" s="7"/>
      <c r="C56" s="20"/>
      <c r="D56" s="528"/>
      <c r="E56" s="529"/>
      <c r="F56" s="528">
        <f t="shared" si="0"/>
        <v>0</v>
      </c>
      <c r="G56" s="530"/>
      <c r="H56" s="230"/>
      <c r="J56" s="250"/>
      <c r="K56" s="7"/>
      <c r="L56" s="20"/>
      <c r="M56" s="528"/>
      <c r="N56" s="529"/>
      <c r="O56" s="528">
        <f t="shared" si="1"/>
        <v>0</v>
      </c>
      <c r="P56" s="530"/>
      <c r="Q56" s="230"/>
      <c r="S56" s="250"/>
      <c r="T56" s="7"/>
      <c r="U56" s="20"/>
      <c r="V56" s="528"/>
      <c r="W56" s="529"/>
      <c r="X56" s="528">
        <f t="shared" si="3"/>
        <v>0</v>
      </c>
      <c r="Y56" s="530"/>
      <c r="Z56" s="230"/>
      <c r="AB56" s="250"/>
      <c r="AC56" s="7"/>
      <c r="AD56" s="20"/>
      <c r="AE56" s="100"/>
      <c r="AF56" s="185"/>
      <c r="AG56" s="100">
        <f t="shared" si="4"/>
        <v>0</v>
      </c>
      <c r="AH56" s="111"/>
      <c r="AI56" s="101"/>
      <c r="AK56" s="250"/>
      <c r="AL56" s="7"/>
      <c r="AM56" s="20"/>
      <c r="AN56" s="550"/>
      <c r="AO56" s="551"/>
      <c r="AP56" s="550">
        <f t="shared" si="5"/>
        <v>0</v>
      </c>
      <c r="AQ56" s="552"/>
      <c r="AR56" s="553"/>
      <c r="AT56" s="250"/>
      <c r="AU56" s="7"/>
      <c r="AV56" s="20"/>
      <c r="AW56" s="550"/>
      <c r="AX56" s="551"/>
      <c r="AY56" s="550">
        <f t="shared" si="6"/>
        <v>0</v>
      </c>
      <c r="AZ56" s="552"/>
      <c r="BA56" s="553"/>
      <c r="BC56" s="250"/>
      <c r="BD56" s="7"/>
      <c r="BE56" s="20"/>
      <c r="BF56" s="254"/>
      <c r="BG56" s="257"/>
      <c r="BH56" s="254">
        <f t="shared" si="7"/>
        <v>0</v>
      </c>
      <c r="BI56" s="255"/>
      <c r="BJ56" s="256"/>
    </row>
    <row r="57" spans="1:62" x14ac:dyDescent="0.25">
      <c r="A57" s="250"/>
      <c r="B57" s="7"/>
      <c r="C57" s="20"/>
      <c r="D57" s="528"/>
      <c r="E57" s="529"/>
      <c r="F57" s="528">
        <f t="shared" si="0"/>
        <v>0</v>
      </c>
      <c r="G57" s="530"/>
      <c r="H57" s="230"/>
      <c r="J57" s="250"/>
      <c r="K57" s="7"/>
      <c r="L57" s="20"/>
      <c r="M57" s="412"/>
      <c r="N57" s="499"/>
      <c r="O57" s="412">
        <f t="shared" si="1"/>
        <v>0</v>
      </c>
      <c r="P57" s="500"/>
      <c r="Q57" s="501"/>
      <c r="S57" s="250"/>
      <c r="T57" s="7"/>
      <c r="U57" s="20"/>
      <c r="V57" s="528"/>
      <c r="W57" s="529"/>
      <c r="X57" s="528">
        <f t="shared" si="3"/>
        <v>0</v>
      </c>
      <c r="Y57" s="530"/>
      <c r="Z57" s="230"/>
      <c r="AB57" s="250"/>
      <c r="AC57" s="7"/>
      <c r="AD57" s="20"/>
      <c r="AE57" s="100"/>
      <c r="AF57" s="185"/>
      <c r="AG57" s="100">
        <f t="shared" si="4"/>
        <v>0</v>
      </c>
      <c r="AH57" s="111"/>
      <c r="AI57" s="101"/>
      <c r="AK57" s="250"/>
      <c r="AL57" s="7"/>
      <c r="AM57" s="20"/>
      <c r="AN57" s="550"/>
      <c r="AO57" s="551"/>
      <c r="AP57" s="550">
        <f t="shared" si="5"/>
        <v>0</v>
      </c>
      <c r="AQ57" s="552"/>
      <c r="AR57" s="553"/>
      <c r="AT57" s="250"/>
      <c r="AU57" s="7"/>
      <c r="AV57" s="20"/>
      <c r="AW57" s="254"/>
      <c r="AX57" s="257"/>
      <c r="AY57" s="254">
        <f t="shared" si="6"/>
        <v>0</v>
      </c>
      <c r="AZ57" s="255"/>
      <c r="BA57" s="256"/>
      <c r="BC57" s="250"/>
      <c r="BD57" s="7"/>
      <c r="BE57" s="20"/>
      <c r="BF57" s="254"/>
      <c r="BG57" s="257"/>
      <c r="BH57" s="254">
        <f t="shared" si="7"/>
        <v>0</v>
      </c>
      <c r="BI57" s="255"/>
      <c r="BJ57" s="256"/>
    </row>
    <row r="58" spans="1:62" x14ac:dyDescent="0.25">
      <c r="A58" s="250"/>
      <c r="B58" s="7"/>
      <c r="C58" s="20"/>
      <c r="D58" s="528"/>
      <c r="E58" s="529"/>
      <c r="F58" s="528">
        <f t="shared" si="0"/>
        <v>0</v>
      </c>
      <c r="G58" s="530"/>
      <c r="H58" s="230"/>
      <c r="J58" s="250"/>
      <c r="K58" s="7"/>
      <c r="L58" s="20"/>
      <c r="M58" s="412"/>
      <c r="N58" s="499"/>
      <c r="O58" s="412">
        <f t="shared" si="1"/>
        <v>0</v>
      </c>
      <c r="P58" s="500"/>
      <c r="Q58" s="501"/>
      <c r="S58" s="250"/>
      <c r="T58" s="7"/>
      <c r="U58" s="20"/>
      <c r="V58" s="528"/>
      <c r="W58" s="529"/>
      <c r="X58" s="528">
        <f t="shared" si="3"/>
        <v>0</v>
      </c>
      <c r="Y58" s="530"/>
      <c r="Z58" s="230"/>
      <c r="AB58" s="250"/>
      <c r="AC58" s="7"/>
      <c r="AD58" s="20"/>
      <c r="AE58" s="100"/>
      <c r="AF58" s="185"/>
      <c r="AG58" s="100">
        <f t="shared" si="4"/>
        <v>0</v>
      </c>
      <c r="AH58" s="111"/>
      <c r="AI58" s="101"/>
      <c r="AK58" s="250"/>
      <c r="AL58" s="7"/>
      <c r="AM58" s="20"/>
      <c r="AN58" s="550"/>
      <c r="AO58" s="551"/>
      <c r="AP58" s="550">
        <f t="shared" si="5"/>
        <v>0</v>
      </c>
      <c r="AQ58" s="552"/>
      <c r="AR58" s="553"/>
      <c r="AT58" s="250"/>
      <c r="AU58" s="7"/>
      <c r="AV58" s="20"/>
      <c r="AW58" s="254"/>
      <c r="AX58" s="257"/>
      <c r="AY58" s="254">
        <f t="shared" si="6"/>
        <v>0</v>
      </c>
      <c r="AZ58" s="255"/>
      <c r="BA58" s="256"/>
      <c r="BC58" s="250"/>
      <c r="BD58" s="7"/>
      <c r="BE58" s="20"/>
      <c r="BF58" s="254"/>
      <c r="BG58" s="257"/>
      <c r="BH58" s="254">
        <f t="shared" si="7"/>
        <v>0</v>
      </c>
      <c r="BI58" s="255"/>
      <c r="BJ58" s="256"/>
    </row>
    <row r="59" spans="1:62" x14ac:dyDescent="0.25">
      <c r="A59" s="250"/>
      <c r="B59" s="7"/>
      <c r="C59" s="20"/>
      <c r="D59" s="528"/>
      <c r="E59" s="529"/>
      <c r="F59" s="528">
        <f t="shared" si="0"/>
        <v>0</v>
      </c>
      <c r="G59" s="530"/>
      <c r="H59" s="230"/>
      <c r="J59" s="250"/>
      <c r="K59" s="7"/>
      <c r="L59" s="20"/>
      <c r="M59" s="412"/>
      <c r="N59" s="499"/>
      <c r="O59" s="412">
        <f t="shared" si="1"/>
        <v>0</v>
      </c>
      <c r="P59" s="500"/>
      <c r="Q59" s="501"/>
      <c r="S59" s="250"/>
      <c r="T59" s="7"/>
      <c r="U59" s="20"/>
      <c r="V59" s="528"/>
      <c r="W59" s="529"/>
      <c r="X59" s="528">
        <f t="shared" si="3"/>
        <v>0</v>
      </c>
      <c r="Y59" s="530"/>
      <c r="Z59" s="230"/>
      <c r="AB59" s="250"/>
      <c r="AC59" s="7"/>
      <c r="AD59" s="20"/>
      <c r="AE59" s="100"/>
      <c r="AF59" s="185"/>
      <c r="AG59" s="100">
        <f t="shared" si="4"/>
        <v>0</v>
      </c>
      <c r="AH59" s="111"/>
      <c r="AI59" s="101"/>
      <c r="AK59" s="250"/>
      <c r="AL59" s="7"/>
      <c r="AM59" s="20"/>
      <c r="AN59" s="550"/>
      <c r="AO59" s="551"/>
      <c r="AP59" s="550">
        <f t="shared" si="5"/>
        <v>0</v>
      </c>
      <c r="AQ59" s="552"/>
      <c r="AR59" s="553"/>
      <c r="AT59" s="250"/>
      <c r="AU59" s="7"/>
      <c r="AV59" s="20"/>
      <c r="AW59" s="254"/>
      <c r="AX59" s="257"/>
      <c r="AY59" s="254">
        <f t="shared" si="6"/>
        <v>0</v>
      </c>
      <c r="AZ59" s="255"/>
      <c r="BA59" s="256"/>
      <c r="BC59" s="250"/>
      <c r="BD59" s="7"/>
      <c r="BE59" s="20"/>
      <c r="BF59" s="254"/>
      <c r="BG59" s="257"/>
      <c r="BH59" s="254">
        <f t="shared" si="7"/>
        <v>0</v>
      </c>
      <c r="BI59" s="255"/>
      <c r="BJ59" s="256"/>
    </row>
    <row r="60" spans="1:62" x14ac:dyDescent="0.25">
      <c r="A60" s="250"/>
      <c r="B60" s="7"/>
      <c r="C60" s="20"/>
      <c r="D60" s="528"/>
      <c r="E60" s="529"/>
      <c r="F60" s="528">
        <f t="shared" si="0"/>
        <v>0</v>
      </c>
      <c r="G60" s="530"/>
      <c r="H60" s="230"/>
      <c r="J60" s="250"/>
      <c r="K60" s="7"/>
      <c r="L60" s="20"/>
      <c r="M60" s="114"/>
      <c r="N60" s="167"/>
      <c r="O60" s="114">
        <f t="shared" si="1"/>
        <v>0</v>
      </c>
      <c r="P60" s="115"/>
      <c r="Q60" s="116"/>
      <c r="S60" s="250"/>
      <c r="T60" s="7"/>
      <c r="U60" s="20"/>
      <c r="V60" s="528"/>
      <c r="W60" s="529"/>
      <c r="X60" s="528">
        <f t="shared" si="3"/>
        <v>0</v>
      </c>
      <c r="Y60" s="530"/>
      <c r="Z60" s="230"/>
      <c r="AB60" s="250"/>
      <c r="AC60" s="7"/>
      <c r="AD60" s="20"/>
      <c r="AE60" s="100"/>
      <c r="AF60" s="185"/>
      <c r="AG60" s="100">
        <f t="shared" si="4"/>
        <v>0</v>
      </c>
      <c r="AH60" s="111"/>
      <c r="AI60" s="101"/>
      <c r="AK60" s="250"/>
      <c r="AL60" s="7"/>
      <c r="AM60" s="20"/>
      <c r="AN60" s="550"/>
      <c r="AO60" s="551"/>
      <c r="AP60" s="550">
        <f t="shared" si="5"/>
        <v>0</v>
      </c>
      <c r="AQ60" s="552"/>
      <c r="AR60" s="553"/>
      <c r="AT60" s="250"/>
      <c r="AU60" s="7"/>
      <c r="AV60" s="20"/>
      <c r="AW60" s="254"/>
      <c r="AX60" s="257"/>
      <c r="AY60" s="254">
        <f t="shared" si="6"/>
        <v>0</v>
      </c>
      <c r="AZ60" s="255"/>
      <c r="BA60" s="256"/>
      <c r="BC60" s="250"/>
      <c r="BD60" s="7"/>
      <c r="BE60" s="20"/>
      <c r="BF60" s="254"/>
      <c r="BG60" s="257"/>
      <c r="BH60" s="254">
        <f t="shared" si="7"/>
        <v>0</v>
      </c>
      <c r="BI60" s="255"/>
      <c r="BJ60" s="256"/>
    </row>
    <row r="61" spans="1:62" x14ac:dyDescent="0.25">
      <c r="A61" s="250"/>
      <c r="B61" s="7"/>
      <c r="C61" s="20"/>
      <c r="D61" s="528"/>
      <c r="E61" s="529"/>
      <c r="F61" s="528">
        <f t="shared" si="0"/>
        <v>0</v>
      </c>
      <c r="G61" s="530"/>
      <c r="H61" s="230"/>
      <c r="J61" s="250"/>
      <c r="K61" s="7"/>
      <c r="L61" s="20"/>
      <c r="M61" s="114"/>
      <c r="N61" s="167"/>
      <c r="O61" s="114">
        <f t="shared" si="1"/>
        <v>0</v>
      </c>
      <c r="P61" s="115"/>
      <c r="Q61" s="116"/>
      <c r="S61" s="250"/>
      <c r="T61" s="7"/>
      <c r="U61" s="20"/>
      <c r="V61" s="528"/>
      <c r="W61" s="529"/>
      <c r="X61" s="528">
        <f t="shared" si="3"/>
        <v>0</v>
      </c>
      <c r="Y61" s="530"/>
      <c r="Z61" s="230"/>
      <c r="AB61" s="250"/>
      <c r="AC61" s="7"/>
      <c r="AD61" s="20"/>
      <c r="AE61" s="100"/>
      <c r="AF61" s="185"/>
      <c r="AG61" s="100">
        <f t="shared" si="4"/>
        <v>0</v>
      </c>
      <c r="AH61" s="111"/>
      <c r="AI61" s="101"/>
      <c r="AK61" s="250"/>
      <c r="AL61" s="7"/>
      <c r="AM61" s="20"/>
      <c r="AN61" s="550"/>
      <c r="AO61" s="551"/>
      <c r="AP61" s="550">
        <f t="shared" si="5"/>
        <v>0</v>
      </c>
      <c r="AQ61" s="552"/>
      <c r="AR61" s="553"/>
      <c r="AT61" s="250"/>
      <c r="AU61" s="7"/>
      <c r="AV61" s="20"/>
      <c r="AW61" s="254"/>
      <c r="AX61" s="257"/>
      <c r="AY61" s="254">
        <f t="shared" si="6"/>
        <v>0</v>
      </c>
      <c r="AZ61" s="255"/>
      <c r="BA61" s="256"/>
      <c r="BC61" s="250"/>
      <c r="BD61" s="7"/>
      <c r="BE61" s="20"/>
      <c r="BF61" s="254"/>
      <c r="BG61" s="257"/>
      <c r="BH61" s="254">
        <f t="shared" si="7"/>
        <v>0</v>
      </c>
      <c r="BI61" s="255"/>
      <c r="BJ61" s="256"/>
    </row>
    <row r="62" spans="1:62" x14ac:dyDescent="0.25">
      <c r="A62" s="250"/>
      <c r="B62" s="7"/>
      <c r="C62" s="20"/>
      <c r="D62" s="528"/>
      <c r="E62" s="529"/>
      <c r="F62" s="528">
        <f t="shared" si="0"/>
        <v>0</v>
      </c>
      <c r="G62" s="530"/>
      <c r="H62" s="230"/>
      <c r="J62" s="250"/>
      <c r="K62" s="7"/>
      <c r="L62" s="20"/>
      <c r="M62" s="114"/>
      <c r="N62" s="167"/>
      <c r="O62" s="114">
        <f t="shared" si="1"/>
        <v>0</v>
      </c>
      <c r="P62" s="115"/>
      <c r="Q62" s="116"/>
      <c r="S62" s="250"/>
      <c r="T62" s="7"/>
      <c r="U62" s="20"/>
      <c r="V62" s="528"/>
      <c r="W62" s="529"/>
      <c r="X62" s="528">
        <f t="shared" si="3"/>
        <v>0</v>
      </c>
      <c r="Y62" s="530"/>
      <c r="Z62" s="230"/>
      <c r="AB62" s="250"/>
      <c r="AC62" s="7"/>
      <c r="AD62" s="20"/>
      <c r="AE62" s="100"/>
      <c r="AF62" s="185"/>
      <c r="AG62" s="100">
        <f t="shared" si="4"/>
        <v>0</v>
      </c>
      <c r="AH62" s="111"/>
      <c r="AI62" s="101"/>
      <c r="AK62" s="250"/>
      <c r="AL62" s="7"/>
      <c r="AM62" s="20"/>
      <c r="AN62" s="550"/>
      <c r="AO62" s="551"/>
      <c r="AP62" s="550">
        <f t="shared" si="5"/>
        <v>0</v>
      </c>
      <c r="AQ62" s="552"/>
      <c r="AR62" s="553"/>
      <c r="AT62" s="250"/>
      <c r="AU62" s="7"/>
      <c r="AV62" s="20"/>
      <c r="AW62" s="254"/>
      <c r="AX62" s="257"/>
      <c r="AY62" s="254">
        <f t="shared" si="6"/>
        <v>0</v>
      </c>
      <c r="AZ62" s="255"/>
      <c r="BA62" s="256"/>
      <c r="BC62" s="250"/>
      <c r="BD62" s="7"/>
      <c r="BE62" s="20"/>
      <c r="BF62" s="254"/>
      <c r="BG62" s="257"/>
      <c r="BH62" s="254">
        <f t="shared" si="7"/>
        <v>0</v>
      </c>
      <c r="BI62" s="255"/>
      <c r="BJ62" s="256"/>
    </row>
    <row r="63" spans="1:62" x14ac:dyDescent="0.25">
      <c r="A63" s="250"/>
      <c r="B63" s="7"/>
      <c r="C63" s="20"/>
      <c r="D63" s="528"/>
      <c r="E63" s="529"/>
      <c r="F63" s="528">
        <f t="shared" si="0"/>
        <v>0</v>
      </c>
      <c r="G63" s="530"/>
      <c r="H63" s="230"/>
      <c r="J63" s="250"/>
      <c r="K63" s="7"/>
      <c r="L63" s="20"/>
      <c r="M63" s="114"/>
      <c r="N63" s="167"/>
      <c r="O63" s="114">
        <f t="shared" si="1"/>
        <v>0</v>
      </c>
      <c r="P63" s="115"/>
      <c r="Q63" s="116"/>
      <c r="S63" s="250"/>
      <c r="T63" s="7"/>
      <c r="U63" s="20"/>
      <c r="V63" s="528"/>
      <c r="W63" s="529"/>
      <c r="X63" s="528">
        <f t="shared" si="3"/>
        <v>0</v>
      </c>
      <c r="Y63" s="530"/>
      <c r="Z63" s="230"/>
      <c r="AB63" s="250"/>
      <c r="AC63" s="7"/>
      <c r="AD63" s="20"/>
      <c r="AE63" s="100"/>
      <c r="AF63" s="185"/>
      <c r="AG63" s="100">
        <f t="shared" si="4"/>
        <v>0</v>
      </c>
      <c r="AH63" s="111"/>
      <c r="AI63" s="101"/>
      <c r="AK63" s="250"/>
      <c r="AL63" s="7"/>
      <c r="AM63" s="20"/>
      <c r="AN63" s="550"/>
      <c r="AO63" s="551"/>
      <c r="AP63" s="550">
        <f t="shared" si="5"/>
        <v>0</v>
      </c>
      <c r="AQ63" s="552"/>
      <c r="AR63" s="553"/>
      <c r="AT63" s="250"/>
      <c r="AU63" s="7"/>
      <c r="AV63" s="20"/>
      <c r="AW63" s="254"/>
      <c r="AX63" s="257"/>
      <c r="AY63" s="254">
        <f t="shared" si="6"/>
        <v>0</v>
      </c>
      <c r="AZ63" s="255"/>
      <c r="BA63" s="256"/>
      <c r="BC63" s="250"/>
      <c r="BD63" s="7"/>
      <c r="BE63" s="20"/>
      <c r="BF63" s="254"/>
      <c r="BG63" s="257"/>
      <c r="BH63" s="254">
        <f t="shared" si="7"/>
        <v>0</v>
      </c>
      <c r="BI63" s="255"/>
      <c r="BJ63" s="256"/>
    </row>
    <row r="64" spans="1:62" x14ac:dyDescent="0.25">
      <c r="A64" s="250"/>
      <c r="B64" s="7"/>
      <c r="C64" s="20"/>
      <c r="D64" s="528"/>
      <c r="E64" s="529"/>
      <c r="F64" s="528">
        <f t="shared" si="0"/>
        <v>0</v>
      </c>
      <c r="G64" s="530"/>
      <c r="H64" s="230"/>
      <c r="J64" s="250"/>
      <c r="K64" s="7"/>
      <c r="L64" s="20"/>
      <c r="M64" s="114"/>
      <c r="N64" s="167"/>
      <c r="O64" s="114">
        <f t="shared" si="1"/>
        <v>0</v>
      </c>
      <c r="P64" s="115"/>
      <c r="Q64" s="116"/>
      <c r="S64" s="250"/>
      <c r="T64" s="7"/>
      <c r="U64" s="20"/>
      <c r="V64" s="528"/>
      <c r="W64" s="529"/>
      <c r="X64" s="528">
        <f t="shared" si="3"/>
        <v>0</v>
      </c>
      <c r="Y64" s="530"/>
      <c r="Z64" s="230"/>
      <c r="AB64" s="250"/>
      <c r="AC64" s="7"/>
      <c r="AD64" s="20"/>
      <c r="AE64" s="100"/>
      <c r="AF64" s="185"/>
      <c r="AG64" s="100">
        <f t="shared" si="4"/>
        <v>0</v>
      </c>
      <c r="AH64" s="111"/>
      <c r="AI64" s="101"/>
      <c r="AK64" s="250"/>
      <c r="AL64" s="7"/>
      <c r="AM64" s="20"/>
      <c r="AN64" s="550"/>
      <c r="AO64" s="551"/>
      <c r="AP64" s="550">
        <f t="shared" si="5"/>
        <v>0</v>
      </c>
      <c r="AQ64" s="552"/>
      <c r="AR64" s="553"/>
      <c r="AT64" s="250"/>
      <c r="AU64" s="7"/>
      <c r="AV64" s="20"/>
      <c r="AW64" s="254"/>
      <c r="AX64" s="257"/>
      <c r="AY64" s="254">
        <f t="shared" si="6"/>
        <v>0</v>
      </c>
      <c r="AZ64" s="255"/>
      <c r="BA64" s="256"/>
      <c r="BC64" s="250"/>
      <c r="BD64" s="7"/>
      <c r="BE64" s="20"/>
      <c r="BF64" s="254"/>
      <c r="BG64" s="257"/>
      <c r="BH64" s="254">
        <f t="shared" si="7"/>
        <v>0</v>
      </c>
      <c r="BI64" s="255"/>
      <c r="BJ64" s="256"/>
    </row>
    <row r="65" spans="1:62" x14ac:dyDescent="0.25">
      <c r="A65" s="250"/>
      <c r="B65" s="7"/>
      <c r="C65" s="20"/>
      <c r="D65" s="528"/>
      <c r="E65" s="529"/>
      <c r="F65" s="528">
        <f t="shared" si="0"/>
        <v>0</v>
      </c>
      <c r="G65" s="530"/>
      <c r="H65" s="230"/>
      <c r="J65" s="250"/>
      <c r="K65" s="7"/>
      <c r="L65" s="20"/>
      <c r="M65" s="114"/>
      <c r="N65" s="167"/>
      <c r="O65" s="114">
        <f t="shared" si="1"/>
        <v>0</v>
      </c>
      <c r="P65" s="115"/>
      <c r="Q65" s="116"/>
      <c r="S65" s="250"/>
      <c r="T65" s="7"/>
      <c r="U65" s="20"/>
      <c r="V65" s="528"/>
      <c r="W65" s="529"/>
      <c r="X65" s="528">
        <f t="shared" si="3"/>
        <v>0</v>
      </c>
      <c r="Y65" s="530"/>
      <c r="Z65" s="230"/>
      <c r="AB65" s="250"/>
      <c r="AC65" s="7"/>
      <c r="AD65" s="20"/>
      <c r="AE65" s="100"/>
      <c r="AF65" s="185"/>
      <c r="AG65" s="100">
        <f t="shared" si="4"/>
        <v>0</v>
      </c>
      <c r="AH65" s="111"/>
      <c r="AI65" s="101"/>
      <c r="AK65" s="250"/>
      <c r="AL65" s="7"/>
      <c r="AM65" s="20"/>
      <c r="AN65" s="550"/>
      <c r="AO65" s="551"/>
      <c r="AP65" s="550">
        <f t="shared" si="5"/>
        <v>0</v>
      </c>
      <c r="AQ65" s="552"/>
      <c r="AR65" s="553"/>
      <c r="AT65" s="250"/>
      <c r="AU65" s="7"/>
      <c r="AV65" s="20"/>
      <c r="AW65" s="254"/>
      <c r="AX65" s="257"/>
      <c r="AY65" s="254">
        <f t="shared" si="6"/>
        <v>0</v>
      </c>
      <c r="AZ65" s="255"/>
      <c r="BA65" s="256"/>
      <c r="BC65" s="250"/>
      <c r="BD65" s="7"/>
      <c r="BE65" s="20"/>
      <c r="BF65" s="254"/>
      <c r="BG65" s="257"/>
      <c r="BH65" s="254">
        <f t="shared" si="7"/>
        <v>0</v>
      </c>
      <c r="BI65" s="255"/>
      <c r="BJ65" s="256"/>
    </row>
    <row r="66" spans="1:62" x14ac:dyDescent="0.25">
      <c r="A66" s="250"/>
      <c r="B66" s="7"/>
      <c r="C66" s="20"/>
      <c r="D66" s="528"/>
      <c r="E66" s="529"/>
      <c r="F66" s="528">
        <f t="shared" si="0"/>
        <v>0</v>
      </c>
      <c r="G66" s="530"/>
      <c r="H66" s="230"/>
      <c r="J66" s="250"/>
      <c r="K66" s="7"/>
      <c r="L66" s="20"/>
      <c r="M66" s="114"/>
      <c r="N66" s="167"/>
      <c r="O66" s="114">
        <f t="shared" si="1"/>
        <v>0</v>
      </c>
      <c r="P66" s="115"/>
      <c r="Q66" s="116"/>
      <c r="S66" s="250"/>
      <c r="T66" s="7"/>
      <c r="U66" s="20"/>
      <c r="V66" s="528"/>
      <c r="W66" s="529"/>
      <c r="X66" s="528">
        <f t="shared" si="3"/>
        <v>0</v>
      </c>
      <c r="Y66" s="530"/>
      <c r="Z66" s="230"/>
      <c r="AB66" s="250"/>
      <c r="AC66" s="7"/>
      <c r="AD66" s="20"/>
      <c r="AE66" s="100"/>
      <c r="AF66" s="185"/>
      <c r="AG66" s="100">
        <f t="shared" si="4"/>
        <v>0</v>
      </c>
      <c r="AH66" s="111"/>
      <c r="AI66" s="101"/>
      <c r="AK66" s="250"/>
      <c r="AL66" s="7"/>
      <c r="AM66" s="20"/>
      <c r="AN66" s="550"/>
      <c r="AO66" s="551"/>
      <c r="AP66" s="550">
        <f t="shared" si="5"/>
        <v>0</v>
      </c>
      <c r="AQ66" s="552"/>
      <c r="AR66" s="553"/>
      <c r="AT66" s="250"/>
      <c r="AU66" s="7"/>
      <c r="AV66" s="20"/>
      <c r="AW66" s="114"/>
      <c r="AX66" s="167"/>
      <c r="AY66" s="114">
        <f t="shared" si="6"/>
        <v>0</v>
      </c>
      <c r="AZ66" s="115"/>
      <c r="BA66" s="116"/>
      <c r="BC66" s="250"/>
      <c r="BD66" s="7"/>
      <c r="BE66" s="20"/>
      <c r="BF66" s="114"/>
      <c r="BG66" s="167"/>
      <c r="BH66" s="114">
        <f t="shared" si="7"/>
        <v>0</v>
      </c>
      <c r="BI66" s="115"/>
      <c r="BJ66" s="116"/>
    </row>
    <row r="67" spans="1:62" x14ac:dyDescent="0.25">
      <c r="A67" s="250"/>
      <c r="B67" s="7"/>
      <c r="C67" s="20"/>
      <c r="D67" s="528"/>
      <c r="E67" s="529"/>
      <c r="F67" s="528">
        <f t="shared" si="0"/>
        <v>0</v>
      </c>
      <c r="G67" s="530"/>
      <c r="H67" s="230"/>
      <c r="J67" s="250"/>
      <c r="K67" s="7"/>
      <c r="L67" s="20"/>
      <c r="M67" s="114"/>
      <c r="N67" s="167"/>
      <c r="O67" s="114">
        <f t="shared" si="1"/>
        <v>0</v>
      </c>
      <c r="P67" s="115"/>
      <c r="Q67" s="116"/>
      <c r="S67" s="250"/>
      <c r="T67" s="7"/>
      <c r="U67" s="20"/>
      <c r="V67" s="528"/>
      <c r="W67" s="529"/>
      <c r="X67" s="528">
        <f t="shared" si="3"/>
        <v>0</v>
      </c>
      <c r="Y67" s="530"/>
      <c r="Z67" s="230"/>
      <c r="AB67" s="250"/>
      <c r="AC67" s="7"/>
      <c r="AD67" s="20"/>
      <c r="AE67" s="100"/>
      <c r="AF67" s="185"/>
      <c r="AG67" s="100">
        <f t="shared" si="4"/>
        <v>0</v>
      </c>
      <c r="AH67" s="111"/>
      <c r="AI67" s="101"/>
      <c r="AK67" s="250"/>
      <c r="AL67" s="7"/>
      <c r="AM67" s="20"/>
      <c r="AN67" s="550"/>
      <c r="AO67" s="551"/>
      <c r="AP67" s="550">
        <f t="shared" si="5"/>
        <v>0</v>
      </c>
      <c r="AQ67" s="552"/>
      <c r="AR67" s="553"/>
      <c r="AT67" s="250"/>
      <c r="AU67" s="7"/>
      <c r="AV67" s="20"/>
      <c r="AW67" s="114"/>
      <c r="AX67" s="167"/>
      <c r="AY67" s="114">
        <f t="shared" si="6"/>
        <v>0</v>
      </c>
      <c r="AZ67" s="115"/>
      <c r="BA67" s="116"/>
      <c r="BC67" s="250"/>
      <c r="BD67" s="7"/>
      <c r="BE67" s="20"/>
      <c r="BF67" s="114"/>
      <c r="BG67" s="167"/>
      <c r="BH67" s="114">
        <f t="shared" si="7"/>
        <v>0</v>
      </c>
      <c r="BI67" s="115"/>
      <c r="BJ67" s="116"/>
    </row>
    <row r="68" spans="1:62" x14ac:dyDescent="0.25">
      <c r="A68" s="250"/>
      <c r="B68" s="7"/>
      <c r="C68" s="20"/>
      <c r="D68" s="528"/>
      <c r="E68" s="529"/>
      <c r="F68" s="528">
        <f t="shared" si="0"/>
        <v>0</v>
      </c>
      <c r="G68" s="530"/>
      <c r="H68" s="230"/>
      <c r="J68" s="250"/>
      <c r="K68" s="7"/>
      <c r="L68" s="20"/>
      <c r="M68" s="114"/>
      <c r="N68" s="167"/>
      <c r="O68" s="114">
        <f t="shared" si="1"/>
        <v>0</v>
      </c>
      <c r="P68" s="115"/>
      <c r="Q68" s="116"/>
      <c r="S68" s="250"/>
      <c r="T68" s="7"/>
      <c r="U68" s="20"/>
      <c r="V68" s="528"/>
      <c r="W68" s="529"/>
      <c r="X68" s="528">
        <f t="shared" si="3"/>
        <v>0</v>
      </c>
      <c r="Y68" s="530"/>
      <c r="Z68" s="230"/>
      <c r="AB68" s="250"/>
      <c r="AC68" s="7"/>
      <c r="AD68" s="20"/>
      <c r="AE68" s="100"/>
      <c r="AF68" s="185"/>
      <c r="AG68" s="100">
        <f t="shared" si="4"/>
        <v>0</v>
      </c>
      <c r="AH68" s="111"/>
      <c r="AI68" s="101"/>
      <c r="AK68" s="250"/>
      <c r="AL68" s="7"/>
      <c r="AM68" s="20"/>
      <c r="AN68" s="550"/>
      <c r="AO68" s="551"/>
      <c r="AP68" s="550">
        <f t="shared" si="5"/>
        <v>0</v>
      </c>
      <c r="AQ68" s="552"/>
      <c r="AR68" s="553"/>
      <c r="AT68" s="250"/>
      <c r="AU68" s="7"/>
      <c r="AV68" s="20"/>
      <c r="AW68" s="114"/>
      <c r="AX68" s="167"/>
      <c r="AY68" s="114">
        <f t="shared" si="6"/>
        <v>0</v>
      </c>
      <c r="AZ68" s="115"/>
      <c r="BA68" s="116"/>
      <c r="BC68" s="250"/>
      <c r="BD68" s="7"/>
      <c r="BE68" s="20"/>
      <c r="BF68" s="114"/>
      <c r="BG68" s="167"/>
      <c r="BH68" s="114">
        <f t="shared" si="7"/>
        <v>0</v>
      </c>
      <c r="BI68" s="115"/>
      <c r="BJ68" s="116"/>
    </row>
    <row r="69" spans="1:62" x14ac:dyDescent="0.25">
      <c r="A69" s="250"/>
      <c r="B69" s="7"/>
      <c r="C69" s="20"/>
      <c r="D69" s="528"/>
      <c r="E69" s="529"/>
      <c r="F69" s="528">
        <f t="shared" si="0"/>
        <v>0</v>
      </c>
      <c r="G69" s="530"/>
      <c r="H69" s="230"/>
      <c r="J69" s="250"/>
      <c r="K69" s="7"/>
      <c r="L69" s="20"/>
      <c r="M69" s="114"/>
      <c r="N69" s="167"/>
      <c r="O69" s="114">
        <f t="shared" si="1"/>
        <v>0</v>
      </c>
      <c r="P69" s="115"/>
      <c r="Q69" s="116"/>
      <c r="S69" s="250"/>
      <c r="T69" s="7"/>
      <c r="U69" s="20"/>
      <c r="V69" s="528"/>
      <c r="W69" s="529"/>
      <c r="X69" s="528">
        <f t="shared" si="3"/>
        <v>0</v>
      </c>
      <c r="Y69" s="530"/>
      <c r="Z69" s="230"/>
      <c r="AB69" s="250"/>
      <c r="AC69" s="7"/>
      <c r="AD69" s="20"/>
      <c r="AE69" s="100"/>
      <c r="AF69" s="185"/>
      <c r="AG69" s="100">
        <f t="shared" si="4"/>
        <v>0</v>
      </c>
      <c r="AH69" s="111"/>
      <c r="AI69" s="101"/>
      <c r="AK69" s="250"/>
      <c r="AL69" s="7"/>
      <c r="AM69" s="20"/>
      <c r="AN69" s="550"/>
      <c r="AO69" s="551"/>
      <c r="AP69" s="550">
        <f t="shared" si="5"/>
        <v>0</v>
      </c>
      <c r="AQ69" s="552"/>
      <c r="AR69" s="553"/>
      <c r="AT69" s="250"/>
      <c r="AU69" s="7"/>
      <c r="AV69" s="20"/>
      <c r="AW69" s="114"/>
      <c r="AX69" s="167"/>
      <c r="AY69" s="114">
        <f t="shared" si="6"/>
        <v>0</v>
      </c>
      <c r="AZ69" s="115"/>
      <c r="BA69" s="116"/>
      <c r="BC69" s="250"/>
      <c r="BD69" s="7"/>
      <c r="BE69" s="20"/>
      <c r="BF69" s="114"/>
      <c r="BG69" s="167"/>
      <c r="BH69" s="114">
        <f t="shared" si="7"/>
        <v>0</v>
      </c>
      <c r="BI69" s="115"/>
      <c r="BJ69" s="116"/>
    </row>
    <row r="70" spans="1:62" x14ac:dyDescent="0.25">
      <c r="A70" s="250"/>
      <c r="B70" s="7"/>
      <c r="C70" s="20"/>
      <c r="D70" s="528"/>
      <c r="E70" s="529"/>
      <c r="F70" s="528">
        <f t="shared" si="0"/>
        <v>0</v>
      </c>
      <c r="G70" s="530"/>
      <c r="H70" s="230"/>
      <c r="J70" s="250"/>
      <c r="K70" s="7"/>
      <c r="L70" s="20"/>
      <c r="M70" s="114"/>
      <c r="N70" s="167"/>
      <c r="O70" s="114">
        <f t="shared" si="1"/>
        <v>0</v>
      </c>
      <c r="P70" s="115"/>
      <c r="Q70" s="116"/>
      <c r="S70" s="250"/>
      <c r="T70" s="7"/>
      <c r="U70" s="20"/>
      <c r="V70" s="528"/>
      <c r="W70" s="529"/>
      <c r="X70" s="528">
        <f t="shared" si="3"/>
        <v>0</v>
      </c>
      <c r="Y70" s="530"/>
      <c r="Z70" s="230"/>
      <c r="AB70" s="250"/>
      <c r="AC70" s="7"/>
      <c r="AD70" s="20"/>
      <c r="AE70" s="100"/>
      <c r="AF70" s="185"/>
      <c r="AG70" s="100">
        <f t="shared" si="4"/>
        <v>0</v>
      </c>
      <c r="AH70" s="111"/>
      <c r="AI70" s="101"/>
      <c r="AK70" s="250"/>
      <c r="AL70" s="7"/>
      <c r="AM70" s="20"/>
      <c r="AN70" s="550"/>
      <c r="AO70" s="551"/>
      <c r="AP70" s="550">
        <f t="shared" si="5"/>
        <v>0</v>
      </c>
      <c r="AQ70" s="552"/>
      <c r="AR70" s="553"/>
      <c r="AT70" s="250"/>
      <c r="AU70" s="7"/>
      <c r="AV70" s="20"/>
      <c r="AW70" s="114"/>
      <c r="AX70" s="167"/>
      <c r="AY70" s="114">
        <f t="shared" si="6"/>
        <v>0</v>
      </c>
      <c r="AZ70" s="115"/>
      <c r="BA70" s="116"/>
      <c r="BC70" s="250"/>
      <c r="BD70" s="7"/>
      <c r="BE70" s="20"/>
      <c r="BF70" s="114"/>
      <c r="BG70" s="167"/>
      <c r="BH70" s="114">
        <f t="shared" si="7"/>
        <v>0</v>
      </c>
      <c r="BI70" s="115"/>
      <c r="BJ70" s="116"/>
    </row>
    <row r="71" spans="1:62" x14ac:dyDescent="0.25">
      <c r="A71" s="250"/>
      <c r="B71" s="7"/>
      <c r="C71" s="20"/>
      <c r="D71" s="528"/>
      <c r="E71" s="529"/>
      <c r="F71" s="528">
        <f t="shared" si="0"/>
        <v>0</v>
      </c>
      <c r="G71" s="530"/>
      <c r="H71" s="230"/>
      <c r="J71" s="250"/>
      <c r="K71" s="7"/>
      <c r="L71" s="20"/>
      <c r="M71" s="114"/>
      <c r="N71" s="167"/>
      <c r="O71" s="114">
        <f t="shared" si="1"/>
        <v>0</v>
      </c>
      <c r="P71" s="115"/>
      <c r="Q71" s="116"/>
      <c r="S71" s="250"/>
      <c r="T71" s="7"/>
      <c r="U71" s="20"/>
      <c r="V71" s="528"/>
      <c r="W71" s="529"/>
      <c r="X71" s="528">
        <f t="shared" si="3"/>
        <v>0</v>
      </c>
      <c r="Y71" s="530"/>
      <c r="Z71" s="230"/>
      <c r="AB71" s="250"/>
      <c r="AC71" s="7"/>
      <c r="AD71" s="20"/>
      <c r="AE71" s="100"/>
      <c r="AF71" s="185"/>
      <c r="AG71" s="100">
        <f t="shared" si="4"/>
        <v>0</v>
      </c>
      <c r="AH71" s="111"/>
      <c r="AI71" s="101"/>
      <c r="AK71" s="250"/>
      <c r="AL71" s="7"/>
      <c r="AM71" s="20"/>
      <c r="AN71" s="550"/>
      <c r="AO71" s="551"/>
      <c r="AP71" s="550">
        <f t="shared" si="5"/>
        <v>0</v>
      </c>
      <c r="AQ71" s="552"/>
      <c r="AR71" s="553"/>
      <c r="AT71" s="250"/>
      <c r="AU71" s="7"/>
      <c r="AV71" s="20"/>
      <c r="AW71" s="114"/>
      <c r="AX71" s="167"/>
      <c r="AY71" s="114">
        <f t="shared" si="6"/>
        <v>0</v>
      </c>
      <c r="AZ71" s="115"/>
      <c r="BA71" s="116"/>
      <c r="BC71" s="250"/>
      <c r="BD71" s="7"/>
      <c r="BE71" s="20"/>
      <c r="BF71" s="114"/>
      <c r="BG71" s="167"/>
      <c r="BH71" s="114">
        <f t="shared" si="7"/>
        <v>0</v>
      </c>
      <c r="BI71" s="115"/>
      <c r="BJ71" s="116"/>
    </row>
    <row r="72" spans="1:62" x14ac:dyDescent="0.25">
      <c r="A72" s="250"/>
      <c r="B72" s="7"/>
      <c r="C72" s="20"/>
      <c r="D72" s="114"/>
      <c r="E72" s="167"/>
      <c r="F72" s="114">
        <f t="shared" si="0"/>
        <v>0</v>
      </c>
      <c r="G72" s="115"/>
      <c r="H72" s="116"/>
      <c r="J72" s="250"/>
      <c r="K72" s="7"/>
      <c r="L72" s="20"/>
      <c r="M72" s="114"/>
      <c r="N72" s="167"/>
      <c r="O72" s="114">
        <f t="shared" si="1"/>
        <v>0</v>
      </c>
      <c r="P72" s="115"/>
      <c r="Q72" s="116"/>
      <c r="S72" s="250"/>
      <c r="T72" s="7"/>
      <c r="U72" s="20"/>
      <c r="V72" s="528"/>
      <c r="W72" s="529"/>
      <c r="X72" s="528">
        <f t="shared" si="3"/>
        <v>0</v>
      </c>
      <c r="Y72" s="530"/>
      <c r="Z72" s="230"/>
      <c r="AB72" s="250"/>
      <c r="AC72" s="7"/>
      <c r="AD72" s="20"/>
      <c r="AE72" s="114"/>
      <c r="AF72" s="167"/>
      <c r="AG72" s="114">
        <f t="shared" si="4"/>
        <v>0</v>
      </c>
      <c r="AH72" s="115"/>
      <c r="AI72" s="116"/>
      <c r="AK72" s="250"/>
      <c r="AL72" s="7"/>
      <c r="AM72" s="20"/>
      <c r="AN72" s="550"/>
      <c r="AO72" s="551"/>
      <c r="AP72" s="550">
        <f t="shared" si="5"/>
        <v>0</v>
      </c>
      <c r="AQ72" s="552"/>
      <c r="AR72" s="553"/>
      <c r="AT72" s="250"/>
      <c r="AU72" s="7"/>
      <c r="AV72" s="20"/>
      <c r="AW72" s="114"/>
      <c r="AX72" s="167"/>
      <c r="AY72" s="114">
        <f t="shared" si="6"/>
        <v>0</v>
      </c>
      <c r="AZ72" s="115"/>
      <c r="BA72" s="116"/>
      <c r="BC72" s="250"/>
      <c r="BD72" s="7"/>
      <c r="BE72" s="20"/>
      <c r="BF72" s="114"/>
      <c r="BG72" s="167"/>
      <c r="BH72" s="114">
        <f t="shared" si="7"/>
        <v>0</v>
      </c>
      <c r="BI72" s="115"/>
      <c r="BJ72" s="116"/>
    </row>
    <row r="73" spans="1:62" x14ac:dyDescent="0.25">
      <c r="A73" s="250"/>
      <c r="B73" s="7"/>
      <c r="C73" s="20"/>
      <c r="D73" s="114"/>
      <c r="E73" s="167"/>
      <c r="F73" s="114">
        <f t="shared" ref="F73:F75" si="8">D73</f>
        <v>0</v>
      </c>
      <c r="G73" s="115"/>
      <c r="H73" s="116"/>
      <c r="J73" s="250"/>
      <c r="K73" s="7"/>
      <c r="L73" s="20"/>
      <c r="M73" s="114"/>
      <c r="N73" s="167"/>
      <c r="O73" s="114">
        <f t="shared" ref="O73:O75" si="9">M73</f>
        <v>0</v>
      </c>
      <c r="P73" s="115"/>
      <c r="Q73" s="116"/>
      <c r="S73" s="250"/>
      <c r="T73" s="7"/>
      <c r="U73" s="20"/>
      <c r="V73" s="528"/>
      <c r="W73" s="529"/>
      <c r="X73" s="528">
        <f t="shared" ref="X73:X75" si="10">V73</f>
        <v>0</v>
      </c>
      <c r="Y73" s="530"/>
      <c r="Z73" s="230"/>
      <c r="AB73" s="250"/>
      <c r="AC73" s="7"/>
      <c r="AD73" s="20"/>
      <c r="AE73" s="114"/>
      <c r="AF73" s="167"/>
      <c r="AG73" s="114">
        <f t="shared" si="4"/>
        <v>0</v>
      </c>
      <c r="AH73" s="115"/>
      <c r="AI73" s="116"/>
      <c r="AK73" s="250"/>
      <c r="AL73" s="7"/>
      <c r="AM73" s="20"/>
      <c r="AN73" s="550"/>
      <c r="AO73" s="551"/>
      <c r="AP73" s="550">
        <f t="shared" si="5"/>
        <v>0</v>
      </c>
      <c r="AQ73" s="552"/>
      <c r="AR73" s="553"/>
      <c r="AT73" s="250"/>
      <c r="AU73" s="7"/>
      <c r="AV73" s="20"/>
      <c r="AW73" s="114"/>
      <c r="AX73" s="167"/>
      <c r="AY73" s="114">
        <f t="shared" si="6"/>
        <v>0</v>
      </c>
      <c r="AZ73" s="115"/>
      <c r="BA73" s="116"/>
      <c r="BC73" s="250"/>
      <c r="BD73" s="7"/>
      <c r="BE73" s="20"/>
      <c r="BF73" s="114"/>
      <c r="BG73" s="167"/>
      <c r="BH73" s="114">
        <f t="shared" si="7"/>
        <v>0</v>
      </c>
      <c r="BI73" s="115"/>
      <c r="BJ73" s="116"/>
    </row>
    <row r="74" spans="1:62" x14ac:dyDescent="0.25">
      <c r="A74" s="250"/>
      <c r="B74" s="7"/>
      <c r="C74" s="20"/>
      <c r="D74" s="114"/>
      <c r="E74" s="167"/>
      <c r="F74" s="114">
        <f t="shared" si="8"/>
        <v>0</v>
      </c>
      <c r="G74" s="115"/>
      <c r="H74" s="116"/>
      <c r="J74" s="250"/>
      <c r="K74" s="7"/>
      <c r="L74" s="20"/>
      <c r="M74" s="114"/>
      <c r="N74" s="167"/>
      <c r="O74" s="114">
        <f t="shared" si="9"/>
        <v>0</v>
      </c>
      <c r="P74" s="115"/>
      <c r="Q74" s="116"/>
      <c r="S74" s="250"/>
      <c r="T74" s="7"/>
      <c r="U74" s="20"/>
      <c r="V74" s="528"/>
      <c r="W74" s="529"/>
      <c r="X74" s="528">
        <f t="shared" si="10"/>
        <v>0</v>
      </c>
      <c r="Y74" s="530"/>
      <c r="Z74" s="230"/>
      <c r="AB74" s="250"/>
      <c r="AC74" s="7"/>
      <c r="AD74" s="20"/>
      <c r="AE74" s="114"/>
      <c r="AF74" s="167"/>
      <c r="AG74" s="114">
        <f t="shared" si="4"/>
        <v>0</v>
      </c>
      <c r="AH74" s="115"/>
      <c r="AI74" s="116"/>
      <c r="AK74" s="250"/>
      <c r="AL74" s="7"/>
      <c r="AM74" s="20"/>
      <c r="AN74" s="550"/>
      <c r="AO74" s="551"/>
      <c r="AP74" s="550">
        <f t="shared" si="5"/>
        <v>0</v>
      </c>
      <c r="AQ74" s="552"/>
      <c r="AR74" s="553"/>
      <c r="AT74" s="250"/>
      <c r="AU74" s="7"/>
      <c r="AV74" s="20"/>
      <c r="AW74" s="114"/>
      <c r="AX74" s="167"/>
      <c r="AY74" s="114">
        <f t="shared" si="6"/>
        <v>0</v>
      </c>
      <c r="AZ74" s="115"/>
      <c r="BA74" s="116"/>
      <c r="BC74" s="250"/>
      <c r="BD74" s="7"/>
      <c r="BE74" s="20"/>
      <c r="BF74" s="114"/>
      <c r="BG74" s="167"/>
      <c r="BH74" s="114">
        <f t="shared" si="7"/>
        <v>0</v>
      </c>
      <c r="BI74" s="115"/>
      <c r="BJ74" s="116"/>
    </row>
    <row r="75" spans="1:62" x14ac:dyDescent="0.25">
      <c r="A75" s="250"/>
      <c r="B75" s="7"/>
      <c r="C75" s="20"/>
      <c r="D75" s="386"/>
      <c r="E75" s="387"/>
      <c r="F75" s="386">
        <f t="shared" si="8"/>
        <v>0</v>
      </c>
      <c r="G75" s="384"/>
      <c r="H75" s="328"/>
      <c r="J75" s="250"/>
      <c r="K75" s="7"/>
      <c r="L75" s="20"/>
      <c r="M75" s="386"/>
      <c r="N75" s="387"/>
      <c r="O75" s="386">
        <f t="shared" si="9"/>
        <v>0</v>
      </c>
      <c r="P75" s="384"/>
      <c r="Q75" s="328"/>
      <c r="S75" s="250"/>
      <c r="T75" s="7"/>
      <c r="U75" s="20"/>
      <c r="V75" s="528"/>
      <c r="W75" s="529"/>
      <c r="X75" s="528">
        <f t="shared" si="10"/>
        <v>0</v>
      </c>
      <c r="Y75" s="530"/>
      <c r="Z75" s="230"/>
      <c r="AB75" s="250"/>
      <c r="AC75" s="7"/>
      <c r="AD75" s="20"/>
      <c r="AE75" s="386"/>
      <c r="AF75" s="387"/>
      <c r="AG75" s="386">
        <f t="shared" si="4"/>
        <v>0</v>
      </c>
      <c r="AH75" s="384"/>
      <c r="AI75" s="328"/>
      <c r="AK75" s="250"/>
      <c r="AL75" s="7"/>
      <c r="AM75" s="20"/>
      <c r="AN75" s="550"/>
      <c r="AO75" s="551"/>
      <c r="AP75" s="550">
        <f t="shared" si="5"/>
        <v>0</v>
      </c>
      <c r="AQ75" s="552"/>
      <c r="AR75" s="553"/>
      <c r="AT75" s="250"/>
      <c r="AU75" s="7"/>
      <c r="AV75" s="20"/>
      <c r="AW75" s="114"/>
      <c r="AX75" s="167"/>
      <c r="AY75" s="114">
        <f t="shared" si="6"/>
        <v>0</v>
      </c>
      <c r="AZ75" s="115"/>
      <c r="BA75" s="116"/>
      <c r="BC75" s="250"/>
      <c r="BD75" s="7"/>
      <c r="BE75" s="20"/>
      <c r="BF75" s="114"/>
      <c r="BG75" s="167"/>
      <c r="BH75" s="114">
        <f t="shared" si="7"/>
        <v>0</v>
      </c>
      <c r="BI75" s="115"/>
      <c r="BJ75" s="116"/>
    </row>
    <row r="76" spans="1:62" ht="15.75" thickBot="1" x14ac:dyDescent="0.3">
      <c r="A76" s="250"/>
      <c r="B76" s="21"/>
      <c r="C76" s="80"/>
      <c r="D76" s="208"/>
      <c r="E76" s="209"/>
      <c r="F76" s="199"/>
      <c r="G76" s="200"/>
      <c r="H76" s="101"/>
      <c r="J76" s="250"/>
      <c r="K76" s="21"/>
      <c r="L76" s="80"/>
      <c r="M76" s="208"/>
      <c r="N76" s="209"/>
      <c r="O76" s="199"/>
      <c r="P76" s="200"/>
      <c r="Q76" s="101"/>
      <c r="S76" s="250"/>
      <c r="T76" s="21"/>
      <c r="U76" s="80"/>
      <c r="V76" s="612"/>
      <c r="W76" s="265"/>
      <c r="X76" s="231"/>
      <c r="Y76" s="232"/>
      <c r="Z76" s="230"/>
      <c r="AB76" s="250"/>
      <c r="AC76" s="21"/>
      <c r="AD76" s="80"/>
      <c r="AE76" s="208"/>
      <c r="AF76" s="209"/>
      <c r="AG76" s="199"/>
      <c r="AH76" s="200"/>
      <c r="AI76" s="101"/>
      <c r="AK76" s="250"/>
      <c r="AL76" s="21"/>
      <c r="AM76" s="80"/>
      <c r="AN76" s="208"/>
      <c r="AO76" s="209"/>
      <c r="AP76" s="199"/>
      <c r="AQ76" s="200"/>
      <c r="AR76" s="101"/>
      <c r="AT76" s="250"/>
      <c r="AU76" s="21"/>
      <c r="AV76" s="80"/>
      <c r="AW76" s="208"/>
      <c r="AX76" s="209"/>
      <c r="AY76" s="199"/>
      <c r="AZ76" s="200"/>
      <c r="BA76" s="101"/>
      <c r="BC76" s="250"/>
      <c r="BD76" s="21"/>
      <c r="BE76" s="80"/>
      <c r="BF76" s="208"/>
      <c r="BG76" s="209"/>
      <c r="BH76" s="199"/>
      <c r="BI76" s="200"/>
      <c r="BJ76" s="101"/>
    </row>
    <row r="77" spans="1:62" x14ac:dyDescent="0.25">
      <c r="C77" s="82">
        <f>SUM(C9:C76)</f>
        <v>661</v>
      </c>
      <c r="D77" s="9">
        <f>SUM(D9:D76)</f>
        <v>19025.510000000002</v>
      </c>
      <c r="F77" s="9">
        <f>SUM(F9:F76)</f>
        <v>19025.510000000002</v>
      </c>
      <c r="L77" s="82">
        <f>SUM(L9:L76)</f>
        <v>669</v>
      </c>
      <c r="M77" s="9">
        <f>SUM(M9:M76)</f>
        <v>19672.450000000004</v>
      </c>
      <c r="O77" s="9">
        <f>SUM(O9:O76)</f>
        <v>19672.450000000004</v>
      </c>
      <c r="U77" s="82">
        <f>SUM(U9:U76)</f>
        <v>599</v>
      </c>
      <c r="V77" s="9">
        <f>SUM(V9:V76)</f>
        <v>16605.539999999997</v>
      </c>
      <c r="X77" s="9">
        <f>SUM(X9:X76)</f>
        <v>16505.539999999997</v>
      </c>
      <c r="AD77" s="82">
        <f>SUM(AD9:AD76)</f>
        <v>612</v>
      </c>
      <c r="AE77" s="9">
        <f>SUM(AE9:AE76)</f>
        <v>18533.2</v>
      </c>
      <c r="AG77" s="9">
        <f>SUM(AG9:AG76)</f>
        <v>18533.2</v>
      </c>
      <c r="AM77" s="82"/>
      <c r="AN77" s="9">
        <f>SUM(AN9:AN76)</f>
        <v>6993.3799999999992</v>
      </c>
      <c r="AP77" s="9">
        <f>SUM(AP9:AP76)</f>
        <v>6993.3799999999992</v>
      </c>
      <c r="AV77" s="82">
        <f>SUM(AV9:AV76)</f>
        <v>620</v>
      </c>
      <c r="AW77" s="9">
        <f>SUM(AW9:AW76)</f>
        <v>18577.8</v>
      </c>
      <c r="AY77" s="9">
        <f>SUM(AY9:AY76)</f>
        <v>18568.8</v>
      </c>
      <c r="BE77" s="82">
        <f>SUM(BE9:BE76)</f>
        <v>0</v>
      </c>
      <c r="BF77" s="9">
        <f>SUM(BF9:BF76)</f>
        <v>0</v>
      </c>
      <c r="BH77" s="9">
        <f>SUM(BH9:BH76)</f>
        <v>0</v>
      </c>
    </row>
    <row r="79" spans="1:62" ht="15.75" thickBot="1" x14ac:dyDescent="0.3"/>
    <row r="80" spans="1:62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-41</v>
      </c>
      <c r="V80" s="61" t="s">
        <v>4</v>
      </c>
      <c r="W80" s="613">
        <f>X6+X5-U77</f>
        <v>0</v>
      </c>
      <c r="AE80" s="61" t="s">
        <v>4</v>
      </c>
      <c r="AF80" s="93">
        <f>AG7+AG6+AG5+AG4-AD77</f>
        <v>0</v>
      </c>
      <c r="AN80" s="61" t="s">
        <v>4</v>
      </c>
      <c r="AO80" s="93">
        <f>AP5+AP6</f>
        <v>215</v>
      </c>
      <c r="AW80" s="61" t="s">
        <v>4</v>
      </c>
      <c r="AX80" s="93">
        <f>AY7+AY6+AY5+AY4-AV77</f>
        <v>-9</v>
      </c>
      <c r="BF80" s="61" t="s">
        <v>4</v>
      </c>
      <c r="BG80" s="93">
        <f>BH7+BH6+BH5+BH4-BE77</f>
        <v>595</v>
      </c>
    </row>
    <row r="81" spans="3:61" ht="15.75" thickBot="1" x14ac:dyDescent="0.3"/>
    <row r="82" spans="3:61" ht="15.75" thickBot="1" x14ac:dyDescent="0.3">
      <c r="C82" s="757" t="s">
        <v>11</v>
      </c>
      <c r="D82" s="758"/>
      <c r="E82" s="95">
        <f>E5+E6-F77+E7</f>
        <v>-245.44000000000233</v>
      </c>
      <c r="F82" s="124"/>
      <c r="G82" s="16"/>
      <c r="L82" s="757" t="s">
        <v>11</v>
      </c>
      <c r="M82" s="758"/>
      <c r="N82" s="95">
        <f>N5+N6-O77+N7</f>
        <v>-687.54000000000451</v>
      </c>
      <c r="O82" s="124"/>
      <c r="P82" s="16"/>
      <c r="U82" s="757" t="s">
        <v>11</v>
      </c>
      <c r="V82" s="758"/>
      <c r="W82" s="95">
        <f>W5+W6-X77+W7</f>
        <v>3.637978807091713E-12</v>
      </c>
      <c r="X82" s="124"/>
      <c r="Y82" s="16"/>
      <c r="AD82" s="757" t="s">
        <v>11</v>
      </c>
      <c r="AE82" s="758"/>
      <c r="AF82" s="95">
        <f>AF5+AF6-AG77+AF7</f>
        <v>0</v>
      </c>
      <c r="AG82" s="124"/>
      <c r="AH82" s="16"/>
      <c r="AM82" s="757" t="s">
        <v>11</v>
      </c>
      <c r="AN82" s="758"/>
      <c r="AO82" s="95">
        <f>AO5+AO6-AP77+AO7</f>
        <v>-674.33999999999924</v>
      </c>
      <c r="AP82" s="124"/>
      <c r="AQ82" s="16"/>
      <c r="AV82" s="757" t="s">
        <v>11</v>
      </c>
      <c r="AW82" s="758"/>
      <c r="AX82" s="95">
        <f>AX5+AX6-AY77+AX7</f>
        <v>438.40000000000146</v>
      </c>
      <c r="AY82" s="124"/>
      <c r="AZ82" s="16"/>
      <c r="BE82" s="757" t="s">
        <v>11</v>
      </c>
      <c r="BF82" s="758"/>
      <c r="BG82" s="95">
        <f>BG5+BG6-BH77+BG7</f>
        <v>17906.2</v>
      </c>
      <c r="BH82" s="124"/>
      <c r="BI82" s="16"/>
    </row>
  </sheetData>
  <mergeCells count="14">
    <mergeCell ref="BC1:BI1"/>
    <mergeCell ref="BE82:BF82"/>
    <mergeCell ref="A1:G1"/>
    <mergeCell ref="C82:D82"/>
    <mergeCell ref="J1:P1"/>
    <mergeCell ref="L82:M82"/>
    <mergeCell ref="S1:Y1"/>
    <mergeCell ref="U82:V82"/>
    <mergeCell ref="AT1:AZ1"/>
    <mergeCell ref="AV82:AW82"/>
    <mergeCell ref="AK1:AQ1"/>
    <mergeCell ref="AM82:AN82"/>
    <mergeCell ref="AB1:AH1"/>
    <mergeCell ref="AD82:AE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2"/>
  <sheetViews>
    <sheetView workbookViewId="0">
      <pane ySplit="8" topLeftCell="A42" activePane="bottomLeft" state="frozen"/>
      <selection pane="bottomLeft" activeCell="I48" sqref="I4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59" t="s">
        <v>260</v>
      </c>
      <c r="B1" s="759"/>
      <c r="C1" s="759"/>
      <c r="D1" s="759"/>
      <c r="E1" s="759"/>
      <c r="F1" s="759"/>
      <c r="G1" s="759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48"/>
      <c r="B4" s="248"/>
      <c r="C4" s="205"/>
      <c r="D4" s="248"/>
      <c r="E4" s="248"/>
      <c r="F4" s="248"/>
      <c r="G4" s="371"/>
      <c r="H4" s="619"/>
    </row>
    <row r="5" spans="1:8" ht="15.75" x14ac:dyDescent="0.25">
      <c r="A5" s="16"/>
      <c r="B5" s="15" t="s">
        <v>55</v>
      </c>
      <c r="C5" s="402"/>
      <c r="D5" s="419">
        <v>11127.41</v>
      </c>
      <c r="E5" s="153">
        <v>285.10000000000002</v>
      </c>
      <c r="F5" s="104">
        <v>17</v>
      </c>
      <c r="G5" s="16"/>
      <c r="H5" s="620"/>
    </row>
    <row r="6" spans="1:8" x14ac:dyDescent="0.25">
      <c r="A6" s="16" t="s">
        <v>44</v>
      </c>
      <c r="B6" s="427" t="s">
        <v>57</v>
      </c>
      <c r="C6" s="337"/>
      <c r="D6" s="364">
        <v>41990</v>
      </c>
      <c r="E6" s="153">
        <v>11110</v>
      </c>
      <c r="F6" s="104">
        <v>566</v>
      </c>
      <c r="G6" s="64">
        <f>F77</f>
        <v>11865.359999999997</v>
      </c>
      <c r="H6" s="10">
        <f>E6-G6+E7+E5</f>
        <v>-470.25999999999692</v>
      </c>
    </row>
    <row r="7" spans="1:8" ht="15.75" thickBot="1" x14ac:dyDescent="0.3">
      <c r="A7" s="16"/>
      <c r="B7" s="26"/>
      <c r="C7" s="337"/>
      <c r="D7" s="363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20</v>
      </c>
      <c r="D9" s="386">
        <v>346.55</v>
      </c>
      <c r="E9" s="387">
        <v>42075</v>
      </c>
      <c r="F9" s="386">
        <f t="shared" ref="F9:F11" si="0">D9</f>
        <v>346.55</v>
      </c>
      <c r="G9" s="384" t="s">
        <v>92</v>
      </c>
      <c r="H9" s="328">
        <v>50</v>
      </c>
    </row>
    <row r="10" spans="1:8" x14ac:dyDescent="0.25">
      <c r="A10" s="286"/>
      <c r="B10" s="2"/>
      <c r="C10" s="20">
        <v>10</v>
      </c>
      <c r="D10" s="386">
        <v>183.3</v>
      </c>
      <c r="E10" s="387">
        <v>42076</v>
      </c>
      <c r="F10" s="386">
        <f t="shared" si="0"/>
        <v>183.3</v>
      </c>
      <c r="G10" s="384" t="s">
        <v>93</v>
      </c>
      <c r="H10" s="328">
        <v>50</v>
      </c>
    </row>
    <row r="11" spans="1:8" x14ac:dyDescent="0.25">
      <c r="A11" s="287"/>
      <c r="B11" s="2"/>
      <c r="C11" s="20">
        <v>10</v>
      </c>
      <c r="D11" s="386">
        <v>193.55</v>
      </c>
      <c r="E11" s="387">
        <v>42081</v>
      </c>
      <c r="F11" s="386">
        <f t="shared" si="0"/>
        <v>193.55</v>
      </c>
      <c r="G11" s="384" t="s">
        <v>94</v>
      </c>
      <c r="H11" s="328">
        <v>50</v>
      </c>
    </row>
    <row r="12" spans="1:8" x14ac:dyDescent="0.25">
      <c r="A12" s="147" t="s">
        <v>34</v>
      </c>
      <c r="B12" s="2"/>
      <c r="C12" s="20">
        <v>30</v>
      </c>
      <c r="D12" s="386">
        <v>496.82</v>
      </c>
      <c r="E12" s="387">
        <v>42083</v>
      </c>
      <c r="F12" s="386">
        <f t="shared" ref="F12:F72" si="1">D12</f>
        <v>496.82</v>
      </c>
      <c r="G12" s="384" t="s">
        <v>95</v>
      </c>
      <c r="H12" s="328">
        <v>50</v>
      </c>
    </row>
    <row r="13" spans="1:8" x14ac:dyDescent="0.25">
      <c r="A13" s="288"/>
      <c r="B13" s="2"/>
      <c r="C13" s="20">
        <v>5</v>
      </c>
      <c r="D13" s="386">
        <v>81.66</v>
      </c>
      <c r="E13" s="387">
        <v>42086</v>
      </c>
      <c r="F13" s="386">
        <f t="shared" si="1"/>
        <v>81.66</v>
      </c>
      <c r="G13" s="384" t="s">
        <v>96</v>
      </c>
      <c r="H13" s="328">
        <v>50</v>
      </c>
    </row>
    <row r="14" spans="1:8" x14ac:dyDescent="0.25">
      <c r="A14" s="181"/>
      <c r="B14" s="2"/>
      <c r="C14" s="20">
        <v>20</v>
      </c>
      <c r="D14" s="386">
        <v>439.81</v>
      </c>
      <c r="E14" s="387">
        <v>42091</v>
      </c>
      <c r="F14" s="386">
        <f t="shared" si="1"/>
        <v>439.81</v>
      </c>
      <c r="G14" s="384" t="s">
        <v>97</v>
      </c>
      <c r="H14" s="328">
        <v>50</v>
      </c>
    </row>
    <row r="15" spans="1:8" x14ac:dyDescent="0.25">
      <c r="A15" s="59"/>
      <c r="B15" s="2"/>
      <c r="C15" s="20">
        <v>30</v>
      </c>
      <c r="D15" s="386">
        <v>418.25</v>
      </c>
      <c r="E15" s="387">
        <v>42091</v>
      </c>
      <c r="F15" s="386">
        <f t="shared" si="1"/>
        <v>418.25</v>
      </c>
      <c r="G15" s="384" t="s">
        <v>98</v>
      </c>
      <c r="H15" s="328">
        <v>50</v>
      </c>
    </row>
    <row r="16" spans="1:8" x14ac:dyDescent="0.25">
      <c r="B16" s="2"/>
      <c r="C16" s="20">
        <v>10</v>
      </c>
      <c r="D16" s="412">
        <v>204.46</v>
      </c>
      <c r="E16" s="499">
        <v>42096</v>
      </c>
      <c r="F16" s="412">
        <f t="shared" si="1"/>
        <v>204.46</v>
      </c>
      <c r="G16" s="500" t="s">
        <v>100</v>
      </c>
      <c r="H16" s="501">
        <v>50</v>
      </c>
    </row>
    <row r="17" spans="1:8" x14ac:dyDescent="0.25">
      <c r="A17" s="250"/>
      <c r="B17" s="7"/>
      <c r="C17" s="20">
        <v>5</v>
      </c>
      <c r="D17" s="412">
        <v>112.78</v>
      </c>
      <c r="E17" s="499">
        <v>42098</v>
      </c>
      <c r="F17" s="412">
        <f t="shared" si="1"/>
        <v>112.78</v>
      </c>
      <c r="G17" s="500" t="s">
        <v>101</v>
      </c>
      <c r="H17" s="501">
        <v>50</v>
      </c>
    </row>
    <row r="18" spans="1:8" x14ac:dyDescent="0.25">
      <c r="A18" s="250"/>
      <c r="B18" s="7"/>
      <c r="C18" s="20">
        <v>21</v>
      </c>
      <c r="D18" s="412">
        <v>467.41</v>
      </c>
      <c r="E18" s="499">
        <v>42108</v>
      </c>
      <c r="F18" s="412">
        <f t="shared" si="1"/>
        <v>467.41</v>
      </c>
      <c r="G18" s="500" t="s">
        <v>105</v>
      </c>
      <c r="H18" s="501">
        <v>50</v>
      </c>
    </row>
    <row r="19" spans="1:8" x14ac:dyDescent="0.25">
      <c r="A19" s="250"/>
      <c r="B19" s="7"/>
      <c r="C19" s="20">
        <v>5</v>
      </c>
      <c r="D19" s="412">
        <v>88.7</v>
      </c>
      <c r="E19" s="499">
        <v>42109</v>
      </c>
      <c r="F19" s="412">
        <f t="shared" si="1"/>
        <v>88.7</v>
      </c>
      <c r="G19" s="500" t="s">
        <v>106</v>
      </c>
      <c r="H19" s="501">
        <v>50</v>
      </c>
    </row>
    <row r="20" spans="1:8" x14ac:dyDescent="0.25">
      <c r="A20" s="250"/>
      <c r="B20" s="7"/>
      <c r="C20" s="20">
        <v>10</v>
      </c>
      <c r="D20" s="412">
        <v>189.14</v>
      </c>
      <c r="E20" s="499">
        <v>42111</v>
      </c>
      <c r="F20" s="412">
        <f t="shared" si="1"/>
        <v>189.14</v>
      </c>
      <c r="G20" s="500" t="s">
        <v>107</v>
      </c>
      <c r="H20" s="501">
        <v>50</v>
      </c>
    </row>
    <row r="21" spans="1:8" x14ac:dyDescent="0.25">
      <c r="A21" s="250"/>
      <c r="B21" s="7"/>
      <c r="C21" s="20">
        <v>10</v>
      </c>
      <c r="D21" s="412">
        <v>188.22</v>
      </c>
      <c r="E21" s="499">
        <v>42112</v>
      </c>
      <c r="F21" s="412">
        <f t="shared" si="1"/>
        <v>188.22</v>
      </c>
      <c r="G21" s="500" t="s">
        <v>108</v>
      </c>
      <c r="H21" s="501">
        <v>50</v>
      </c>
    </row>
    <row r="22" spans="1:8" x14ac:dyDescent="0.25">
      <c r="A22" s="251"/>
      <c r="B22" s="7"/>
      <c r="C22" s="20">
        <v>10</v>
      </c>
      <c r="D22" s="412">
        <v>199.1</v>
      </c>
      <c r="E22" s="499">
        <v>42118</v>
      </c>
      <c r="F22" s="412">
        <f t="shared" si="1"/>
        <v>199.1</v>
      </c>
      <c r="G22" s="500" t="s">
        <v>110</v>
      </c>
      <c r="H22" s="501">
        <v>50</v>
      </c>
    </row>
    <row r="23" spans="1:8" x14ac:dyDescent="0.25">
      <c r="A23" s="250"/>
      <c r="B23" s="7"/>
      <c r="C23" s="20">
        <v>10</v>
      </c>
      <c r="D23" s="100">
        <v>234.04</v>
      </c>
      <c r="E23" s="185">
        <v>42125</v>
      </c>
      <c r="F23" s="100">
        <f t="shared" ref="F23:F35" si="2">D23</f>
        <v>234.04</v>
      </c>
      <c r="G23" s="111" t="s">
        <v>122</v>
      </c>
      <c r="H23" s="101">
        <v>50</v>
      </c>
    </row>
    <row r="24" spans="1:8" x14ac:dyDescent="0.25">
      <c r="A24" s="250"/>
      <c r="B24" s="7"/>
      <c r="C24" s="20">
        <v>20</v>
      </c>
      <c r="D24" s="100">
        <v>467.38</v>
      </c>
      <c r="E24" s="185">
        <v>42129</v>
      </c>
      <c r="F24" s="100">
        <f t="shared" si="2"/>
        <v>467.38</v>
      </c>
      <c r="G24" s="111" t="s">
        <v>126</v>
      </c>
      <c r="H24" s="101">
        <v>50</v>
      </c>
    </row>
    <row r="25" spans="1:8" x14ac:dyDescent="0.25">
      <c r="A25" s="250"/>
      <c r="B25" s="7"/>
      <c r="C25" s="20">
        <v>2</v>
      </c>
      <c r="D25" s="100">
        <v>51.79</v>
      </c>
      <c r="E25" s="185">
        <v>42132</v>
      </c>
      <c r="F25" s="100">
        <f t="shared" si="2"/>
        <v>51.79</v>
      </c>
      <c r="G25" s="111" t="s">
        <v>129</v>
      </c>
      <c r="H25" s="101">
        <v>50</v>
      </c>
    </row>
    <row r="26" spans="1:8" x14ac:dyDescent="0.25">
      <c r="A26" s="250"/>
      <c r="B26" s="7"/>
      <c r="C26" s="20">
        <v>20</v>
      </c>
      <c r="D26" s="100">
        <v>422.01</v>
      </c>
      <c r="E26" s="185">
        <v>42133</v>
      </c>
      <c r="F26" s="100">
        <f t="shared" si="2"/>
        <v>422.01</v>
      </c>
      <c r="G26" s="111" t="s">
        <v>130</v>
      </c>
      <c r="H26" s="101">
        <v>50</v>
      </c>
    </row>
    <row r="27" spans="1:8" x14ac:dyDescent="0.25">
      <c r="A27" s="250"/>
      <c r="B27" s="7"/>
      <c r="C27" s="20">
        <v>25</v>
      </c>
      <c r="D27" s="100">
        <v>481.4</v>
      </c>
      <c r="E27" s="185">
        <v>42136</v>
      </c>
      <c r="F27" s="100">
        <f t="shared" si="2"/>
        <v>481.4</v>
      </c>
      <c r="G27" s="111" t="s">
        <v>132</v>
      </c>
      <c r="H27" s="101">
        <v>40</v>
      </c>
    </row>
    <row r="28" spans="1:8" x14ac:dyDescent="0.25">
      <c r="A28" s="250"/>
      <c r="B28" s="7"/>
      <c r="C28" s="20">
        <v>12</v>
      </c>
      <c r="D28" s="100">
        <v>232.45</v>
      </c>
      <c r="E28" s="185">
        <v>42136</v>
      </c>
      <c r="F28" s="100">
        <f t="shared" si="2"/>
        <v>232.45</v>
      </c>
      <c r="G28" s="111" t="s">
        <v>133</v>
      </c>
      <c r="H28" s="101">
        <v>40</v>
      </c>
    </row>
    <row r="29" spans="1:8" x14ac:dyDescent="0.25">
      <c r="A29" s="250"/>
      <c r="B29" s="7"/>
      <c r="C29" s="20">
        <v>40</v>
      </c>
      <c r="D29" s="100">
        <v>713.9</v>
      </c>
      <c r="E29" s="185">
        <v>42137</v>
      </c>
      <c r="F29" s="100">
        <f t="shared" si="2"/>
        <v>713.9</v>
      </c>
      <c r="G29" s="111" t="s">
        <v>135</v>
      </c>
      <c r="H29" s="101">
        <v>40</v>
      </c>
    </row>
    <row r="30" spans="1:8" x14ac:dyDescent="0.25">
      <c r="A30" s="250"/>
      <c r="B30" s="7"/>
      <c r="C30" s="20">
        <v>10</v>
      </c>
      <c r="D30" s="100">
        <v>243.5</v>
      </c>
      <c r="E30" s="185">
        <v>42137</v>
      </c>
      <c r="F30" s="100">
        <f t="shared" si="2"/>
        <v>243.5</v>
      </c>
      <c r="G30" s="111" t="s">
        <v>136</v>
      </c>
      <c r="H30" s="101">
        <v>40</v>
      </c>
    </row>
    <row r="31" spans="1:8" x14ac:dyDescent="0.25">
      <c r="A31" s="250"/>
      <c r="B31" s="7"/>
      <c r="C31" s="20">
        <v>10</v>
      </c>
      <c r="D31" s="100">
        <v>215.05</v>
      </c>
      <c r="E31" s="185">
        <v>42140</v>
      </c>
      <c r="F31" s="100">
        <f t="shared" si="2"/>
        <v>215.05</v>
      </c>
      <c r="G31" s="111" t="s">
        <v>141</v>
      </c>
      <c r="H31" s="101">
        <v>40</v>
      </c>
    </row>
    <row r="32" spans="1:8" x14ac:dyDescent="0.25">
      <c r="A32" s="250"/>
      <c r="B32" s="7"/>
      <c r="C32" s="20">
        <v>10</v>
      </c>
      <c r="D32" s="100">
        <v>200.62</v>
      </c>
      <c r="E32" s="185">
        <v>42142</v>
      </c>
      <c r="F32" s="100">
        <f t="shared" si="2"/>
        <v>200.62</v>
      </c>
      <c r="G32" s="111" t="s">
        <v>143</v>
      </c>
      <c r="H32" s="101">
        <v>40</v>
      </c>
    </row>
    <row r="33" spans="1:8" x14ac:dyDescent="0.25">
      <c r="A33" s="250"/>
      <c r="B33" s="7"/>
      <c r="C33" s="20">
        <v>10</v>
      </c>
      <c r="D33" s="100">
        <v>235.32</v>
      </c>
      <c r="E33" s="185">
        <v>42146</v>
      </c>
      <c r="F33" s="100">
        <f t="shared" si="2"/>
        <v>235.32</v>
      </c>
      <c r="G33" s="111" t="s">
        <v>150</v>
      </c>
      <c r="H33" s="101">
        <v>40</v>
      </c>
    </row>
    <row r="34" spans="1:8" x14ac:dyDescent="0.25">
      <c r="A34" s="250"/>
      <c r="B34" s="7"/>
      <c r="C34" s="20">
        <v>5</v>
      </c>
      <c r="D34" s="100">
        <v>119.04</v>
      </c>
      <c r="E34" s="185">
        <v>42153</v>
      </c>
      <c r="F34" s="100">
        <f t="shared" si="2"/>
        <v>119.04</v>
      </c>
      <c r="G34" s="111" t="s">
        <v>158</v>
      </c>
      <c r="H34" s="101">
        <v>40</v>
      </c>
    </row>
    <row r="35" spans="1:8" x14ac:dyDescent="0.25">
      <c r="A35" s="250" t="s">
        <v>22</v>
      </c>
      <c r="B35" s="7"/>
      <c r="C35" s="20">
        <v>30</v>
      </c>
      <c r="D35" s="100">
        <v>517.79</v>
      </c>
      <c r="E35" s="185">
        <v>42154</v>
      </c>
      <c r="F35" s="100">
        <f t="shared" si="2"/>
        <v>517.79</v>
      </c>
      <c r="G35" s="111" t="s">
        <v>159</v>
      </c>
      <c r="H35" s="101">
        <v>40</v>
      </c>
    </row>
    <row r="36" spans="1:8" x14ac:dyDescent="0.25">
      <c r="A36" s="251"/>
      <c r="B36" s="7"/>
      <c r="C36" s="20">
        <v>10</v>
      </c>
      <c r="D36" s="528">
        <v>181.61</v>
      </c>
      <c r="E36" s="529">
        <v>42171</v>
      </c>
      <c r="F36" s="528">
        <f t="shared" si="1"/>
        <v>181.61</v>
      </c>
      <c r="G36" s="530" t="s">
        <v>186</v>
      </c>
      <c r="H36" s="230">
        <v>47</v>
      </c>
    </row>
    <row r="37" spans="1:8" x14ac:dyDescent="0.25">
      <c r="A37" s="250"/>
      <c r="B37" s="7"/>
      <c r="C37" s="20">
        <v>30</v>
      </c>
      <c r="D37" s="528">
        <v>591.84</v>
      </c>
      <c r="E37" s="529">
        <v>42174</v>
      </c>
      <c r="F37" s="528">
        <f t="shared" si="1"/>
        <v>591.84</v>
      </c>
      <c r="G37" s="530" t="s">
        <v>190</v>
      </c>
      <c r="H37" s="230">
        <v>47</v>
      </c>
    </row>
    <row r="38" spans="1:8" x14ac:dyDescent="0.25">
      <c r="A38" s="250"/>
      <c r="B38" s="7"/>
      <c r="C38" s="20">
        <v>30</v>
      </c>
      <c r="D38" s="528">
        <v>809.93</v>
      </c>
      <c r="E38" s="529">
        <v>42181</v>
      </c>
      <c r="F38" s="528">
        <f t="shared" si="1"/>
        <v>809.93</v>
      </c>
      <c r="G38" s="530" t="s">
        <v>204</v>
      </c>
      <c r="H38" s="230">
        <v>47</v>
      </c>
    </row>
    <row r="39" spans="1:8" x14ac:dyDescent="0.25">
      <c r="A39" s="250"/>
      <c r="B39" s="7"/>
      <c r="C39" s="20">
        <v>10</v>
      </c>
      <c r="D39" s="550">
        <v>196.05</v>
      </c>
      <c r="E39" s="551">
        <v>42187</v>
      </c>
      <c r="F39" s="550">
        <f t="shared" si="1"/>
        <v>196.05</v>
      </c>
      <c r="G39" s="552" t="s">
        <v>222</v>
      </c>
      <c r="H39" s="553">
        <v>47</v>
      </c>
    </row>
    <row r="40" spans="1:8" x14ac:dyDescent="0.25">
      <c r="A40" s="250"/>
      <c r="B40" s="7"/>
      <c r="C40" s="20">
        <v>10</v>
      </c>
      <c r="D40" s="550">
        <v>206.15</v>
      </c>
      <c r="E40" s="551">
        <v>42195</v>
      </c>
      <c r="F40" s="550">
        <f t="shared" si="1"/>
        <v>206.15</v>
      </c>
      <c r="G40" s="552" t="s">
        <v>232</v>
      </c>
      <c r="H40" s="553">
        <v>47</v>
      </c>
    </row>
    <row r="41" spans="1:8" x14ac:dyDescent="0.25">
      <c r="A41" s="250"/>
      <c r="B41" s="7"/>
      <c r="C41" s="20">
        <v>5</v>
      </c>
      <c r="D41" s="550">
        <v>97.98</v>
      </c>
      <c r="E41" s="551">
        <v>42198</v>
      </c>
      <c r="F41" s="550">
        <f t="shared" si="1"/>
        <v>97.98</v>
      </c>
      <c r="G41" s="552" t="s">
        <v>236</v>
      </c>
      <c r="H41" s="553">
        <v>47</v>
      </c>
    </row>
    <row r="42" spans="1:8" x14ac:dyDescent="0.25">
      <c r="A42" s="250"/>
      <c r="B42" s="7"/>
      <c r="C42" s="20">
        <v>30</v>
      </c>
      <c r="D42" s="550">
        <v>533.48</v>
      </c>
      <c r="E42" s="551">
        <v>42205</v>
      </c>
      <c r="F42" s="550">
        <f t="shared" si="1"/>
        <v>533.48</v>
      </c>
      <c r="G42" s="552" t="s">
        <v>246</v>
      </c>
      <c r="H42" s="553">
        <v>47</v>
      </c>
    </row>
    <row r="43" spans="1:8" x14ac:dyDescent="0.25">
      <c r="A43" s="250"/>
      <c r="B43" s="7"/>
      <c r="C43" s="20">
        <v>5</v>
      </c>
      <c r="D43" s="550">
        <v>95.09</v>
      </c>
      <c r="E43" s="551">
        <v>42205</v>
      </c>
      <c r="F43" s="550">
        <f t="shared" si="1"/>
        <v>95.09</v>
      </c>
      <c r="G43" s="552" t="s">
        <v>247</v>
      </c>
      <c r="H43" s="553">
        <v>47</v>
      </c>
    </row>
    <row r="44" spans="1:8" x14ac:dyDescent="0.25">
      <c r="A44" s="250"/>
      <c r="B44" s="7"/>
      <c r="C44" s="20">
        <v>30</v>
      </c>
      <c r="D44" s="100">
        <v>534.32000000000005</v>
      </c>
      <c r="E44" s="185">
        <v>42219</v>
      </c>
      <c r="F44" s="100">
        <f t="shared" si="1"/>
        <v>534.32000000000005</v>
      </c>
      <c r="G44" s="111" t="s">
        <v>286</v>
      </c>
      <c r="H44" s="101">
        <v>47</v>
      </c>
    </row>
    <row r="45" spans="1:8" x14ac:dyDescent="0.25">
      <c r="A45" s="250"/>
      <c r="B45" s="7"/>
      <c r="C45" s="20">
        <v>5</v>
      </c>
      <c r="D45" s="100">
        <v>98.45</v>
      </c>
      <c r="E45" s="185">
        <v>42223</v>
      </c>
      <c r="F45" s="100">
        <f t="shared" si="1"/>
        <v>98.45</v>
      </c>
      <c r="G45" s="111" t="s">
        <v>294</v>
      </c>
      <c r="H45" s="101">
        <v>47</v>
      </c>
    </row>
    <row r="46" spans="1:8" x14ac:dyDescent="0.25">
      <c r="A46" s="250"/>
      <c r="B46" s="7"/>
      <c r="C46" s="20">
        <v>37</v>
      </c>
      <c r="D46" s="100">
        <v>776.42</v>
      </c>
      <c r="E46" s="185">
        <v>42235</v>
      </c>
      <c r="F46" s="100">
        <f t="shared" si="1"/>
        <v>776.42</v>
      </c>
      <c r="G46" s="111" t="s">
        <v>312</v>
      </c>
      <c r="H46" s="101">
        <v>47</v>
      </c>
    </row>
    <row r="47" spans="1:8" x14ac:dyDescent="0.25">
      <c r="A47" s="250"/>
      <c r="B47" s="7"/>
      <c r="C47" s="20"/>
      <c r="D47" s="629"/>
      <c r="E47" s="643"/>
      <c r="F47" s="629"/>
      <c r="G47" s="632"/>
      <c r="H47" s="261"/>
    </row>
    <row r="48" spans="1:8" x14ac:dyDescent="0.25">
      <c r="A48" s="250"/>
      <c r="B48" s="7"/>
      <c r="C48" s="20"/>
      <c r="D48" s="629"/>
      <c r="E48" s="643"/>
      <c r="F48" s="629"/>
      <c r="G48" s="632"/>
      <c r="H48" s="261"/>
    </row>
    <row r="49" spans="1:8" x14ac:dyDescent="0.25">
      <c r="A49" s="250"/>
      <c r="B49" s="7"/>
      <c r="C49" s="20"/>
      <c r="D49" s="629"/>
      <c r="E49" s="643"/>
      <c r="F49" s="629"/>
      <c r="G49" s="632"/>
      <c r="H49" s="261"/>
    </row>
    <row r="50" spans="1:8" x14ac:dyDescent="0.25">
      <c r="A50" s="250"/>
      <c r="B50" s="7"/>
      <c r="C50" s="20"/>
      <c r="D50" s="629"/>
      <c r="E50" s="643"/>
      <c r="F50" s="629">
        <f t="shared" si="1"/>
        <v>0</v>
      </c>
      <c r="G50" s="632"/>
      <c r="H50" s="261"/>
    </row>
    <row r="51" spans="1:8" x14ac:dyDescent="0.25">
      <c r="A51" s="250"/>
      <c r="B51" s="7"/>
      <c r="C51" s="20"/>
      <c r="D51" s="629"/>
      <c r="E51" s="643"/>
      <c r="F51" s="629">
        <f t="shared" si="1"/>
        <v>0</v>
      </c>
      <c r="G51" s="632"/>
      <c r="H51" s="261"/>
    </row>
    <row r="52" spans="1:8" x14ac:dyDescent="0.25">
      <c r="A52" s="250"/>
      <c r="B52" s="7"/>
      <c r="C52" s="20"/>
      <c r="D52" s="629"/>
      <c r="E52" s="643"/>
      <c r="F52" s="629">
        <f t="shared" si="1"/>
        <v>0</v>
      </c>
      <c r="G52" s="632"/>
      <c r="H52" s="261"/>
    </row>
    <row r="53" spans="1:8" x14ac:dyDescent="0.25">
      <c r="A53" s="250"/>
      <c r="B53" s="7"/>
      <c r="C53" s="20"/>
      <c r="D53" s="629"/>
      <c r="E53" s="643"/>
      <c r="F53" s="629">
        <f t="shared" si="1"/>
        <v>0</v>
      </c>
      <c r="G53" s="632"/>
      <c r="H53" s="261"/>
    </row>
    <row r="54" spans="1:8" x14ac:dyDescent="0.25">
      <c r="A54" s="250"/>
      <c r="B54" s="7"/>
      <c r="C54" s="20"/>
      <c r="D54" s="629"/>
      <c r="E54" s="643"/>
      <c r="F54" s="629">
        <f t="shared" si="1"/>
        <v>0</v>
      </c>
      <c r="G54" s="632"/>
      <c r="H54" s="261"/>
    </row>
    <row r="55" spans="1:8" x14ac:dyDescent="0.25">
      <c r="A55" s="250"/>
      <c r="B55" s="7"/>
      <c r="C55" s="20"/>
      <c r="D55" s="629"/>
      <c r="E55" s="643"/>
      <c r="F55" s="629">
        <f t="shared" si="1"/>
        <v>0</v>
      </c>
      <c r="G55" s="632"/>
      <c r="H55" s="261"/>
    </row>
    <row r="56" spans="1:8" x14ac:dyDescent="0.25">
      <c r="A56" s="250"/>
      <c r="B56" s="7"/>
      <c r="C56" s="20"/>
      <c r="D56" s="629"/>
      <c r="E56" s="643"/>
      <c r="F56" s="629">
        <f t="shared" si="1"/>
        <v>0</v>
      </c>
      <c r="G56" s="632"/>
      <c r="H56" s="261"/>
    </row>
    <row r="57" spans="1:8" x14ac:dyDescent="0.25">
      <c r="A57" s="250"/>
      <c r="B57" s="7"/>
      <c r="C57" s="20"/>
      <c r="D57" s="629"/>
      <c r="E57" s="643"/>
      <c r="F57" s="629">
        <f t="shared" si="1"/>
        <v>0</v>
      </c>
      <c r="G57" s="632"/>
      <c r="H57" s="261"/>
    </row>
    <row r="58" spans="1:8" x14ac:dyDescent="0.25">
      <c r="A58" s="250"/>
      <c r="B58" s="7"/>
      <c r="C58" s="20"/>
      <c r="D58" s="629"/>
      <c r="E58" s="643"/>
      <c r="F58" s="629">
        <f t="shared" si="1"/>
        <v>0</v>
      </c>
      <c r="G58" s="632"/>
      <c r="H58" s="261"/>
    </row>
    <row r="59" spans="1:8" x14ac:dyDescent="0.25">
      <c r="A59" s="250"/>
      <c r="B59" s="7"/>
      <c r="C59" s="20"/>
      <c r="D59" s="629"/>
      <c r="E59" s="643"/>
      <c r="F59" s="629">
        <f t="shared" si="1"/>
        <v>0</v>
      </c>
      <c r="G59" s="632"/>
      <c r="H59" s="261"/>
    </row>
    <row r="60" spans="1:8" x14ac:dyDescent="0.25">
      <c r="A60" s="250"/>
      <c r="B60" s="7"/>
      <c r="C60" s="20"/>
      <c r="D60" s="629"/>
      <c r="E60" s="643"/>
      <c r="F60" s="629">
        <f t="shared" si="1"/>
        <v>0</v>
      </c>
      <c r="G60" s="632"/>
      <c r="H60" s="261"/>
    </row>
    <row r="61" spans="1:8" x14ac:dyDescent="0.25">
      <c r="A61" s="250"/>
      <c r="B61" s="7"/>
      <c r="C61" s="20"/>
      <c r="D61" s="629"/>
      <c r="E61" s="643"/>
      <c r="F61" s="629">
        <f t="shared" si="1"/>
        <v>0</v>
      </c>
      <c r="G61" s="632"/>
      <c r="H61" s="261"/>
    </row>
    <row r="62" spans="1:8" x14ac:dyDescent="0.25">
      <c r="A62" s="250"/>
      <c r="B62" s="7"/>
      <c r="C62" s="20"/>
      <c r="D62" s="629"/>
      <c r="E62" s="643"/>
      <c r="F62" s="629">
        <f t="shared" si="1"/>
        <v>0</v>
      </c>
      <c r="G62" s="632"/>
      <c r="H62" s="261"/>
    </row>
    <row r="63" spans="1:8" x14ac:dyDescent="0.25">
      <c r="A63" s="250"/>
      <c r="B63" s="7"/>
      <c r="C63" s="20"/>
      <c r="D63" s="629"/>
      <c r="E63" s="643"/>
      <c r="F63" s="629">
        <f t="shared" si="1"/>
        <v>0</v>
      </c>
      <c r="G63" s="632"/>
      <c r="H63" s="261"/>
    </row>
    <row r="64" spans="1:8" x14ac:dyDescent="0.25">
      <c r="A64" s="250"/>
      <c r="B64" s="7"/>
      <c r="C64" s="20"/>
      <c r="D64" s="629"/>
      <c r="E64" s="643"/>
      <c r="F64" s="629">
        <f t="shared" si="1"/>
        <v>0</v>
      </c>
      <c r="G64" s="632"/>
      <c r="H64" s="261"/>
    </row>
    <row r="65" spans="1:8" x14ac:dyDescent="0.25">
      <c r="A65" s="250"/>
      <c r="B65" s="7"/>
      <c r="C65" s="20"/>
      <c r="D65" s="629"/>
      <c r="E65" s="643"/>
      <c r="F65" s="629">
        <f t="shared" si="1"/>
        <v>0</v>
      </c>
      <c r="G65" s="632"/>
      <c r="H65" s="261"/>
    </row>
    <row r="66" spans="1:8" x14ac:dyDescent="0.25">
      <c r="A66" s="250"/>
      <c r="B66" s="7"/>
      <c r="C66" s="20"/>
      <c r="D66" s="629"/>
      <c r="E66" s="643"/>
      <c r="F66" s="629">
        <f t="shared" si="1"/>
        <v>0</v>
      </c>
      <c r="G66" s="632"/>
      <c r="H66" s="261"/>
    </row>
    <row r="67" spans="1:8" x14ac:dyDescent="0.25">
      <c r="A67" s="250"/>
      <c r="B67" s="7"/>
      <c r="C67" s="20"/>
      <c r="D67" s="629"/>
      <c r="E67" s="643"/>
      <c r="F67" s="629">
        <f t="shared" si="1"/>
        <v>0</v>
      </c>
      <c r="G67" s="632"/>
      <c r="H67" s="261"/>
    </row>
    <row r="68" spans="1:8" x14ac:dyDescent="0.25">
      <c r="A68" s="250"/>
      <c r="B68" s="7"/>
      <c r="C68" s="20"/>
      <c r="D68" s="629"/>
      <c r="E68" s="643"/>
      <c r="F68" s="629">
        <f t="shared" si="1"/>
        <v>0</v>
      </c>
      <c r="G68" s="632"/>
      <c r="H68" s="261"/>
    </row>
    <row r="69" spans="1:8" x14ac:dyDescent="0.25">
      <c r="A69" s="250"/>
      <c r="B69" s="7"/>
      <c r="C69" s="20"/>
      <c r="D69" s="629"/>
      <c r="E69" s="643"/>
      <c r="F69" s="629">
        <f t="shared" si="1"/>
        <v>0</v>
      </c>
      <c r="G69" s="632"/>
      <c r="H69" s="261"/>
    </row>
    <row r="70" spans="1:8" x14ac:dyDescent="0.25">
      <c r="A70" s="250"/>
      <c r="B70" s="7"/>
      <c r="C70" s="20"/>
      <c r="D70" s="629"/>
      <c r="E70" s="643"/>
      <c r="F70" s="629">
        <f t="shared" si="1"/>
        <v>0</v>
      </c>
      <c r="G70" s="632"/>
      <c r="H70" s="261"/>
    </row>
    <row r="71" spans="1:8" x14ac:dyDescent="0.25">
      <c r="A71" s="250"/>
      <c r="B71" s="7"/>
      <c r="C71" s="20"/>
      <c r="D71" s="629"/>
      <c r="E71" s="643"/>
      <c r="F71" s="629">
        <f t="shared" si="1"/>
        <v>0</v>
      </c>
      <c r="G71" s="632"/>
      <c r="H71" s="261"/>
    </row>
    <row r="72" spans="1:8" x14ac:dyDescent="0.25">
      <c r="A72" s="250"/>
      <c r="B72" s="7"/>
      <c r="C72" s="20"/>
      <c r="D72" s="629"/>
      <c r="E72" s="643"/>
      <c r="F72" s="629">
        <f t="shared" si="1"/>
        <v>0</v>
      </c>
      <c r="G72" s="632"/>
      <c r="H72" s="261"/>
    </row>
    <row r="73" spans="1:8" x14ac:dyDescent="0.25">
      <c r="A73" s="250"/>
      <c r="B73" s="7"/>
      <c r="C73" s="20"/>
      <c r="D73" s="629"/>
      <c r="E73" s="643"/>
      <c r="F73" s="629">
        <f t="shared" ref="F73:F75" si="3">D73</f>
        <v>0</v>
      </c>
      <c r="G73" s="632"/>
      <c r="H73" s="261"/>
    </row>
    <row r="74" spans="1:8" x14ac:dyDescent="0.25">
      <c r="A74" s="250"/>
      <c r="B74" s="7"/>
      <c r="C74" s="20"/>
      <c r="D74" s="629"/>
      <c r="E74" s="643"/>
      <c r="F74" s="629">
        <f t="shared" si="3"/>
        <v>0</v>
      </c>
      <c r="G74" s="632"/>
      <c r="H74" s="261"/>
    </row>
    <row r="75" spans="1:8" x14ac:dyDescent="0.25">
      <c r="A75" s="250"/>
      <c r="B75" s="7"/>
      <c r="C75" s="20"/>
      <c r="D75" s="629"/>
      <c r="E75" s="643"/>
      <c r="F75" s="629">
        <f t="shared" si="3"/>
        <v>0</v>
      </c>
      <c r="G75" s="632"/>
      <c r="H75" s="261"/>
    </row>
    <row r="76" spans="1:8" ht="15.75" thickBot="1" x14ac:dyDescent="0.3">
      <c r="A76" s="250"/>
      <c r="B76" s="21"/>
      <c r="C76" s="80"/>
      <c r="D76" s="208"/>
      <c r="E76" s="209"/>
      <c r="F76" s="199"/>
      <c r="G76" s="200"/>
      <c r="H76" s="101"/>
    </row>
    <row r="77" spans="1:8" x14ac:dyDescent="0.25">
      <c r="C77" s="82">
        <f>SUM(C9:C76)</f>
        <v>602</v>
      </c>
      <c r="D77" s="9">
        <f>SUM(D9:D76)</f>
        <v>11865.359999999997</v>
      </c>
      <c r="F77" s="9">
        <f>SUM(F9:F76)</f>
        <v>11865.359999999997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-19</v>
      </c>
    </row>
    <row r="81" spans="3:7" ht="15.75" thickBot="1" x14ac:dyDescent="0.3"/>
    <row r="82" spans="3:7" ht="15.75" thickBot="1" x14ac:dyDescent="0.3">
      <c r="C82" s="757" t="s">
        <v>11</v>
      </c>
      <c r="D82" s="758"/>
      <c r="E82" s="95">
        <f>E5+E6-F77+E7</f>
        <v>-470.25999999999658</v>
      </c>
      <c r="F82" s="124"/>
      <c r="G82" s="16"/>
    </row>
  </sheetData>
  <sortState ref="C23:H35">
    <sortCondition ref="G23:G35"/>
  </sortState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2"/>
  <sheetViews>
    <sheetView topLeftCell="A4" workbookViewId="0">
      <selection activeCell="C22" sqref="C2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756" t="s">
        <v>427</v>
      </c>
      <c r="B1" s="756"/>
      <c r="C1" s="756"/>
      <c r="D1" s="756"/>
      <c r="E1" s="756"/>
      <c r="F1" s="756"/>
      <c r="G1" s="756"/>
      <c r="H1" s="14">
        <v>1</v>
      </c>
      <c r="J1" s="751" t="s">
        <v>423</v>
      </c>
      <c r="K1" s="751"/>
      <c r="L1" s="751"/>
      <c r="M1" s="751"/>
      <c r="N1" s="751"/>
      <c r="O1" s="751"/>
      <c r="P1" s="751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48"/>
      <c r="B4" s="248"/>
      <c r="C4" s="205"/>
      <c r="D4" s="248"/>
      <c r="E4" s="248"/>
      <c r="F4" s="248"/>
      <c r="G4" s="371"/>
      <c r="H4" s="371"/>
      <c r="J4" s="248"/>
      <c r="K4" s="248"/>
      <c r="L4" s="205"/>
      <c r="M4" s="248"/>
      <c r="N4" s="248"/>
      <c r="O4" s="248"/>
      <c r="P4" s="371"/>
      <c r="Q4" s="371"/>
    </row>
    <row r="5" spans="1:17" ht="15.75" x14ac:dyDescent="0.25">
      <c r="A5" s="16" t="s">
        <v>340</v>
      </c>
      <c r="B5" s="15" t="s">
        <v>55</v>
      </c>
      <c r="C5" s="402" t="s">
        <v>341</v>
      </c>
      <c r="D5" s="419"/>
      <c r="E5" s="153"/>
      <c r="F5" s="104"/>
      <c r="G5" s="18"/>
      <c r="J5" s="16" t="s">
        <v>43</v>
      </c>
      <c r="K5" s="15" t="s">
        <v>55</v>
      </c>
      <c r="M5" s="419"/>
      <c r="N5" s="153"/>
      <c r="O5" s="104"/>
      <c r="P5" s="18"/>
    </row>
    <row r="6" spans="1:17" ht="15.75" x14ac:dyDescent="0.25">
      <c r="A6" s="16"/>
      <c r="B6" s="411" t="s">
        <v>339</v>
      </c>
      <c r="C6" s="337"/>
      <c r="D6" s="618">
        <v>42251</v>
      </c>
      <c r="E6" s="153">
        <v>9266.7999999999993</v>
      </c>
      <c r="F6" s="104">
        <v>471</v>
      </c>
      <c r="G6" s="64">
        <f>F77</f>
        <v>4135.3</v>
      </c>
      <c r="H6" s="10">
        <f>E6-G6+E7+E5</f>
        <v>5131.4999999999991</v>
      </c>
      <c r="J6" s="16"/>
      <c r="K6" s="411" t="s">
        <v>339</v>
      </c>
      <c r="L6" s="402" t="s">
        <v>497</v>
      </c>
      <c r="M6" s="618">
        <v>42301</v>
      </c>
      <c r="N6" s="153">
        <v>3180.96</v>
      </c>
      <c r="O6" s="104">
        <v>180</v>
      </c>
      <c r="P6" s="64">
        <f>O77</f>
        <v>0</v>
      </c>
      <c r="Q6" s="10">
        <f>N6-P6+N7+N5</f>
        <v>3180.96</v>
      </c>
    </row>
    <row r="7" spans="1:17" ht="15.75" thickBot="1" x14ac:dyDescent="0.3">
      <c r="A7" s="16"/>
      <c r="B7" s="26"/>
      <c r="C7" s="337"/>
      <c r="D7" s="363"/>
      <c r="E7" s="153"/>
      <c r="F7" s="104"/>
      <c r="G7" s="16"/>
      <c r="J7" s="16"/>
      <c r="K7" s="26"/>
      <c r="L7" s="337"/>
      <c r="M7" s="363"/>
      <c r="N7" s="153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5</v>
      </c>
      <c r="D9" s="254">
        <v>98.9</v>
      </c>
      <c r="E9" s="257">
        <v>42251</v>
      </c>
      <c r="F9" s="254">
        <f t="shared" ref="F9:F11" si="0">D9</f>
        <v>98.9</v>
      </c>
      <c r="G9" s="255" t="s">
        <v>372</v>
      </c>
      <c r="H9" s="256">
        <v>40</v>
      </c>
      <c r="J9" s="92" t="s">
        <v>33</v>
      </c>
      <c r="K9" s="2"/>
      <c r="L9" s="20"/>
      <c r="M9" s="254"/>
      <c r="N9" s="257"/>
      <c r="O9" s="254">
        <f t="shared" ref="O9:O72" si="1">M9</f>
        <v>0</v>
      </c>
      <c r="P9" s="255"/>
      <c r="Q9" s="256"/>
    </row>
    <row r="10" spans="1:17" x14ac:dyDescent="0.25">
      <c r="A10" s="286" t="s">
        <v>342</v>
      </c>
      <c r="B10" s="2"/>
      <c r="C10" s="20">
        <v>45</v>
      </c>
      <c r="D10" s="254">
        <v>884.7</v>
      </c>
      <c r="E10" s="257">
        <v>42252</v>
      </c>
      <c r="F10" s="254">
        <f t="shared" si="0"/>
        <v>884.7</v>
      </c>
      <c r="G10" s="255" t="s">
        <v>374</v>
      </c>
      <c r="H10" s="256">
        <v>40</v>
      </c>
      <c r="J10" s="286"/>
      <c r="K10" s="2"/>
      <c r="L10" s="20"/>
      <c r="M10" s="254"/>
      <c r="N10" s="257"/>
      <c r="O10" s="254">
        <f t="shared" si="1"/>
        <v>0</v>
      </c>
      <c r="P10" s="255"/>
      <c r="Q10" s="256"/>
    </row>
    <row r="11" spans="1:17" x14ac:dyDescent="0.25">
      <c r="A11" s="287" t="s">
        <v>343</v>
      </c>
      <c r="B11" s="2"/>
      <c r="C11" s="20">
        <v>5</v>
      </c>
      <c r="D11" s="254">
        <v>98.4</v>
      </c>
      <c r="E11" s="257">
        <v>42252</v>
      </c>
      <c r="F11" s="254">
        <f t="shared" si="0"/>
        <v>98.4</v>
      </c>
      <c r="G11" s="255" t="s">
        <v>375</v>
      </c>
      <c r="H11" s="256">
        <v>40</v>
      </c>
      <c r="J11" s="287"/>
      <c r="K11" s="2"/>
      <c r="L11" s="20"/>
      <c r="M11" s="254"/>
      <c r="N11" s="257"/>
      <c r="O11" s="254">
        <f t="shared" si="1"/>
        <v>0</v>
      </c>
      <c r="P11" s="255"/>
      <c r="Q11" s="256"/>
    </row>
    <row r="12" spans="1:17" x14ac:dyDescent="0.25">
      <c r="A12" s="147" t="s">
        <v>34</v>
      </c>
      <c r="B12" s="2"/>
      <c r="C12" s="20">
        <v>5</v>
      </c>
      <c r="D12" s="114">
        <v>94.2</v>
      </c>
      <c r="E12" s="167">
        <v>42259</v>
      </c>
      <c r="F12" s="114">
        <f t="shared" ref="F12:F72" si="2">D12</f>
        <v>94.2</v>
      </c>
      <c r="G12" s="115" t="s">
        <v>395</v>
      </c>
      <c r="H12" s="116">
        <v>40</v>
      </c>
      <c r="J12" s="147" t="s">
        <v>34</v>
      </c>
      <c r="K12" s="2"/>
      <c r="L12" s="20"/>
      <c r="M12" s="114"/>
      <c r="N12" s="167"/>
      <c r="O12" s="114">
        <f t="shared" si="1"/>
        <v>0</v>
      </c>
      <c r="P12" s="115"/>
      <c r="Q12" s="116"/>
    </row>
    <row r="13" spans="1:17" x14ac:dyDescent="0.25">
      <c r="A13" s="288" t="s">
        <v>269</v>
      </c>
      <c r="B13" s="2" t="s">
        <v>411</v>
      </c>
      <c r="C13" s="20">
        <v>42</v>
      </c>
      <c r="D13" s="114">
        <v>802.7</v>
      </c>
      <c r="E13" s="167">
        <v>42271</v>
      </c>
      <c r="F13" s="114">
        <f t="shared" si="2"/>
        <v>802.7</v>
      </c>
      <c r="G13" s="115" t="s">
        <v>412</v>
      </c>
      <c r="H13" s="116">
        <v>40</v>
      </c>
      <c r="J13" s="288"/>
      <c r="K13" s="2"/>
      <c r="L13" s="20"/>
      <c r="M13" s="114"/>
      <c r="N13" s="167"/>
      <c r="O13" s="114">
        <f t="shared" si="1"/>
        <v>0</v>
      </c>
      <c r="P13" s="115"/>
      <c r="Q13" s="116"/>
    </row>
    <row r="14" spans="1:17" x14ac:dyDescent="0.25">
      <c r="A14" s="181" t="s">
        <v>344</v>
      </c>
      <c r="B14" s="2" t="s">
        <v>411</v>
      </c>
      <c r="C14" s="20">
        <v>10</v>
      </c>
      <c r="D14" s="114">
        <v>202.6</v>
      </c>
      <c r="E14" s="167">
        <v>42271</v>
      </c>
      <c r="F14" s="114">
        <f t="shared" si="2"/>
        <v>202.6</v>
      </c>
      <c r="G14" s="115" t="s">
        <v>413</v>
      </c>
      <c r="H14" s="116">
        <v>40</v>
      </c>
      <c r="J14" s="181"/>
      <c r="K14" s="2"/>
      <c r="L14" s="20"/>
      <c r="M14" s="114"/>
      <c r="N14" s="167"/>
      <c r="O14" s="114">
        <f t="shared" si="1"/>
        <v>0</v>
      </c>
      <c r="P14" s="115"/>
      <c r="Q14" s="116"/>
    </row>
    <row r="15" spans="1:17" x14ac:dyDescent="0.25">
      <c r="A15" s="59"/>
      <c r="B15" s="2" t="s">
        <v>411</v>
      </c>
      <c r="C15" s="20">
        <v>5</v>
      </c>
      <c r="D15" s="114">
        <v>99</v>
      </c>
      <c r="E15" s="167">
        <v>42275</v>
      </c>
      <c r="F15" s="114">
        <f t="shared" si="2"/>
        <v>99</v>
      </c>
      <c r="G15" s="115" t="s">
        <v>419</v>
      </c>
      <c r="H15" s="116">
        <v>40</v>
      </c>
      <c r="J15" s="59"/>
      <c r="K15" s="2"/>
      <c r="L15" s="20"/>
      <c r="M15" s="114"/>
      <c r="N15" s="167"/>
      <c r="O15" s="114">
        <f t="shared" si="1"/>
        <v>0</v>
      </c>
      <c r="P15" s="115"/>
      <c r="Q15" s="116"/>
    </row>
    <row r="16" spans="1:17" x14ac:dyDescent="0.25">
      <c r="B16" s="2"/>
      <c r="C16" s="20">
        <v>6</v>
      </c>
      <c r="D16" s="100">
        <v>118.5</v>
      </c>
      <c r="E16" s="185">
        <v>42286</v>
      </c>
      <c r="F16" s="100">
        <f t="shared" si="2"/>
        <v>118.5</v>
      </c>
      <c r="G16" s="111" t="s">
        <v>665</v>
      </c>
      <c r="H16" s="101">
        <v>40</v>
      </c>
      <c r="K16" s="2"/>
      <c r="L16" s="20"/>
      <c r="M16" s="114"/>
      <c r="N16" s="167"/>
      <c r="O16" s="114">
        <f t="shared" si="1"/>
        <v>0</v>
      </c>
      <c r="P16" s="115"/>
      <c r="Q16" s="116"/>
    </row>
    <row r="17" spans="1:17" x14ac:dyDescent="0.25">
      <c r="A17" s="250"/>
      <c r="B17" s="7"/>
      <c r="C17" s="20">
        <v>15</v>
      </c>
      <c r="D17" s="100">
        <v>301</v>
      </c>
      <c r="E17" s="185">
        <v>42293</v>
      </c>
      <c r="F17" s="100">
        <v>301</v>
      </c>
      <c r="G17" s="111" t="s">
        <v>712</v>
      </c>
      <c r="H17" s="101">
        <v>40</v>
      </c>
      <c r="J17" s="250"/>
      <c r="K17" s="7"/>
      <c r="L17" s="20"/>
      <c r="M17" s="114"/>
      <c r="N17" s="167"/>
      <c r="O17" s="114">
        <f t="shared" si="1"/>
        <v>0</v>
      </c>
      <c r="P17" s="115"/>
      <c r="Q17" s="116"/>
    </row>
    <row r="18" spans="1:17" x14ac:dyDescent="0.25">
      <c r="A18" s="250"/>
      <c r="B18" s="7"/>
      <c r="C18" s="20">
        <v>10</v>
      </c>
      <c r="D18" s="100">
        <v>209</v>
      </c>
      <c r="E18" s="185">
        <v>42294</v>
      </c>
      <c r="F18" s="100">
        <f t="shared" si="2"/>
        <v>209</v>
      </c>
      <c r="G18" s="111" t="s">
        <v>718</v>
      </c>
      <c r="H18" s="101">
        <v>40</v>
      </c>
      <c r="J18" s="250"/>
      <c r="K18" s="7"/>
      <c r="L18" s="20"/>
      <c r="M18" s="114"/>
      <c r="N18" s="167"/>
      <c r="O18" s="114">
        <f t="shared" si="1"/>
        <v>0</v>
      </c>
      <c r="P18" s="115"/>
      <c r="Q18" s="116"/>
    </row>
    <row r="19" spans="1:17" x14ac:dyDescent="0.25">
      <c r="A19" s="250"/>
      <c r="B19" s="7"/>
      <c r="C19" s="20">
        <v>42</v>
      </c>
      <c r="D19" s="100">
        <v>846.5</v>
      </c>
      <c r="E19" s="185">
        <v>42303</v>
      </c>
      <c r="F19" s="100">
        <v>846.5</v>
      </c>
      <c r="G19" s="111" t="s">
        <v>760</v>
      </c>
      <c r="H19" s="101">
        <v>40</v>
      </c>
      <c r="J19" s="250"/>
      <c r="K19" s="7"/>
      <c r="L19" s="20"/>
      <c r="M19" s="114"/>
      <c r="N19" s="167"/>
      <c r="O19" s="114">
        <f t="shared" si="1"/>
        <v>0</v>
      </c>
      <c r="P19" s="115"/>
      <c r="Q19" s="116"/>
    </row>
    <row r="20" spans="1:17" x14ac:dyDescent="0.25">
      <c r="A20" s="250"/>
      <c r="B20" s="7"/>
      <c r="C20" s="20">
        <v>10</v>
      </c>
      <c r="D20" s="100">
        <v>180.2</v>
      </c>
      <c r="E20" s="185">
        <v>42306</v>
      </c>
      <c r="F20" s="100">
        <v>180.2</v>
      </c>
      <c r="G20" s="111" t="s">
        <v>776</v>
      </c>
      <c r="H20" s="101">
        <v>40</v>
      </c>
      <c r="J20" s="250"/>
      <c r="K20" s="7"/>
      <c r="L20" s="20"/>
      <c r="M20" s="114"/>
      <c r="N20" s="167"/>
      <c r="O20" s="114">
        <f t="shared" si="1"/>
        <v>0</v>
      </c>
      <c r="P20" s="115"/>
      <c r="Q20" s="116"/>
    </row>
    <row r="21" spans="1:17" x14ac:dyDescent="0.25">
      <c r="A21" s="250"/>
      <c r="B21" s="7"/>
      <c r="C21" s="20">
        <v>10</v>
      </c>
      <c r="D21" s="100">
        <v>199.6</v>
      </c>
      <c r="E21" s="185">
        <v>42307</v>
      </c>
      <c r="F21" s="100">
        <f t="shared" si="2"/>
        <v>199.6</v>
      </c>
      <c r="G21" s="111" t="s">
        <v>783</v>
      </c>
      <c r="H21" s="101">
        <v>40</v>
      </c>
      <c r="J21" s="250"/>
      <c r="K21" s="7"/>
      <c r="L21" s="20"/>
      <c r="M21" s="114"/>
      <c r="N21" s="167"/>
      <c r="O21" s="114">
        <f t="shared" si="1"/>
        <v>0</v>
      </c>
      <c r="P21" s="115"/>
      <c r="Q21" s="116"/>
    </row>
    <row r="22" spans="1:17" x14ac:dyDescent="0.25">
      <c r="A22" s="251"/>
      <c r="B22" s="7"/>
      <c r="C22" s="20"/>
      <c r="D22" s="100"/>
      <c r="E22" s="185"/>
      <c r="F22" s="100">
        <f t="shared" si="2"/>
        <v>0</v>
      </c>
      <c r="G22" s="111"/>
      <c r="H22" s="101"/>
      <c r="J22" s="251"/>
      <c r="K22" s="7"/>
      <c r="L22" s="20"/>
      <c r="M22" s="114"/>
      <c r="N22" s="167"/>
      <c r="O22" s="114">
        <f t="shared" si="1"/>
        <v>0</v>
      </c>
      <c r="P22" s="115"/>
      <c r="Q22" s="116"/>
    </row>
    <row r="23" spans="1:17" x14ac:dyDescent="0.25">
      <c r="A23" s="250"/>
      <c r="B23" s="7"/>
      <c r="C23" s="20"/>
      <c r="D23" s="100"/>
      <c r="E23" s="185"/>
      <c r="F23" s="100">
        <f t="shared" si="2"/>
        <v>0</v>
      </c>
      <c r="G23" s="111"/>
      <c r="H23" s="101"/>
      <c r="J23" s="250"/>
      <c r="K23" s="7"/>
      <c r="L23" s="20"/>
      <c r="M23" s="114"/>
      <c r="N23" s="167"/>
      <c r="O23" s="114">
        <f t="shared" si="1"/>
        <v>0</v>
      </c>
      <c r="P23" s="115"/>
      <c r="Q23" s="116"/>
    </row>
    <row r="24" spans="1:17" x14ac:dyDescent="0.25">
      <c r="A24" s="250"/>
      <c r="B24" s="7"/>
      <c r="C24" s="20"/>
      <c r="D24" s="100"/>
      <c r="E24" s="185"/>
      <c r="F24" s="100">
        <f t="shared" si="2"/>
        <v>0</v>
      </c>
      <c r="G24" s="111"/>
      <c r="H24" s="101"/>
      <c r="J24" s="250"/>
      <c r="K24" s="7"/>
      <c r="L24" s="20"/>
      <c r="M24" s="114"/>
      <c r="N24" s="167"/>
      <c r="O24" s="114">
        <f t="shared" si="1"/>
        <v>0</v>
      </c>
      <c r="P24" s="115"/>
      <c r="Q24" s="116"/>
    </row>
    <row r="25" spans="1:17" x14ac:dyDescent="0.25">
      <c r="A25" s="250"/>
      <c r="B25" s="7"/>
      <c r="C25" s="20"/>
      <c r="D25" s="100"/>
      <c r="E25" s="185"/>
      <c r="F25" s="100">
        <f t="shared" si="2"/>
        <v>0</v>
      </c>
      <c r="G25" s="111"/>
      <c r="H25" s="101"/>
      <c r="J25" s="250"/>
      <c r="K25" s="7"/>
      <c r="L25" s="20"/>
      <c r="M25" s="114"/>
      <c r="N25" s="167"/>
      <c r="O25" s="114">
        <f t="shared" si="1"/>
        <v>0</v>
      </c>
      <c r="P25" s="115"/>
      <c r="Q25" s="116"/>
    </row>
    <row r="26" spans="1:17" x14ac:dyDescent="0.25">
      <c r="A26" s="250"/>
      <c r="B26" s="7"/>
      <c r="C26" s="20"/>
      <c r="D26" s="100"/>
      <c r="E26" s="185"/>
      <c r="F26" s="100">
        <f t="shared" si="2"/>
        <v>0</v>
      </c>
      <c r="G26" s="111"/>
      <c r="H26" s="101"/>
      <c r="J26" s="250"/>
      <c r="K26" s="7"/>
      <c r="L26" s="20"/>
      <c r="M26" s="114"/>
      <c r="N26" s="167"/>
      <c r="O26" s="114">
        <f t="shared" si="1"/>
        <v>0</v>
      </c>
      <c r="P26" s="115"/>
      <c r="Q26" s="116"/>
    </row>
    <row r="27" spans="1:17" x14ac:dyDescent="0.25">
      <c r="A27" s="250"/>
      <c r="B27" s="7"/>
      <c r="C27" s="20"/>
      <c r="D27" s="100"/>
      <c r="E27" s="185"/>
      <c r="F27" s="100">
        <f t="shared" si="2"/>
        <v>0</v>
      </c>
      <c r="G27" s="111"/>
      <c r="H27" s="101"/>
      <c r="J27" s="250"/>
      <c r="K27" s="7"/>
      <c r="L27" s="20"/>
      <c r="M27" s="114"/>
      <c r="N27" s="167"/>
      <c r="O27" s="114">
        <f t="shared" si="1"/>
        <v>0</v>
      </c>
      <c r="P27" s="115"/>
      <c r="Q27" s="116"/>
    </row>
    <row r="28" spans="1:17" x14ac:dyDescent="0.25">
      <c r="A28" s="250"/>
      <c r="B28" s="7"/>
      <c r="C28" s="20"/>
      <c r="D28" s="100"/>
      <c r="E28" s="185"/>
      <c r="F28" s="100">
        <f t="shared" si="2"/>
        <v>0</v>
      </c>
      <c r="G28" s="111"/>
      <c r="H28" s="101"/>
      <c r="J28" s="250"/>
      <c r="K28" s="7"/>
      <c r="L28" s="20"/>
      <c r="M28" s="114"/>
      <c r="N28" s="167"/>
      <c r="O28" s="114">
        <f t="shared" si="1"/>
        <v>0</v>
      </c>
      <c r="P28" s="115"/>
      <c r="Q28" s="116"/>
    </row>
    <row r="29" spans="1:17" x14ac:dyDescent="0.25">
      <c r="A29" s="250"/>
      <c r="B29" s="7"/>
      <c r="C29" s="20"/>
      <c r="D29" s="100"/>
      <c r="E29" s="185"/>
      <c r="F29" s="100">
        <f t="shared" si="2"/>
        <v>0</v>
      </c>
      <c r="G29" s="111"/>
      <c r="H29" s="101"/>
      <c r="J29" s="250"/>
      <c r="K29" s="7"/>
      <c r="L29" s="20"/>
      <c r="M29" s="114"/>
      <c r="N29" s="167"/>
      <c r="O29" s="114">
        <f t="shared" si="1"/>
        <v>0</v>
      </c>
      <c r="P29" s="115"/>
      <c r="Q29" s="116"/>
    </row>
    <row r="30" spans="1:17" x14ac:dyDescent="0.25">
      <c r="A30" s="250"/>
      <c r="B30" s="7"/>
      <c r="C30" s="20"/>
      <c r="D30" s="100"/>
      <c r="E30" s="185"/>
      <c r="F30" s="100">
        <f t="shared" si="2"/>
        <v>0</v>
      </c>
      <c r="G30" s="111"/>
      <c r="H30" s="101"/>
      <c r="J30" s="250"/>
      <c r="K30" s="7"/>
      <c r="L30" s="20"/>
      <c r="M30" s="114"/>
      <c r="N30" s="167"/>
      <c r="O30" s="114">
        <f t="shared" si="1"/>
        <v>0</v>
      </c>
      <c r="P30" s="115"/>
      <c r="Q30" s="116"/>
    </row>
    <row r="31" spans="1:17" x14ac:dyDescent="0.25">
      <c r="A31" s="250"/>
      <c r="B31" s="7"/>
      <c r="C31" s="20"/>
      <c r="D31" s="100"/>
      <c r="E31" s="185"/>
      <c r="F31" s="100">
        <f t="shared" si="2"/>
        <v>0</v>
      </c>
      <c r="G31" s="111"/>
      <c r="H31" s="101"/>
      <c r="J31" s="250"/>
      <c r="K31" s="7"/>
      <c r="L31" s="20"/>
      <c r="M31" s="114"/>
      <c r="N31" s="167"/>
      <c r="O31" s="114">
        <f t="shared" si="1"/>
        <v>0</v>
      </c>
      <c r="P31" s="115"/>
      <c r="Q31" s="116"/>
    </row>
    <row r="32" spans="1:17" x14ac:dyDescent="0.25">
      <c r="A32" s="250"/>
      <c r="B32" s="7"/>
      <c r="C32" s="20"/>
      <c r="D32" s="100"/>
      <c r="E32" s="185"/>
      <c r="F32" s="100">
        <f t="shared" si="2"/>
        <v>0</v>
      </c>
      <c r="G32" s="111"/>
      <c r="H32" s="101"/>
      <c r="J32" s="250"/>
      <c r="K32" s="7"/>
      <c r="L32" s="20"/>
      <c r="M32" s="114"/>
      <c r="N32" s="167"/>
      <c r="O32" s="114">
        <f t="shared" si="1"/>
        <v>0</v>
      </c>
      <c r="P32" s="115"/>
      <c r="Q32" s="116"/>
    </row>
    <row r="33" spans="1:17" x14ac:dyDescent="0.25">
      <c r="A33" s="250"/>
      <c r="B33" s="7"/>
      <c r="C33" s="20"/>
      <c r="D33" s="100"/>
      <c r="E33" s="185"/>
      <c r="F33" s="100">
        <f t="shared" si="2"/>
        <v>0</v>
      </c>
      <c r="G33" s="111"/>
      <c r="H33" s="101"/>
      <c r="J33" s="250"/>
      <c r="K33" s="7"/>
      <c r="L33" s="20"/>
      <c r="M33" s="114"/>
      <c r="N33" s="167"/>
      <c r="O33" s="114">
        <f t="shared" si="1"/>
        <v>0</v>
      </c>
      <c r="P33" s="115"/>
      <c r="Q33" s="116"/>
    </row>
    <row r="34" spans="1:17" x14ac:dyDescent="0.25">
      <c r="A34" s="250"/>
      <c r="B34" s="7"/>
      <c r="C34" s="20"/>
      <c r="D34" s="100"/>
      <c r="E34" s="185"/>
      <c r="F34" s="100">
        <f t="shared" si="2"/>
        <v>0</v>
      </c>
      <c r="G34" s="111"/>
      <c r="H34" s="101"/>
      <c r="J34" s="250"/>
      <c r="K34" s="7"/>
      <c r="L34" s="20"/>
      <c r="M34" s="114"/>
      <c r="N34" s="167"/>
      <c r="O34" s="114">
        <f t="shared" si="1"/>
        <v>0</v>
      </c>
      <c r="P34" s="115"/>
      <c r="Q34" s="116"/>
    </row>
    <row r="35" spans="1:17" x14ac:dyDescent="0.25">
      <c r="A35" s="250" t="s">
        <v>22</v>
      </c>
      <c r="B35" s="7"/>
      <c r="C35" s="20"/>
      <c r="D35" s="100"/>
      <c r="E35" s="185"/>
      <c r="F35" s="100">
        <f t="shared" si="2"/>
        <v>0</v>
      </c>
      <c r="G35" s="111"/>
      <c r="H35" s="101"/>
      <c r="J35" s="250" t="s">
        <v>22</v>
      </c>
      <c r="K35" s="7"/>
      <c r="L35" s="20"/>
      <c r="M35" s="114"/>
      <c r="N35" s="167"/>
      <c r="O35" s="114">
        <f t="shared" si="1"/>
        <v>0</v>
      </c>
      <c r="P35" s="115"/>
      <c r="Q35" s="116"/>
    </row>
    <row r="36" spans="1:17" x14ac:dyDescent="0.25">
      <c r="A36" s="251"/>
      <c r="B36" s="7"/>
      <c r="C36" s="20"/>
      <c r="D36" s="100"/>
      <c r="E36" s="185"/>
      <c r="F36" s="100">
        <f t="shared" si="2"/>
        <v>0</v>
      </c>
      <c r="G36" s="111"/>
      <c r="H36" s="101"/>
      <c r="J36" s="251"/>
      <c r="K36" s="7"/>
      <c r="L36" s="20"/>
      <c r="M36" s="114"/>
      <c r="N36" s="167"/>
      <c r="O36" s="114">
        <f t="shared" si="1"/>
        <v>0</v>
      </c>
      <c r="P36" s="115"/>
      <c r="Q36" s="116"/>
    </row>
    <row r="37" spans="1:17" x14ac:dyDescent="0.25">
      <c r="A37" s="250"/>
      <c r="B37" s="7"/>
      <c r="C37" s="20"/>
      <c r="D37" s="100"/>
      <c r="E37" s="185"/>
      <c r="F37" s="100">
        <f t="shared" si="2"/>
        <v>0</v>
      </c>
      <c r="G37" s="111"/>
      <c r="H37" s="101"/>
      <c r="J37" s="250"/>
      <c r="K37" s="7"/>
      <c r="L37" s="20"/>
      <c r="M37" s="114"/>
      <c r="N37" s="167"/>
      <c r="O37" s="114">
        <f t="shared" si="1"/>
        <v>0</v>
      </c>
      <c r="P37" s="115"/>
      <c r="Q37" s="116"/>
    </row>
    <row r="38" spans="1:17" x14ac:dyDescent="0.25">
      <c r="A38" s="250"/>
      <c r="B38" s="7"/>
      <c r="C38" s="20"/>
      <c r="D38" s="100"/>
      <c r="E38" s="185"/>
      <c r="F38" s="100">
        <f t="shared" si="2"/>
        <v>0</v>
      </c>
      <c r="G38" s="111"/>
      <c r="H38" s="101"/>
      <c r="J38" s="250"/>
      <c r="K38" s="7"/>
      <c r="L38" s="20"/>
      <c r="M38" s="114"/>
      <c r="N38" s="167"/>
      <c r="O38" s="114">
        <f t="shared" si="1"/>
        <v>0</v>
      </c>
      <c r="P38" s="115"/>
      <c r="Q38" s="116"/>
    </row>
    <row r="39" spans="1:17" x14ac:dyDescent="0.25">
      <c r="A39" s="250"/>
      <c r="B39" s="7"/>
      <c r="C39" s="20"/>
      <c r="D39" s="100"/>
      <c r="E39" s="185"/>
      <c r="F39" s="100">
        <f t="shared" si="2"/>
        <v>0</v>
      </c>
      <c r="G39" s="111"/>
      <c r="H39" s="101"/>
      <c r="J39" s="250"/>
      <c r="K39" s="7"/>
      <c r="L39" s="20"/>
      <c r="M39" s="114"/>
      <c r="N39" s="167"/>
      <c r="O39" s="114">
        <f t="shared" si="1"/>
        <v>0</v>
      </c>
      <c r="P39" s="115"/>
      <c r="Q39" s="116"/>
    </row>
    <row r="40" spans="1:17" x14ac:dyDescent="0.25">
      <c r="A40" s="250"/>
      <c r="B40" s="7"/>
      <c r="C40" s="20"/>
      <c r="D40" s="100"/>
      <c r="E40" s="185"/>
      <c r="F40" s="100">
        <f t="shared" si="2"/>
        <v>0</v>
      </c>
      <c r="G40" s="111"/>
      <c r="H40" s="101"/>
      <c r="J40" s="250"/>
      <c r="K40" s="7"/>
      <c r="L40" s="20"/>
      <c r="M40" s="114"/>
      <c r="N40" s="167"/>
      <c r="O40" s="114">
        <f t="shared" si="1"/>
        <v>0</v>
      </c>
      <c r="P40" s="115"/>
      <c r="Q40" s="116"/>
    </row>
    <row r="41" spans="1:17" x14ac:dyDescent="0.25">
      <c r="A41" s="250"/>
      <c r="B41" s="7"/>
      <c r="C41" s="20"/>
      <c r="D41" s="100"/>
      <c r="E41" s="185"/>
      <c r="F41" s="100">
        <f t="shared" si="2"/>
        <v>0</v>
      </c>
      <c r="G41" s="111"/>
      <c r="H41" s="101"/>
      <c r="J41" s="250"/>
      <c r="K41" s="7"/>
      <c r="L41" s="20"/>
      <c r="M41" s="114"/>
      <c r="N41" s="167"/>
      <c r="O41" s="114">
        <f t="shared" si="1"/>
        <v>0</v>
      </c>
      <c r="P41" s="115"/>
      <c r="Q41" s="116"/>
    </row>
    <row r="42" spans="1:17" x14ac:dyDescent="0.25">
      <c r="A42" s="250"/>
      <c r="B42" s="7"/>
      <c r="C42" s="20"/>
      <c r="D42" s="100"/>
      <c r="E42" s="185"/>
      <c r="F42" s="100">
        <f t="shared" si="2"/>
        <v>0</v>
      </c>
      <c r="G42" s="111"/>
      <c r="H42" s="101"/>
      <c r="J42" s="250"/>
      <c r="K42" s="7"/>
      <c r="L42" s="20"/>
      <c r="M42" s="114"/>
      <c r="N42" s="167"/>
      <c r="O42" s="114">
        <f t="shared" si="1"/>
        <v>0</v>
      </c>
      <c r="P42" s="115"/>
      <c r="Q42" s="116"/>
    </row>
    <row r="43" spans="1:17" x14ac:dyDescent="0.25">
      <c r="A43" s="250"/>
      <c r="B43" s="7"/>
      <c r="C43" s="20"/>
      <c r="D43" s="100"/>
      <c r="E43" s="185"/>
      <c r="F43" s="100">
        <f t="shared" si="2"/>
        <v>0</v>
      </c>
      <c r="G43" s="111"/>
      <c r="H43" s="101"/>
      <c r="J43" s="250"/>
      <c r="K43" s="7"/>
      <c r="L43" s="20"/>
      <c r="M43" s="114"/>
      <c r="N43" s="167"/>
      <c r="O43" s="114">
        <f t="shared" si="1"/>
        <v>0</v>
      </c>
      <c r="P43" s="115"/>
      <c r="Q43" s="116"/>
    </row>
    <row r="44" spans="1:17" x14ac:dyDescent="0.25">
      <c r="A44" s="250"/>
      <c r="B44" s="7"/>
      <c r="C44" s="20"/>
      <c r="D44" s="100"/>
      <c r="E44" s="185"/>
      <c r="F44" s="100">
        <f t="shared" si="2"/>
        <v>0</v>
      </c>
      <c r="G44" s="111"/>
      <c r="H44" s="101"/>
      <c r="J44" s="250"/>
      <c r="K44" s="7"/>
      <c r="L44" s="20"/>
      <c r="M44" s="114"/>
      <c r="N44" s="167"/>
      <c r="O44" s="114">
        <f t="shared" si="1"/>
        <v>0</v>
      </c>
      <c r="P44" s="115"/>
      <c r="Q44" s="116"/>
    </row>
    <row r="45" spans="1:17" x14ac:dyDescent="0.25">
      <c r="A45" s="250"/>
      <c r="B45" s="7"/>
      <c r="C45" s="20"/>
      <c r="D45" s="100"/>
      <c r="E45" s="185"/>
      <c r="F45" s="100">
        <f t="shared" si="2"/>
        <v>0</v>
      </c>
      <c r="G45" s="111"/>
      <c r="H45" s="101"/>
      <c r="J45" s="250"/>
      <c r="K45" s="7"/>
      <c r="L45" s="20"/>
      <c r="M45" s="114"/>
      <c r="N45" s="167"/>
      <c r="O45" s="114">
        <f t="shared" si="1"/>
        <v>0</v>
      </c>
      <c r="P45" s="115"/>
      <c r="Q45" s="116"/>
    </row>
    <row r="46" spans="1:17" x14ac:dyDescent="0.25">
      <c r="A46" s="250"/>
      <c r="B46" s="7"/>
      <c r="C46" s="20"/>
      <c r="D46" s="100"/>
      <c r="E46" s="185"/>
      <c r="F46" s="100">
        <f t="shared" si="2"/>
        <v>0</v>
      </c>
      <c r="G46" s="111"/>
      <c r="H46" s="101"/>
      <c r="J46" s="250"/>
      <c r="K46" s="7"/>
      <c r="L46" s="20"/>
      <c r="M46" s="114"/>
      <c r="N46" s="167"/>
      <c r="O46" s="114">
        <f t="shared" si="1"/>
        <v>0</v>
      </c>
      <c r="P46" s="115"/>
      <c r="Q46" s="116"/>
    </row>
    <row r="47" spans="1:17" x14ac:dyDescent="0.25">
      <c r="A47" s="250"/>
      <c r="B47" s="7"/>
      <c r="C47" s="20"/>
      <c r="D47" s="100"/>
      <c r="E47" s="185"/>
      <c r="F47" s="100">
        <f t="shared" si="2"/>
        <v>0</v>
      </c>
      <c r="G47" s="111"/>
      <c r="H47" s="101"/>
      <c r="J47" s="250"/>
      <c r="K47" s="7"/>
      <c r="L47" s="20"/>
      <c r="M47" s="114"/>
      <c r="N47" s="167"/>
      <c r="O47" s="114">
        <f t="shared" si="1"/>
        <v>0</v>
      </c>
      <c r="P47" s="115"/>
      <c r="Q47" s="116"/>
    </row>
    <row r="48" spans="1:17" x14ac:dyDescent="0.25">
      <c r="A48" s="250"/>
      <c r="B48" s="7"/>
      <c r="C48" s="20"/>
      <c r="D48" s="100"/>
      <c r="E48" s="185"/>
      <c r="F48" s="100">
        <f t="shared" si="2"/>
        <v>0</v>
      </c>
      <c r="G48" s="111"/>
      <c r="H48" s="101"/>
      <c r="J48" s="250"/>
      <c r="K48" s="7"/>
      <c r="L48" s="20"/>
      <c r="M48" s="114"/>
      <c r="N48" s="167"/>
      <c r="O48" s="114">
        <f t="shared" si="1"/>
        <v>0</v>
      </c>
      <c r="P48" s="115"/>
      <c r="Q48" s="116"/>
    </row>
    <row r="49" spans="1:17" x14ac:dyDescent="0.25">
      <c r="A49" s="250"/>
      <c r="B49" s="7"/>
      <c r="C49" s="20"/>
      <c r="D49" s="100"/>
      <c r="E49" s="185"/>
      <c r="F49" s="100">
        <f t="shared" si="2"/>
        <v>0</v>
      </c>
      <c r="G49" s="111"/>
      <c r="H49" s="101"/>
      <c r="J49" s="250"/>
      <c r="K49" s="7"/>
      <c r="L49" s="20"/>
      <c r="M49" s="114"/>
      <c r="N49" s="167"/>
      <c r="O49" s="114">
        <f t="shared" si="1"/>
        <v>0</v>
      </c>
      <c r="P49" s="115"/>
      <c r="Q49" s="116"/>
    </row>
    <row r="50" spans="1:17" x14ac:dyDescent="0.25">
      <c r="A50" s="250"/>
      <c r="B50" s="7"/>
      <c r="C50" s="20"/>
      <c r="D50" s="100"/>
      <c r="E50" s="185"/>
      <c r="F50" s="100">
        <f t="shared" si="2"/>
        <v>0</v>
      </c>
      <c r="G50" s="111"/>
      <c r="H50" s="101"/>
      <c r="J50" s="250"/>
      <c r="K50" s="7"/>
      <c r="L50" s="20"/>
      <c r="M50" s="114"/>
      <c r="N50" s="167"/>
      <c r="O50" s="114">
        <f t="shared" si="1"/>
        <v>0</v>
      </c>
      <c r="P50" s="115"/>
      <c r="Q50" s="116"/>
    </row>
    <row r="51" spans="1:17" x14ac:dyDescent="0.25">
      <c r="A51" s="250"/>
      <c r="B51" s="7"/>
      <c r="C51" s="20"/>
      <c r="D51" s="100"/>
      <c r="E51" s="185"/>
      <c r="F51" s="100">
        <f t="shared" si="2"/>
        <v>0</v>
      </c>
      <c r="G51" s="111"/>
      <c r="H51" s="101"/>
      <c r="J51" s="250"/>
      <c r="K51" s="7"/>
      <c r="L51" s="20"/>
      <c r="M51" s="114"/>
      <c r="N51" s="167"/>
      <c r="O51" s="114">
        <f t="shared" si="1"/>
        <v>0</v>
      </c>
      <c r="P51" s="115"/>
      <c r="Q51" s="116"/>
    </row>
    <row r="52" spans="1:17" x14ac:dyDescent="0.25">
      <c r="A52" s="250"/>
      <c r="B52" s="7"/>
      <c r="C52" s="20"/>
      <c r="D52" s="100"/>
      <c r="E52" s="185"/>
      <c r="F52" s="100">
        <f t="shared" si="2"/>
        <v>0</v>
      </c>
      <c r="G52" s="111"/>
      <c r="H52" s="101"/>
      <c r="J52" s="250"/>
      <c r="K52" s="7"/>
      <c r="L52" s="20"/>
      <c r="M52" s="114"/>
      <c r="N52" s="167"/>
      <c r="O52" s="114">
        <f t="shared" si="1"/>
        <v>0</v>
      </c>
      <c r="P52" s="115"/>
      <c r="Q52" s="116"/>
    </row>
    <row r="53" spans="1:17" x14ac:dyDescent="0.25">
      <c r="A53" s="250"/>
      <c r="B53" s="7"/>
      <c r="C53" s="20"/>
      <c r="D53" s="100"/>
      <c r="E53" s="185"/>
      <c r="F53" s="100">
        <f t="shared" si="2"/>
        <v>0</v>
      </c>
      <c r="G53" s="111"/>
      <c r="H53" s="101"/>
      <c r="J53" s="250"/>
      <c r="K53" s="7"/>
      <c r="L53" s="20"/>
      <c r="M53" s="114"/>
      <c r="N53" s="167"/>
      <c r="O53" s="114">
        <f t="shared" si="1"/>
        <v>0</v>
      </c>
      <c r="P53" s="115"/>
      <c r="Q53" s="116"/>
    </row>
    <row r="54" spans="1:17" x14ac:dyDescent="0.25">
      <c r="A54" s="250"/>
      <c r="B54" s="7"/>
      <c r="C54" s="20"/>
      <c r="D54" s="100"/>
      <c r="E54" s="185"/>
      <c r="F54" s="100">
        <f t="shared" si="2"/>
        <v>0</v>
      </c>
      <c r="G54" s="111"/>
      <c r="H54" s="101"/>
      <c r="J54" s="250"/>
      <c r="K54" s="7"/>
      <c r="L54" s="20"/>
      <c r="M54" s="114"/>
      <c r="N54" s="167"/>
      <c r="O54" s="114">
        <f t="shared" si="1"/>
        <v>0</v>
      </c>
      <c r="P54" s="115"/>
      <c r="Q54" s="116"/>
    </row>
    <row r="55" spans="1:17" x14ac:dyDescent="0.25">
      <c r="A55" s="250"/>
      <c r="B55" s="7"/>
      <c r="C55" s="20"/>
      <c r="D55" s="100"/>
      <c r="E55" s="185"/>
      <c r="F55" s="100">
        <f t="shared" si="2"/>
        <v>0</v>
      </c>
      <c r="G55" s="111"/>
      <c r="H55" s="101"/>
      <c r="J55" s="250"/>
      <c r="K55" s="7"/>
      <c r="L55" s="20"/>
      <c r="M55" s="114"/>
      <c r="N55" s="167"/>
      <c r="O55" s="114">
        <f t="shared" si="1"/>
        <v>0</v>
      </c>
      <c r="P55" s="115"/>
      <c r="Q55" s="116"/>
    </row>
    <row r="56" spans="1:17" x14ac:dyDescent="0.25">
      <c r="A56" s="250"/>
      <c r="B56" s="7"/>
      <c r="C56" s="20"/>
      <c r="D56" s="100"/>
      <c r="E56" s="185"/>
      <c r="F56" s="100">
        <f t="shared" si="2"/>
        <v>0</v>
      </c>
      <c r="G56" s="111"/>
      <c r="H56" s="101"/>
      <c r="J56" s="250"/>
      <c r="K56" s="7"/>
      <c r="L56" s="20"/>
      <c r="M56" s="114"/>
      <c r="N56" s="167"/>
      <c r="O56" s="114">
        <f t="shared" si="1"/>
        <v>0</v>
      </c>
      <c r="P56" s="115"/>
      <c r="Q56" s="116"/>
    </row>
    <row r="57" spans="1:17" x14ac:dyDescent="0.25">
      <c r="A57" s="250"/>
      <c r="B57" s="7"/>
      <c r="C57" s="20"/>
      <c r="D57" s="100"/>
      <c r="E57" s="185"/>
      <c r="F57" s="100">
        <f t="shared" si="2"/>
        <v>0</v>
      </c>
      <c r="G57" s="111"/>
      <c r="H57" s="101"/>
      <c r="J57" s="250"/>
      <c r="K57" s="7"/>
      <c r="L57" s="20"/>
      <c r="M57" s="114"/>
      <c r="N57" s="167"/>
      <c r="O57" s="114">
        <f t="shared" si="1"/>
        <v>0</v>
      </c>
      <c r="P57" s="115"/>
      <c r="Q57" s="116"/>
    </row>
    <row r="58" spans="1:17" x14ac:dyDescent="0.25">
      <c r="A58" s="250"/>
      <c r="B58" s="7"/>
      <c r="C58" s="20"/>
      <c r="D58" s="100"/>
      <c r="E58" s="185"/>
      <c r="F58" s="100">
        <f t="shared" si="2"/>
        <v>0</v>
      </c>
      <c r="G58" s="111"/>
      <c r="H58" s="101"/>
      <c r="J58" s="250"/>
      <c r="K58" s="7"/>
      <c r="L58" s="20"/>
      <c r="M58" s="114"/>
      <c r="N58" s="167"/>
      <c r="O58" s="114">
        <f t="shared" si="1"/>
        <v>0</v>
      </c>
      <c r="P58" s="115"/>
      <c r="Q58" s="116"/>
    </row>
    <row r="59" spans="1:17" x14ac:dyDescent="0.25">
      <c r="A59" s="250"/>
      <c r="B59" s="7"/>
      <c r="C59" s="20"/>
      <c r="D59" s="100"/>
      <c r="E59" s="185"/>
      <c r="F59" s="100">
        <f t="shared" si="2"/>
        <v>0</v>
      </c>
      <c r="G59" s="111"/>
      <c r="H59" s="101"/>
      <c r="J59" s="250"/>
      <c r="K59" s="7"/>
      <c r="L59" s="20"/>
      <c r="M59" s="114"/>
      <c r="N59" s="167"/>
      <c r="O59" s="114">
        <f t="shared" si="1"/>
        <v>0</v>
      </c>
      <c r="P59" s="115"/>
      <c r="Q59" s="116"/>
    </row>
    <row r="60" spans="1:17" x14ac:dyDescent="0.25">
      <c r="A60" s="250"/>
      <c r="B60" s="7"/>
      <c r="C60" s="20"/>
      <c r="D60" s="100"/>
      <c r="E60" s="185"/>
      <c r="F60" s="100">
        <f t="shared" si="2"/>
        <v>0</v>
      </c>
      <c r="G60" s="111"/>
      <c r="H60" s="101"/>
      <c r="J60" s="250"/>
      <c r="K60" s="7"/>
      <c r="L60" s="20"/>
      <c r="M60" s="114"/>
      <c r="N60" s="167"/>
      <c r="O60" s="114">
        <f t="shared" si="1"/>
        <v>0</v>
      </c>
      <c r="P60" s="115"/>
      <c r="Q60" s="116"/>
    </row>
    <row r="61" spans="1:17" x14ac:dyDescent="0.25">
      <c r="A61" s="250"/>
      <c r="B61" s="7"/>
      <c r="C61" s="20"/>
      <c r="D61" s="100"/>
      <c r="E61" s="185"/>
      <c r="F61" s="100">
        <f t="shared" si="2"/>
        <v>0</v>
      </c>
      <c r="G61" s="111"/>
      <c r="H61" s="101"/>
      <c r="J61" s="250"/>
      <c r="K61" s="7"/>
      <c r="L61" s="20"/>
      <c r="M61" s="114"/>
      <c r="N61" s="167"/>
      <c r="O61" s="114">
        <f t="shared" si="1"/>
        <v>0</v>
      </c>
      <c r="P61" s="115"/>
      <c r="Q61" s="116"/>
    </row>
    <row r="62" spans="1:17" x14ac:dyDescent="0.25">
      <c r="A62" s="250"/>
      <c r="B62" s="7"/>
      <c r="C62" s="20"/>
      <c r="D62" s="100"/>
      <c r="E62" s="185"/>
      <c r="F62" s="100">
        <f t="shared" si="2"/>
        <v>0</v>
      </c>
      <c r="G62" s="111"/>
      <c r="H62" s="101"/>
      <c r="J62" s="250"/>
      <c r="K62" s="7"/>
      <c r="L62" s="20"/>
      <c r="M62" s="114"/>
      <c r="N62" s="167"/>
      <c r="O62" s="114">
        <f t="shared" si="1"/>
        <v>0</v>
      </c>
      <c r="P62" s="115"/>
      <c r="Q62" s="116"/>
    </row>
    <row r="63" spans="1:17" x14ac:dyDescent="0.25">
      <c r="A63" s="250"/>
      <c r="B63" s="7"/>
      <c r="C63" s="20"/>
      <c r="D63" s="100"/>
      <c r="E63" s="185"/>
      <c r="F63" s="100">
        <f t="shared" si="2"/>
        <v>0</v>
      </c>
      <c r="G63" s="111"/>
      <c r="H63" s="101"/>
      <c r="J63" s="250"/>
      <c r="K63" s="7"/>
      <c r="L63" s="20"/>
      <c r="M63" s="114"/>
      <c r="N63" s="167"/>
      <c r="O63" s="114">
        <f t="shared" si="1"/>
        <v>0</v>
      </c>
      <c r="P63" s="115"/>
      <c r="Q63" s="116"/>
    </row>
    <row r="64" spans="1:17" x14ac:dyDescent="0.25">
      <c r="A64" s="250"/>
      <c r="B64" s="7"/>
      <c r="C64" s="20"/>
      <c r="D64" s="100"/>
      <c r="E64" s="185"/>
      <c r="F64" s="100">
        <f t="shared" si="2"/>
        <v>0</v>
      </c>
      <c r="G64" s="111"/>
      <c r="H64" s="101"/>
      <c r="J64" s="250"/>
      <c r="K64" s="7"/>
      <c r="L64" s="20"/>
      <c r="M64" s="114"/>
      <c r="N64" s="167"/>
      <c r="O64" s="114">
        <f t="shared" si="1"/>
        <v>0</v>
      </c>
      <c r="P64" s="115"/>
      <c r="Q64" s="116"/>
    </row>
    <row r="65" spans="1:17" x14ac:dyDescent="0.25">
      <c r="A65" s="250"/>
      <c r="B65" s="7"/>
      <c r="C65" s="20"/>
      <c r="D65" s="100"/>
      <c r="E65" s="185"/>
      <c r="F65" s="100">
        <f t="shared" si="2"/>
        <v>0</v>
      </c>
      <c r="G65" s="111"/>
      <c r="H65" s="101"/>
      <c r="J65" s="250"/>
      <c r="K65" s="7"/>
      <c r="L65" s="20"/>
      <c r="M65" s="114"/>
      <c r="N65" s="167"/>
      <c r="O65" s="114">
        <f t="shared" si="1"/>
        <v>0</v>
      </c>
      <c r="P65" s="115"/>
      <c r="Q65" s="116"/>
    </row>
    <row r="66" spans="1:17" x14ac:dyDescent="0.25">
      <c r="A66" s="250"/>
      <c r="B66" s="7"/>
      <c r="C66" s="20"/>
      <c r="D66" s="100"/>
      <c r="E66" s="185"/>
      <c r="F66" s="100">
        <f t="shared" si="2"/>
        <v>0</v>
      </c>
      <c r="G66" s="111"/>
      <c r="H66" s="101"/>
      <c r="J66" s="250"/>
      <c r="K66" s="7"/>
      <c r="L66" s="20"/>
      <c r="M66" s="114"/>
      <c r="N66" s="167"/>
      <c r="O66" s="114">
        <f t="shared" si="1"/>
        <v>0</v>
      </c>
      <c r="P66" s="115"/>
      <c r="Q66" s="116"/>
    </row>
    <row r="67" spans="1:17" x14ac:dyDescent="0.25">
      <c r="A67" s="250"/>
      <c r="B67" s="7"/>
      <c r="C67" s="20"/>
      <c r="D67" s="100"/>
      <c r="E67" s="185"/>
      <c r="F67" s="100">
        <f t="shared" si="2"/>
        <v>0</v>
      </c>
      <c r="G67" s="111"/>
      <c r="H67" s="101"/>
      <c r="J67" s="250"/>
      <c r="K67" s="7"/>
      <c r="L67" s="20"/>
      <c r="M67" s="114"/>
      <c r="N67" s="167"/>
      <c r="O67" s="114">
        <f t="shared" si="1"/>
        <v>0</v>
      </c>
      <c r="P67" s="115"/>
      <c r="Q67" s="116"/>
    </row>
    <row r="68" spans="1:17" x14ac:dyDescent="0.25">
      <c r="A68" s="250"/>
      <c r="B68" s="7"/>
      <c r="C68" s="20"/>
      <c r="D68" s="114"/>
      <c r="E68" s="167"/>
      <c r="F68" s="114">
        <f t="shared" si="2"/>
        <v>0</v>
      </c>
      <c r="G68" s="115"/>
      <c r="H68" s="116"/>
      <c r="J68" s="250"/>
      <c r="K68" s="7"/>
      <c r="L68" s="20"/>
      <c r="M68" s="114"/>
      <c r="N68" s="167"/>
      <c r="O68" s="114">
        <f t="shared" si="1"/>
        <v>0</v>
      </c>
      <c r="P68" s="115"/>
      <c r="Q68" s="116"/>
    </row>
    <row r="69" spans="1:17" x14ac:dyDescent="0.25">
      <c r="A69" s="250"/>
      <c r="B69" s="7"/>
      <c r="C69" s="20"/>
      <c r="D69" s="114"/>
      <c r="E69" s="167"/>
      <c r="F69" s="114">
        <f t="shared" si="2"/>
        <v>0</v>
      </c>
      <c r="G69" s="115"/>
      <c r="H69" s="116"/>
      <c r="J69" s="250"/>
      <c r="K69" s="7"/>
      <c r="L69" s="20"/>
      <c r="M69" s="114"/>
      <c r="N69" s="167"/>
      <c r="O69" s="114">
        <f t="shared" si="1"/>
        <v>0</v>
      </c>
      <c r="P69" s="115"/>
      <c r="Q69" s="116"/>
    </row>
    <row r="70" spans="1:17" x14ac:dyDescent="0.25">
      <c r="A70" s="250"/>
      <c r="B70" s="7"/>
      <c r="C70" s="20"/>
      <c r="D70" s="114"/>
      <c r="E70" s="167"/>
      <c r="F70" s="114">
        <f t="shared" si="2"/>
        <v>0</v>
      </c>
      <c r="G70" s="115"/>
      <c r="H70" s="116"/>
      <c r="J70" s="250"/>
      <c r="K70" s="7"/>
      <c r="L70" s="20"/>
      <c r="M70" s="114"/>
      <c r="N70" s="167"/>
      <c r="O70" s="114">
        <f t="shared" si="1"/>
        <v>0</v>
      </c>
      <c r="P70" s="115"/>
      <c r="Q70" s="116"/>
    </row>
    <row r="71" spans="1:17" x14ac:dyDescent="0.25">
      <c r="A71" s="250"/>
      <c r="B71" s="7"/>
      <c r="C71" s="20"/>
      <c r="D71" s="114"/>
      <c r="E71" s="167"/>
      <c r="F71" s="114">
        <f t="shared" si="2"/>
        <v>0</v>
      </c>
      <c r="G71" s="115"/>
      <c r="H71" s="116"/>
      <c r="J71" s="250"/>
      <c r="K71" s="7"/>
      <c r="L71" s="20"/>
      <c r="M71" s="114"/>
      <c r="N71" s="167"/>
      <c r="O71" s="114">
        <f t="shared" si="1"/>
        <v>0</v>
      </c>
      <c r="P71" s="115"/>
      <c r="Q71" s="116"/>
    </row>
    <row r="72" spans="1:17" x14ac:dyDescent="0.25">
      <c r="A72" s="250"/>
      <c r="B72" s="7"/>
      <c r="C72" s="20"/>
      <c r="D72" s="114"/>
      <c r="E72" s="167"/>
      <c r="F72" s="114">
        <f t="shared" si="2"/>
        <v>0</v>
      </c>
      <c r="G72" s="115"/>
      <c r="H72" s="116"/>
      <c r="J72" s="250"/>
      <c r="K72" s="7"/>
      <c r="L72" s="20"/>
      <c r="M72" s="114"/>
      <c r="N72" s="167"/>
      <c r="O72" s="114">
        <f t="shared" si="1"/>
        <v>0</v>
      </c>
      <c r="P72" s="115"/>
      <c r="Q72" s="116"/>
    </row>
    <row r="73" spans="1:17" x14ac:dyDescent="0.25">
      <c r="A73" s="250"/>
      <c r="B73" s="7"/>
      <c r="C73" s="20"/>
      <c r="D73" s="114"/>
      <c r="E73" s="167"/>
      <c r="F73" s="114">
        <f t="shared" ref="F73:F75" si="3">D73</f>
        <v>0</v>
      </c>
      <c r="G73" s="115"/>
      <c r="H73" s="116"/>
      <c r="J73" s="250"/>
      <c r="K73" s="7"/>
      <c r="L73" s="20"/>
      <c r="M73" s="114"/>
      <c r="N73" s="167"/>
      <c r="O73" s="114">
        <f t="shared" ref="O73:O75" si="4">M73</f>
        <v>0</v>
      </c>
      <c r="P73" s="115"/>
      <c r="Q73" s="116"/>
    </row>
    <row r="74" spans="1:17" x14ac:dyDescent="0.25">
      <c r="A74" s="250"/>
      <c r="B74" s="7"/>
      <c r="C74" s="20"/>
      <c r="D74" s="114"/>
      <c r="E74" s="167"/>
      <c r="F74" s="114">
        <f t="shared" si="3"/>
        <v>0</v>
      </c>
      <c r="G74" s="115"/>
      <c r="H74" s="116"/>
      <c r="J74" s="250"/>
      <c r="K74" s="7"/>
      <c r="L74" s="20"/>
      <c r="M74" s="114"/>
      <c r="N74" s="167"/>
      <c r="O74" s="114">
        <f t="shared" si="4"/>
        <v>0</v>
      </c>
      <c r="P74" s="115"/>
      <c r="Q74" s="116"/>
    </row>
    <row r="75" spans="1:17" x14ac:dyDescent="0.25">
      <c r="A75" s="250"/>
      <c r="B75" s="7"/>
      <c r="C75" s="20"/>
      <c r="D75" s="114"/>
      <c r="E75" s="167"/>
      <c r="F75" s="114">
        <f t="shared" si="3"/>
        <v>0</v>
      </c>
      <c r="G75" s="115"/>
      <c r="H75" s="116"/>
      <c r="J75" s="250"/>
      <c r="K75" s="7"/>
      <c r="L75" s="20"/>
      <c r="M75" s="114"/>
      <c r="N75" s="167"/>
      <c r="O75" s="114">
        <f t="shared" si="4"/>
        <v>0</v>
      </c>
      <c r="P75" s="115"/>
      <c r="Q75" s="116"/>
    </row>
    <row r="76" spans="1:17" ht="15.75" thickBot="1" x14ac:dyDescent="0.3">
      <c r="A76" s="250"/>
      <c r="B76" s="21"/>
      <c r="C76" s="80"/>
      <c r="D76" s="208"/>
      <c r="E76" s="209"/>
      <c r="F76" s="199"/>
      <c r="G76" s="200"/>
      <c r="H76" s="101"/>
      <c r="J76" s="250"/>
      <c r="K76" s="21"/>
      <c r="L76" s="80"/>
      <c r="M76" s="208"/>
      <c r="N76" s="209"/>
      <c r="O76" s="199"/>
      <c r="P76" s="200"/>
      <c r="Q76" s="101"/>
    </row>
    <row r="77" spans="1:17" x14ac:dyDescent="0.25">
      <c r="C77" s="82">
        <f>SUM(C9:C76)</f>
        <v>210</v>
      </c>
      <c r="D77" s="9">
        <f>SUM(D9:D76)</f>
        <v>4135.3</v>
      </c>
      <c r="F77" s="9">
        <f>SUM(F9:F76)</f>
        <v>4135.3</v>
      </c>
      <c r="L77" s="82">
        <f>SUM(L9:L76)</f>
        <v>0</v>
      </c>
      <c r="M77" s="9">
        <f>SUM(M9:M76)</f>
        <v>0</v>
      </c>
      <c r="O77" s="9">
        <f>SUM(O9:O76)</f>
        <v>0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261</v>
      </c>
      <c r="M80" s="61" t="s">
        <v>4</v>
      </c>
      <c r="N80" s="93">
        <f>O5+O6-L77+O7</f>
        <v>180</v>
      </c>
    </row>
    <row r="81" spans="3:16" ht="15.75" thickBot="1" x14ac:dyDescent="0.3"/>
    <row r="82" spans="3:16" ht="15.75" thickBot="1" x14ac:dyDescent="0.3">
      <c r="C82" s="757" t="s">
        <v>11</v>
      </c>
      <c r="D82" s="758"/>
      <c r="E82" s="95">
        <f>E5+E6-F77+E7</f>
        <v>5131.4999999999991</v>
      </c>
      <c r="F82" s="124"/>
      <c r="G82" s="16"/>
      <c r="L82" s="757" t="s">
        <v>11</v>
      </c>
      <c r="M82" s="758"/>
      <c r="N82" s="95">
        <f>N5+N6-O77+N7</f>
        <v>3180.96</v>
      </c>
      <c r="O82" s="124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R1" workbookViewId="0">
      <pane ySplit="7" topLeftCell="A20" activePane="bottomLeft" state="frozen"/>
      <selection pane="bottomLeft" activeCell="U31" sqref="U31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16384" width="11.42578125" style="59"/>
  </cols>
  <sheetData>
    <row r="1" spans="1:26" ht="36.75" customHeight="1" x14ac:dyDescent="0.55000000000000004">
      <c r="A1" s="760" t="s">
        <v>115</v>
      </c>
      <c r="B1" s="760"/>
      <c r="C1" s="760"/>
      <c r="D1" s="760"/>
      <c r="E1" s="760"/>
      <c r="F1" s="760"/>
      <c r="G1" s="760"/>
      <c r="H1" s="14">
        <v>1</v>
      </c>
      <c r="J1" s="760" t="s">
        <v>261</v>
      </c>
      <c r="K1" s="760"/>
      <c r="L1" s="760"/>
      <c r="M1" s="760"/>
      <c r="N1" s="760"/>
      <c r="O1" s="760"/>
      <c r="P1" s="760"/>
      <c r="Q1" s="14">
        <f>H1+1</f>
        <v>2</v>
      </c>
      <c r="S1" s="756" t="s">
        <v>428</v>
      </c>
      <c r="T1" s="756"/>
      <c r="U1" s="756"/>
      <c r="V1" s="756"/>
      <c r="W1" s="756"/>
      <c r="X1" s="756"/>
      <c r="Y1" s="756"/>
      <c r="Z1" s="14">
        <f>Q1+1</f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</row>
    <row r="4" spans="1:26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620"/>
      <c r="S4" s="16"/>
      <c r="T4" s="16" t="s">
        <v>162</v>
      </c>
      <c r="U4" s="16"/>
      <c r="V4" s="16"/>
      <c r="W4" s="103">
        <v>244.38</v>
      </c>
      <c r="X4" s="104">
        <v>9</v>
      </c>
      <c r="Y4" s="52"/>
      <c r="Z4" s="16"/>
    </row>
    <row r="5" spans="1:26" x14ac:dyDescent="0.25">
      <c r="A5" s="16" t="s">
        <v>44</v>
      </c>
      <c r="B5" s="16" t="s">
        <v>63</v>
      </c>
      <c r="C5" s="109" t="s">
        <v>84</v>
      </c>
      <c r="D5" s="17">
        <v>42042</v>
      </c>
      <c r="E5" s="166">
        <v>13555.56</v>
      </c>
      <c r="F5" s="22">
        <v>498</v>
      </c>
      <c r="G5" s="174">
        <f>F61</f>
        <v>11078.54</v>
      </c>
      <c r="H5" s="10">
        <f>E5-G5+E4+E6</f>
        <v>2613.1199999999985</v>
      </c>
      <c r="J5" s="16" t="s">
        <v>117</v>
      </c>
      <c r="K5" s="517" t="s">
        <v>119</v>
      </c>
      <c r="L5" s="109" t="s">
        <v>120</v>
      </c>
      <c r="M5" s="17">
        <v>42149</v>
      </c>
      <c r="N5" s="166">
        <v>9525.6</v>
      </c>
      <c r="O5" s="22">
        <v>420</v>
      </c>
      <c r="P5" s="174">
        <f>M61</f>
        <v>12712.5</v>
      </c>
      <c r="Q5" s="621">
        <f>N5-P5+N4+N6</f>
        <v>-3186.8999999999996</v>
      </c>
      <c r="S5" s="16" t="s">
        <v>211</v>
      </c>
      <c r="T5" s="548" t="s">
        <v>212</v>
      </c>
      <c r="U5" s="109" t="s">
        <v>272</v>
      </c>
      <c r="V5" s="17">
        <v>42236</v>
      </c>
      <c r="W5" s="166">
        <v>18509.599999999999</v>
      </c>
      <c r="X5" s="22">
        <v>680</v>
      </c>
      <c r="Y5" s="174">
        <f>V61</f>
        <v>10670.24</v>
      </c>
      <c r="Z5" s="10">
        <f>W5-Y5+W4+W6</f>
        <v>8083.7399999999989</v>
      </c>
    </row>
    <row r="6" spans="1:26" ht="15.75" thickBot="1" x14ac:dyDescent="0.3">
      <c r="A6" s="16"/>
      <c r="B6" s="22"/>
      <c r="C6" s="16"/>
      <c r="D6" s="16"/>
      <c r="E6" s="133">
        <v>136.1</v>
      </c>
      <c r="F6" s="124">
        <v>5</v>
      </c>
      <c r="G6" s="16"/>
      <c r="H6" s="511"/>
      <c r="J6" s="16"/>
      <c r="K6" s="515"/>
      <c r="L6" s="273"/>
      <c r="M6" s="16"/>
      <c r="N6" s="133"/>
      <c r="O6" s="124"/>
      <c r="P6" s="16"/>
      <c r="Q6" s="620"/>
      <c r="S6" s="16"/>
      <c r="T6" s="515"/>
      <c r="U6" s="273"/>
      <c r="V6" s="16"/>
      <c r="W6" s="133"/>
      <c r="X6" s="124"/>
      <c r="Y6" s="16"/>
      <c r="Z6"/>
    </row>
    <row r="7" spans="1:26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7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2" t="s">
        <v>33</v>
      </c>
      <c r="B8" s="175">
        <v>27.22</v>
      </c>
      <c r="C8" s="20">
        <v>10</v>
      </c>
      <c r="D8" s="179">
        <f t="shared" ref="D8:D10" si="0">B8*C8</f>
        <v>272.2</v>
      </c>
      <c r="E8" s="156">
        <v>42105</v>
      </c>
      <c r="F8" s="204">
        <f t="shared" ref="F8:F10" si="1">D8</f>
        <v>272.2</v>
      </c>
      <c r="G8" s="115" t="s">
        <v>103</v>
      </c>
      <c r="H8" s="116">
        <v>28</v>
      </c>
      <c r="J8" s="92" t="s">
        <v>33</v>
      </c>
      <c r="K8" s="175"/>
      <c r="L8" s="20">
        <v>38</v>
      </c>
      <c r="M8" s="179">
        <v>1055</v>
      </c>
      <c r="N8" s="156">
        <v>42131</v>
      </c>
      <c r="O8" s="204">
        <f t="shared" ref="O8:O60" si="2">M8</f>
        <v>1055</v>
      </c>
      <c r="P8" s="115" t="s">
        <v>128</v>
      </c>
      <c r="Q8" s="116">
        <v>21</v>
      </c>
      <c r="S8" s="92" t="s">
        <v>33</v>
      </c>
      <c r="T8" s="175">
        <v>27.22</v>
      </c>
      <c r="U8" s="20">
        <v>12</v>
      </c>
      <c r="V8" s="629">
        <f t="shared" ref="V8:V9" si="3">U8*T8</f>
        <v>326.64</v>
      </c>
      <c r="W8" s="630">
        <v>42258</v>
      </c>
      <c r="X8" s="631">
        <f t="shared" ref="X8:X9" si="4">V8</f>
        <v>326.64</v>
      </c>
      <c r="Y8" s="632" t="s">
        <v>388</v>
      </c>
      <c r="Z8" s="261">
        <v>25</v>
      </c>
    </row>
    <row r="9" spans="1:26" x14ac:dyDescent="0.25">
      <c r="A9" s="16"/>
      <c r="B9" s="175">
        <v>27.22</v>
      </c>
      <c r="C9" s="20">
        <v>33</v>
      </c>
      <c r="D9" s="179">
        <f t="shared" si="0"/>
        <v>898.26</v>
      </c>
      <c r="E9" s="156">
        <v>42107</v>
      </c>
      <c r="F9" s="204">
        <f t="shared" si="1"/>
        <v>898.26</v>
      </c>
      <c r="G9" s="115" t="s">
        <v>104</v>
      </c>
      <c r="H9" s="116">
        <v>28</v>
      </c>
      <c r="J9" s="16"/>
      <c r="K9" s="175"/>
      <c r="L9" s="20">
        <v>21</v>
      </c>
      <c r="M9" s="114">
        <v>588.5</v>
      </c>
      <c r="N9" s="180">
        <v>42140</v>
      </c>
      <c r="O9" s="395">
        <f t="shared" si="2"/>
        <v>588.5</v>
      </c>
      <c r="P9" s="115" t="s">
        <v>146</v>
      </c>
      <c r="Q9" s="212">
        <v>21</v>
      </c>
      <c r="S9" s="16"/>
      <c r="T9" s="175">
        <v>27.22</v>
      </c>
      <c r="U9" s="20">
        <v>28</v>
      </c>
      <c r="V9" s="629">
        <f t="shared" si="3"/>
        <v>762.16</v>
      </c>
      <c r="W9" s="630">
        <v>42262</v>
      </c>
      <c r="X9" s="631">
        <f t="shared" si="4"/>
        <v>762.16</v>
      </c>
      <c r="Y9" s="632" t="s">
        <v>400</v>
      </c>
      <c r="Z9" s="261">
        <v>25</v>
      </c>
    </row>
    <row r="10" spans="1:26" x14ac:dyDescent="0.25">
      <c r="B10" s="175">
        <v>27.22</v>
      </c>
      <c r="C10" s="20">
        <v>5</v>
      </c>
      <c r="D10" s="179">
        <f t="shared" si="0"/>
        <v>136.1</v>
      </c>
      <c r="E10" s="156">
        <v>42109</v>
      </c>
      <c r="F10" s="204">
        <f t="shared" si="1"/>
        <v>136.1</v>
      </c>
      <c r="G10" s="115" t="s">
        <v>106</v>
      </c>
      <c r="H10" s="116">
        <v>28</v>
      </c>
      <c r="K10" s="175"/>
      <c r="L10" s="20">
        <v>3</v>
      </c>
      <c r="M10" s="179">
        <v>84.4</v>
      </c>
      <c r="N10" s="156">
        <v>42140</v>
      </c>
      <c r="O10" s="204">
        <f t="shared" si="2"/>
        <v>84.4</v>
      </c>
      <c r="P10" s="115" t="s">
        <v>139</v>
      </c>
      <c r="Q10" s="116">
        <v>21</v>
      </c>
      <c r="T10" s="175">
        <v>27.22</v>
      </c>
      <c r="U10" s="20">
        <v>10</v>
      </c>
      <c r="V10" s="629">
        <f t="shared" ref="V10:V59" si="5">U10*T10</f>
        <v>272.2</v>
      </c>
      <c r="W10" s="630">
        <v>42265</v>
      </c>
      <c r="X10" s="631">
        <f t="shared" ref="X10:X60" si="6">V10</f>
        <v>272.2</v>
      </c>
      <c r="Y10" s="632" t="s">
        <v>404</v>
      </c>
      <c r="Z10" s="261">
        <v>25</v>
      </c>
    </row>
    <row r="11" spans="1:26" x14ac:dyDescent="0.25">
      <c r="A11" s="147" t="s">
        <v>34</v>
      </c>
      <c r="B11" s="175">
        <v>27.22</v>
      </c>
      <c r="C11" s="20">
        <v>40</v>
      </c>
      <c r="D11" s="179">
        <f t="shared" ref="D11:D60" si="7">B11*C11</f>
        <v>1088.8</v>
      </c>
      <c r="E11" s="156">
        <v>42112</v>
      </c>
      <c r="F11" s="204">
        <f t="shared" ref="F11:F60" si="8">D11</f>
        <v>1088.8</v>
      </c>
      <c r="G11" s="115" t="s">
        <v>109</v>
      </c>
      <c r="H11" s="116">
        <v>28</v>
      </c>
      <c r="J11" s="147" t="s">
        <v>34</v>
      </c>
      <c r="K11" s="175"/>
      <c r="L11" s="20">
        <v>1</v>
      </c>
      <c r="M11" s="179">
        <v>28.2</v>
      </c>
      <c r="N11" s="156">
        <v>42144</v>
      </c>
      <c r="O11" s="204">
        <f t="shared" si="2"/>
        <v>28.2</v>
      </c>
      <c r="P11" s="115" t="s">
        <v>123</v>
      </c>
      <c r="Q11" s="116">
        <v>21</v>
      </c>
      <c r="S11" s="147" t="s">
        <v>34</v>
      </c>
      <c r="T11" s="175">
        <v>27.22</v>
      </c>
      <c r="U11" s="20">
        <v>19</v>
      </c>
      <c r="V11" s="629">
        <f t="shared" si="5"/>
        <v>517.17999999999995</v>
      </c>
      <c r="W11" s="630">
        <v>42265</v>
      </c>
      <c r="X11" s="631">
        <f t="shared" si="6"/>
        <v>517.17999999999995</v>
      </c>
      <c r="Y11" s="632" t="s">
        <v>406</v>
      </c>
      <c r="Z11" s="261">
        <v>25</v>
      </c>
    </row>
    <row r="12" spans="1:26" x14ac:dyDescent="0.25">
      <c r="B12" s="175">
        <v>27.22</v>
      </c>
      <c r="C12" s="20">
        <v>5</v>
      </c>
      <c r="D12" s="179">
        <f t="shared" si="7"/>
        <v>136.1</v>
      </c>
      <c r="E12" s="156">
        <v>42122</v>
      </c>
      <c r="F12" s="204">
        <f t="shared" si="8"/>
        <v>136.1</v>
      </c>
      <c r="G12" s="115" t="s">
        <v>112</v>
      </c>
      <c r="H12" s="116">
        <v>28</v>
      </c>
      <c r="K12" s="175"/>
      <c r="L12" s="20">
        <v>18</v>
      </c>
      <c r="M12" s="179">
        <v>501.6</v>
      </c>
      <c r="N12" s="156">
        <v>42144</v>
      </c>
      <c r="O12" s="204">
        <f t="shared" si="2"/>
        <v>501.6</v>
      </c>
      <c r="P12" s="115" t="s">
        <v>147</v>
      </c>
      <c r="Q12" s="116">
        <v>21</v>
      </c>
      <c r="T12" s="175">
        <v>27.22</v>
      </c>
      <c r="U12" s="20">
        <v>1</v>
      </c>
      <c r="V12" s="629">
        <f t="shared" si="5"/>
        <v>27.22</v>
      </c>
      <c r="W12" s="630">
        <v>42266</v>
      </c>
      <c r="X12" s="631">
        <f t="shared" si="6"/>
        <v>27.22</v>
      </c>
      <c r="Y12" s="632" t="s">
        <v>407</v>
      </c>
      <c r="Z12" s="261">
        <v>25</v>
      </c>
    </row>
    <row r="13" spans="1:26" x14ac:dyDescent="0.25">
      <c r="A13" s="182"/>
      <c r="B13" s="175">
        <v>27.22</v>
      </c>
      <c r="C13" s="20">
        <v>27</v>
      </c>
      <c r="D13" s="179">
        <f t="shared" si="7"/>
        <v>734.93999999999994</v>
      </c>
      <c r="E13" s="156">
        <v>42123</v>
      </c>
      <c r="F13" s="204">
        <f t="shared" si="8"/>
        <v>734.93999999999994</v>
      </c>
      <c r="G13" s="115" t="s">
        <v>113</v>
      </c>
      <c r="H13" s="116">
        <v>28</v>
      </c>
      <c r="J13" s="182"/>
      <c r="K13" s="175"/>
      <c r="L13" s="20">
        <v>3</v>
      </c>
      <c r="M13" s="179">
        <v>82.7</v>
      </c>
      <c r="N13" s="156">
        <v>42144</v>
      </c>
      <c r="O13" s="204">
        <f t="shared" si="2"/>
        <v>82.7</v>
      </c>
      <c r="P13" s="115" t="s">
        <v>148</v>
      </c>
      <c r="Q13" s="116">
        <v>21</v>
      </c>
      <c r="S13" s="182"/>
      <c r="T13" s="175">
        <v>27.22</v>
      </c>
      <c r="U13" s="20">
        <v>2</v>
      </c>
      <c r="V13" s="629">
        <f t="shared" si="5"/>
        <v>54.44</v>
      </c>
      <c r="W13" s="630">
        <v>42268</v>
      </c>
      <c r="X13" s="631">
        <f t="shared" si="6"/>
        <v>54.44</v>
      </c>
      <c r="Y13" s="632" t="s">
        <v>408</v>
      </c>
      <c r="Z13" s="261">
        <v>25</v>
      </c>
    </row>
    <row r="14" spans="1:26" x14ac:dyDescent="0.25">
      <c r="B14" s="175">
        <v>27.22</v>
      </c>
      <c r="C14" s="20">
        <v>24</v>
      </c>
      <c r="D14" s="179">
        <f t="shared" si="7"/>
        <v>653.28</v>
      </c>
      <c r="E14" s="156">
        <v>42123</v>
      </c>
      <c r="F14" s="204">
        <f t="shared" si="8"/>
        <v>653.28</v>
      </c>
      <c r="G14" s="115" t="s">
        <v>114</v>
      </c>
      <c r="H14" s="116">
        <v>28</v>
      </c>
      <c r="K14" s="175"/>
      <c r="L14" s="20">
        <v>30</v>
      </c>
      <c r="M14" s="179">
        <v>843.1</v>
      </c>
      <c r="N14" s="156">
        <v>42145</v>
      </c>
      <c r="O14" s="204">
        <f t="shared" si="2"/>
        <v>843.1</v>
      </c>
      <c r="P14" s="115" t="s">
        <v>145</v>
      </c>
      <c r="Q14" s="116">
        <v>21</v>
      </c>
      <c r="T14" s="175">
        <v>27.22</v>
      </c>
      <c r="U14" s="20">
        <v>28</v>
      </c>
      <c r="V14" s="629">
        <f t="shared" si="5"/>
        <v>762.16</v>
      </c>
      <c r="W14" s="630">
        <v>42268</v>
      </c>
      <c r="X14" s="631">
        <f t="shared" si="6"/>
        <v>762.16</v>
      </c>
      <c r="Y14" s="632" t="s">
        <v>409</v>
      </c>
      <c r="Z14" s="261">
        <v>25</v>
      </c>
    </row>
    <row r="15" spans="1:26" x14ac:dyDescent="0.25">
      <c r="B15" s="175">
        <v>27.22</v>
      </c>
      <c r="C15" s="20">
        <v>10</v>
      </c>
      <c r="D15" s="420">
        <f t="shared" si="7"/>
        <v>272.2</v>
      </c>
      <c r="E15" s="423">
        <v>42125</v>
      </c>
      <c r="F15" s="153">
        <f t="shared" si="8"/>
        <v>272.2</v>
      </c>
      <c r="G15" s="111" t="s">
        <v>122</v>
      </c>
      <c r="H15" s="101">
        <v>28</v>
      </c>
      <c r="K15" s="175"/>
      <c r="L15" s="20">
        <v>1</v>
      </c>
      <c r="M15" s="179">
        <v>22.7</v>
      </c>
      <c r="N15" s="156">
        <v>42149</v>
      </c>
      <c r="O15" s="204">
        <f t="shared" si="2"/>
        <v>22.7</v>
      </c>
      <c r="P15" s="115" t="s">
        <v>154</v>
      </c>
      <c r="Q15" s="116">
        <v>24</v>
      </c>
      <c r="T15" s="175">
        <v>27.22</v>
      </c>
      <c r="U15" s="20">
        <v>28</v>
      </c>
      <c r="V15" s="629">
        <f t="shared" si="5"/>
        <v>762.16</v>
      </c>
      <c r="W15" s="630">
        <v>42271</v>
      </c>
      <c r="X15" s="631">
        <f t="shared" si="6"/>
        <v>762.16</v>
      </c>
      <c r="Y15" s="632" t="s">
        <v>412</v>
      </c>
      <c r="Z15" s="261">
        <v>25</v>
      </c>
    </row>
    <row r="16" spans="1:26" x14ac:dyDescent="0.25">
      <c r="B16" s="175">
        <v>27.22</v>
      </c>
      <c r="C16" s="20">
        <v>10</v>
      </c>
      <c r="D16" s="420">
        <f t="shared" si="7"/>
        <v>272.2</v>
      </c>
      <c r="E16" s="423">
        <v>42128</v>
      </c>
      <c r="F16" s="153">
        <f t="shared" si="8"/>
        <v>272.2</v>
      </c>
      <c r="G16" s="111" t="s">
        <v>124</v>
      </c>
      <c r="H16" s="101">
        <v>28</v>
      </c>
      <c r="K16" s="175"/>
      <c r="L16" s="20">
        <v>3</v>
      </c>
      <c r="M16" s="179">
        <v>68.099999999999994</v>
      </c>
      <c r="N16" s="156">
        <v>42151</v>
      </c>
      <c r="O16" s="204">
        <f t="shared" si="2"/>
        <v>68.099999999999994</v>
      </c>
      <c r="P16" s="115" t="s">
        <v>157</v>
      </c>
      <c r="Q16" s="116">
        <v>24</v>
      </c>
      <c r="T16" s="175">
        <v>27.22</v>
      </c>
      <c r="U16" s="20">
        <v>3</v>
      </c>
      <c r="V16" s="629">
        <f t="shared" si="5"/>
        <v>81.66</v>
      </c>
      <c r="W16" s="630">
        <v>42271</v>
      </c>
      <c r="X16" s="631">
        <f t="shared" si="6"/>
        <v>81.66</v>
      </c>
      <c r="Y16" s="632" t="s">
        <v>413</v>
      </c>
      <c r="Z16" s="261">
        <v>25</v>
      </c>
    </row>
    <row r="17" spans="1:26" x14ac:dyDescent="0.25">
      <c r="B17" s="175">
        <v>27.22</v>
      </c>
      <c r="C17" s="20">
        <v>38</v>
      </c>
      <c r="D17" s="420">
        <f t="shared" si="7"/>
        <v>1034.3599999999999</v>
      </c>
      <c r="E17" s="423">
        <v>42129</v>
      </c>
      <c r="F17" s="153">
        <f t="shared" si="8"/>
        <v>1034.3599999999999</v>
      </c>
      <c r="G17" s="111" t="s">
        <v>125</v>
      </c>
      <c r="H17" s="101">
        <v>21</v>
      </c>
      <c r="K17" s="175"/>
      <c r="L17" s="20">
        <v>10</v>
      </c>
      <c r="M17" s="179">
        <v>227</v>
      </c>
      <c r="N17" s="156">
        <v>42151</v>
      </c>
      <c r="O17" s="204">
        <f t="shared" si="2"/>
        <v>227</v>
      </c>
      <c r="P17" s="115" t="s">
        <v>157</v>
      </c>
      <c r="Q17" s="116">
        <v>24</v>
      </c>
      <c r="T17" s="175">
        <v>27.22</v>
      </c>
      <c r="U17" s="20">
        <v>10</v>
      </c>
      <c r="V17" s="629">
        <f t="shared" si="5"/>
        <v>272.2</v>
      </c>
      <c r="W17" s="630">
        <v>42272</v>
      </c>
      <c r="X17" s="631">
        <f t="shared" si="6"/>
        <v>272.2</v>
      </c>
      <c r="Y17" s="632" t="s">
        <v>415</v>
      </c>
      <c r="Z17" s="261">
        <v>25</v>
      </c>
    </row>
    <row r="18" spans="1:26" x14ac:dyDescent="0.25">
      <c r="B18" s="175">
        <v>27.22</v>
      </c>
      <c r="C18" s="20">
        <v>20</v>
      </c>
      <c r="D18" s="420">
        <f t="shared" si="7"/>
        <v>544.4</v>
      </c>
      <c r="E18" s="423">
        <v>42131</v>
      </c>
      <c r="F18" s="153">
        <f t="shared" si="8"/>
        <v>544.4</v>
      </c>
      <c r="G18" s="111" t="s">
        <v>127</v>
      </c>
      <c r="H18" s="101">
        <v>21</v>
      </c>
      <c r="K18" s="175"/>
      <c r="L18" s="20">
        <v>40</v>
      </c>
      <c r="M18" s="532">
        <v>908</v>
      </c>
      <c r="N18" s="533">
        <v>42157</v>
      </c>
      <c r="O18" s="534">
        <f t="shared" si="2"/>
        <v>908</v>
      </c>
      <c r="P18" s="530" t="s">
        <v>170</v>
      </c>
      <c r="Q18" s="230">
        <v>24</v>
      </c>
      <c r="T18" s="175">
        <v>27.22</v>
      </c>
      <c r="U18" s="20">
        <v>27</v>
      </c>
      <c r="V18" s="629">
        <f t="shared" si="5"/>
        <v>734.93999999999994</v>
      </c>
      <c r="W18" s="630">
        <v>42277</v>
      </c>
      <c r="X18" s="631">
        <f t="shared" si="6"/>
        <v>734.93999999999994</v>
      </c>
      <c r="Y18" s="632" t="s">
        <v>421</v>
      </c>
      <c r="Z18" s="261">
        <v>25</v>
      </c>
    </row>
    <row r="19" spans="1:26" x14ac:dyDescent="0.25">
      <c r="B19" s="175">
        <v>27.22</v>
      </c>
      <c r="C19" s="20">
        <v>38</v>
      </c>
      <c r="D19" s="420">
        <f t="shared" si="7"/>
        <v>1034.3599999999999</v>
      </c>
      <c r="E19" s="423">
        <v>42131</v>
      </c>
      <c r="F19" s="153">
        <f t="shared" si="8"/>
        <v>1034.3599999999999</v>
      </c>
      <c r="G19" s="111" t="s">
        <v>128</v>
      </c>
      <c r="H19" s="101">
        <v>21</v>
      </c>
      <c r="K19" s="175"/>
      <c r="L19" s="20">
        <v>8</v>
      </c>
      <c r="M19" s="532">
        <v>181.6</v>
      </c>
      <c r="N19" s="533">
        <v>42161</v>
      </c>
      <c r="O19" s="534">
        <f t="shared" si="2"/>
        <v>181.6</v>
      </c>
      <c r="P19" s="530" t="s">
        <v>174</v>
      </c>
      <c r="Q19" s="230">
        <v>24</v>
      </c>
      <c r="T19" s="175">
        <v>27.22</v>
      </c>
      <c r="U19" s="20">
        <v>40</v>
      </c>
      <c r="V19" s="100">
        <f t="shared" si="5"/>
        <v>1088.8</v>
      </c>
      <c r="W19" s="423">
        <v>42279</v>
      </c>
      <c r="X19" s="153">
        <f t="shared" si="6"/>
        <v>1088.8</v>
      </c>
      <c r="Y19" s="111" t="s">
        <v>634</v>
      </c>
      <c r="Z19" s="101">
        <v>25</v>
      </c>
    </row>
    <row r="20" spans="1:26" x14ac:dyDescent="0.25">
      <c r="B20" s="175">
        <v>27.22</v>
      </c>
      <c r="C20" s="20">
        <v>23</v>
      </c>
      <c r="D20" s="420">
        <f t="shared" si="7"/>
        <v>626.05999999999995</v>
      </c>
      <c r="E20" s="423">
        <v>42133</v>
      </c>
      <c r="F20" s="153">
        <f t="shared" si="8"/>
        <v>626.05999999999995</v>
      </c>
      <c r="G20" s="111" t="s">
        <v>131</v>
      </c>
      <c r="H20" s="101">
        <v>21</v>
      </c>
      <c r="K20" s="175"/>
      <c r="L20" s="20">
        <v>40</v>
      </c>
      <c r="M20" s="532">
        <v>908</v>
      </c>
      <c r="N20" s="533">
        <v>42160</v>
      </c>
      <c r="O20" s="534">
        <f t="shared" si="2"/>
        <v>908</v>
      </c>
      <c r="P20" s="530" t="s">
        <v>176</v>
      </c>
      <c r="Q20" s="230">
        <v>24</v>
      </c>
      <c r="T20" s="175">
        <v>27.22</v>
      </c>
      <c r="U20" s="20">
        <v>28</v>
      </c>
      <c r="V20" s="100">
        <f t="shared" si="5"/>
        <v>762.16</v>
      </c>
      <c r="W20" s="423">
        <v>42283</v>
      </c>
      <c r="X20" s="153">
        <f t="shared" si="6"/>
        <v>762.16</v>
      </c>
      <c r="Y20" s="111" t="s">
        <v>656</v>
      </c>
      <c r="Z20" s="101">
        <v>24</v>
      </c>
    </row>
    <row r="21" spans="1:26" x14ac:dyDescent="0.25">
      <c r="B21" s="175">
        <v>27.22</v>
      </c>
      <c r="C21" s="20">
        <v>10</v>
      </c>
      <c r="D21" s="420">
        <f t="shared" si="7"/>
        <v>272.2</v>
      </c>
      <c r="E21" s="423">
        <v>42136</v>
      </c>
      <c r="F21" s="153">
        <f t="shared" si="8"/>
        <v>272.2</v>
      </c>
      <c r="G21" s="111" t="s">
        <v>134</v>
      </c>
      <c r="H21" s="101">
        <v>21</v>
      </c>
      <c r="K21" s="175"/>
      <c r="L21" s="20">
        <v>4</v>
      </c>
      <c r="M21" s="532">
        <v>90.8</v>
      </c>
      <c r="N21" s="533">
        <v>42165</v>
      </c>
      <c r="O21" s="534">
        <f t="shared" si="2"/>
        <v>90.8</v>
      </c>
      <c r="P21" s="530" t="s">
        <v>181</v>
      </c>
      <c r="Q21" s="230">
        <v>24</v>
      </c>
      <c r="T21" s="175">
        <v>27.22</v>
      </c>
      <c r="U21" s="20">
        <v>28</v>
      </c>
      <c r="V21" s="100">
        <f t="shared" si="5"/>
        <v>762.16</v>
      </c>
      <c r="W21" s="423">
        <v>42290</v>
      </c>
      <c r="X21" s="153">
        <f t="shared" si="6"/>
        <v>762.16</v>
      </c>
      <c r="Y21" s="111" t="s">
        <v>692</v>
      </c>
      <c r="Z21" s="101">
        <v>24</v>
      </c>
    </row>
    <row r="22" spans="1:26" x14ac:dyDescent="0.25">
      <c r="B22" s="175">
        <v>27.22</v>
      </c>
      <c r="C22" s="20">
        <v>12</v>
      </c>
      <c r="D22" s="420">
        <f t="shared" si="7"/>
        <v>326.64</v>
      </c>
      <c r="E22" s="423">
        <v>42139</v>
      </c>
      <c r="F22" s="153">
        <f t="shared" si="8"/>
        <v>326.64</v>
      </c>
      <c r="G22" s="111" t="s">
        <v>138</v>
      </c>
      <c r="H22" s="101">
        <v>21</v>
      </c>
      <c r="K22" s="175"/>
      <c r="L22" s="20">
        <v>8</v>
      </c>
      <c r="M22" s="532">
        <v>181.6</v>
      </c>
      <c r="N22" s="533">
        <v>42168</v>
      </c>
      <c r="O22" s="534">
        <f t="shared" si="2"/>
        <v>181.6</v>
      </c>
      <c r="P22" s="530" t="s">
        <v>185</v>
      </c>
      <c r="Q22" s="230">
        <v>24</v>
      </c>
      <c r="T22" s="175">
        <v>27.22</v>
      </c>
      <c r="U22" s="20">
        <v>4</v>
      </c>
      <c r="V22" s="100">
        <f t="shared" si="5"/>
        <v>108.88</v>
      </c>
      <c r="W22" s="423">
        <v>42290</v>
      </c>
      <c r="X22" s="153">
        <f t="shared" si="6"/>
        <v>108.88</v>
      </c>
      <c r="Y22" s="111" t="s">
        <v>692</v>
      </c>
      <c r="Z22" s="101">
        <v>24</v>
      </c>
    </row>
    <row r="23" spans="1:26" x14ac:dyDescent="0.25">
      <c r="B23" s="175">
        <v>27.22</v>
      </c>
      <c r="C23" s="20">
        <v>9</v>
      </c>
      <c r="D23" s="420">
        <f t="shared" si="7"/>
        <v>244.98</v>
      </c>
      <c r="E23" s="423">
        <v>42140</v>
      </c>
      <c r="F23" s="153">
        <f t="shared" si="8"/>
        <v>244.98</v>
      </c>
      <c r="G23" s="111" t="s">
        <v>139</v>
      </c>
      <c r="H23" s="101">
        <v>21</v>
      </c>
      <c r="K23" s="175"/>
      <c r="L23" s="20">
        <v>26</v>
      </c>
      <c r="M23" s="532">
        <v>590.20000000000005</v>
      </c>
      <c r="N23" s="533">
        <v>42172</v>
      </c>
      <c r="O23" s="534">
        <f t="shared" si="2"/>
        <v>590.20000000000005</v>
      </c>
      <c r="P23" s="530" t="s">
        <v>187</v>
      </c>
      <c r="Q23" s="230">
        <v>24</v>
      </c>
      <c r="T23" s="175">
        <v>27.22</v>
      </c>
      <c r="U23" s="20">
        <v>32</v>
      </c>
      <c r="V23" s="100">
        <f t="shared" si="5"/>
        <v>871.04</v>
      </c>
      <c r="W23" s="423">
        <v>42291</v>
      </c>
      <c r="X23" s="153">
        <f t="shared" si="6"/>
        <v>871.04</v>
      </c>
      <c r="Y23" s="111" t="s">
        <v>695</v>
      </c>
      <c r="Z23" s="101">
        <v>24</v>
      </c>
    </row>
    <row r="24" spans="1:26" x14ac:dyDescent="0.25">
      <c r="B24" s="175">
        <v>27.22</v>
      </c>
      <c r="C24" s="20">
        <v>8</v>
      </c>
      <c r="D24" s="420">
        <f t="shared" si="7"/>
        <v>217.76</v>
      </c>
      <c r="E24" s="423">
        <v>42140</v>
      </c>
      <c r="F24" s="153">
        <f t="shared" si="8"/>
        <v>217.76</v>
      </c>
      <c r="G24" s="111" t="s">
        <v>140</v>
      </c>
      <c r="H24" s="101">
        <v>21</v>
      </c>
      <c r="K24" s="175"/>
      <c r="L24" s="20">
        <v>20</v>
      </c>
      <c r="M24" s="532">
        <v>454</v>
      </c>
      <c r="N24" s="533">
        <v>42174</v>
      </c>
      <c r="O24" s="534">
        <f t="shared" si="2"/>
        <v>454</v>
      </c>
      <c r="P24" s="530" t="s">
        <v>190</v>
      </c>
      <c r="Q24" s="230">
        <v>24</v>
      </c>
      <c r="T24" s="175">
        <v>27.22</v>
      </c>
      <c r="U24" s="20">
        <v>5</v>
      </c>
      <c r="V24" s="100">
        <f t="shared" si="5"/>
        <v>136.1</v>
      </c>
      <c r="W24" s="423">
        <v>42294</v>
      </c>
      <c r="X24" s="153">
        <f t="shared" si="6"/>
        <v>136.1</v>
      </c>
      <c r="Y24" s="111" t="s">
        <v>718</v>
      </c>
      <c r="Z24" s="101">
        <v>24</v>
      </c>
    </row>
    <row r="25" spans="1:26" x14ac:dyDescent="0.25">
      <c r="B25" s="175">
        <v>27.22</v>
      </c>
      <c r="C25" s="20">
        <v>28</v>
      </c>
      <c r="D25" s="420">
        <f t="shared" si="7"/>
        <v>762.16</v>
      </c>
      <c r="E25" s="423">
        <v>42142</v>
      </c>
      <c r="F25" s="153">
        <f t="shared" si="8"/>
        <v>762.16</v>
      </c>
      <c r="G25" s="111" t="s">
        <v>142</v>
      </c>
      <c r="H25" s="101">
        <v>21</v>
      </c>
      <c r="K25" s="175"/>
      <c r="L25" s="20">
        <v>25</v>
      </c>
      <c r="M25" s="532">
        <v>567.5</v>
      </c>
      <c r="N25" s="533">
        <v>42179</v>
      </c>
      <c r="O25" s="534">
        <f t="shared" si="2"/>
        <v>567.5</v>
      </c>
      <c r="P25" s="530" t="s">
        <v>197</v>
      </c>
      <c r="Q25" s="230">
        <v>24</v>
      </c>
      <c r="T25" s="175">
        <v>27.22</v>
      </c>
      <c r="U25" s="20">
        <v>5</v>
      </c>
      <c r="V25" s="100">
        <f t="shared" si="5"/>
        <v>136.1</v>
      </c>
      <c r="W25" s="423">
        <v>42296</v>
      </c>
      <c r="X25" s="153">
        <f t="shared" si="6"/>
        <v>136.1</v>
      </c>
      <c r="Y25" s="111" t="s">
        <v>725</v>
      </c>
      <c r="Z25" s="101">
        <v>24</v>
      </c>
    </row>
    <row r="26" spans="1:26" x14ac:dyDescent="0.25">
      <c r="B26" s="175">
        <v>27.22</v>
      </c>
      <c r="C26" s="20">
        <v>5</v>
      </c>
      <c r="D26" s="420">
        <f t="shared" si="7"/>
        <v>136.1</v>
      </c>
      <c r="E26" s="423">
        <v>42145</v>
      </c>
      <c r="F26" s="153">
        <f t="shared" si="8"/>
        <v>136.1</v>
      </c>
      <c r="G26" s="111" t="s">
        <v>144</v>
      </c>
      <c r="H26" s="101">
        <v>21</v>
      </c>
      <c r="K26" s="175"/>
      <c r="L26" s="20">
        <v>35</v>
      </c>
      <c r="M26" s="532">
        <v>794.5</v>
      </c>
      <c r="N26" s="533">
        <v>42180</v>
      </c>
      <c r="O26" s="534">
        <f t="shared" si="2"/>
        <v>794.5</v>
      </c>
      <c r="P26" s="530" t="s">
        <v>199</v>
      </c>
      <c r="Q26" s="230">
        <v>24</v>
      </c>
      <c r="T26" s="175">
        <v>27.22</v>
      </c>
      <c r="U26" s="20">
        <v>25</v>
      </c>
      <c r="V26" s="100">
        <f t="shared" si="5"/>
        <v>680.5</v>
      </c>
      <c r="W26" s="423">
        <v>42298</v>
      </c>
      <c r="X26" s="153">
        <f t="shared" si="6"/>
        <v>680.5</v>
      </c>
      <c r="Y26" s="111" t="s">
        <v>732</v>
      </c>
      <c r="Z26" s="101">
        <v>24</v>
      </c>
    </row>
    <row r="27" spans="1:26" x14ac:dyDescent="0.25">
      <c r="B27" s="175">
        <v>27.22</v>
      </c>
      <c r="C27" s="20">
        <v>21</v>
      </c>
      <c r="D27" s="420">
        <f t="shared" si="7"/>
        <v>571.62</v>
      </c>
      <c r="E27" s="423">
        <v>42145</v>
      </c>
      <c r="F27" s="153">
        <f t="shared" si="8"/>
        <v>571.62</v>
      </c>
      <c r="G27" s="111" t="s">
        <v>145</v>
      </c>
      <c r="H27" s="101">
        <v>21</v>
      </c>
      <c r="K27" s="175"/>
      <c r="L27" s="20">
        <v>50</v>
      </c>
      <c r="M27" s="532">
        <v>1135</v>
      </c>
      <c r="N27" s="533">
        <v>42180</v>
      </c>
      <c r="O27" s="534">
        <f t="shared" si="2"/>
        <v>1135</v>
      </c>
      <c r="P27" s="530" t="s">
        <v>200</v>
      </c>
      <c r="Q27" s="230">
        <v>24</v>
      </c>
      <c r="T27" s="175">
        <v>27.22</v>
      </c>
      <c r="U27" s="20">
        <v>10</v>
      </c>
      <c r="V27" s="100">
        <f t="shared" si="5"/>
        <v>272.2</v>
      </c>
      <c r="W27" s="423">
        <v>42299</v>
      </c>
      <c r="X27" s="153">
        <f t="shared" si="6"/>
        <v>272.2</v>
      </c>
      <c r="Y27" s="111" t="s">
        <v>738</v>
      </c>
      <c r="Z27" s="101">
        <v>24</v>
      </c>
    </row>
    <row r="28" spans="1:26" x14ac:dyDescent="0.25">
      <c r="B28" s="175">
        <v>27.22</v>
      </c>
      <c r="C28" s="20">
        <v>10</v>
      </c>
      <c r="D28" s="420">
        <f t="shared" si="7"/>
        <v>272.2</v>
      </c>
      <c r="E28" s="423">
        <v>42145</v>
      </c>
      <c r="F28" s="153">
        <f t="shared" si="8"/>
        <v>272.2</v>
      </c>
      <c r="G28" s="111" t="s">
        <v>149</v>
      </c>
      <c r="H28" s="101">
        <v>21</v>
      </c>
      <c r="K28" s="175"/>
      <c r="L28" s="20">
        <v>35</v>
      </c>
      <c r="M28" s="532">
        <v>794.5</v>
      </c>
      <c r="N28" s="533">
        <v>42181</v>
      </c>
      <c r="O28" s="534">
        <f t="shared" si="2"/>
        <v>794.5</v>
      </c>
      <c r="P28" s="530" t="s">
        <v>201</v>
      </c>
      <c r="Q28" s="230">
        <v>24</v>
      </c>
      <c r="T28" s="175">
        <v>27.22</v>
      </c>
      <c r="U28" s="20">
        <v>32</v>
      </c>
      <c r="V28" s="100">
        <f t="shared" si="5"/>
        <v>871.04</v>
      </c>
      <c r="W28" s="423">
        <v>42303</v>
      </c>
      <c r="X28" s="153">
        <f t="shared" si="6"/>
        <v>871.04</v>
      </c>
      <c r="Y28" s="111" t="s">
        <v>760</v>
      </c>
      <c r="Z28" s="101">
        <v>24</v>
      </c>
    </row>
    <row r="29" spans="1:26" x14ac:dyDescent="0.25">
      <c r="A29" s="186"/>
      <c r="B29" s="175">
        <v>27.22</v>
      </c>
      <c r="C29" s="20">
        <v>7</v>
      </c>
      <c r="D29" s="420">
        <f t="shared" si="7"/>
        <v>190.54</v>
      </c>
      <c r="E29" s="423">
        <v>42149</v>
      </c>
      <c r="F29" s="153">
        <f t="shared" si="8"/>
        <v>190.54</v>
      </c>
      <c r="G29" s="111" t="s">
        <v>153</v>
      </c>
      <c r="H29" s="101">
        <v>28</v>
      </c>
      <c r="J29" s="186"/>
      <c r="K29" s="175"/>
      <c r="L29" s="20">
        <v>10</v>
      </c>
      <c r="M29" s="532">
        <v>227</v>
      </c>
      <c r="N29" s="533">
        <v>42181</v>
      </c>
      <c r="O29" s="534">
        <f t="shared" si="2"/>
        <v>227</v>
      </c>
      <c r="P29" s="530" t="s">
        <v>202</v>
      </c>
      <c r="Q29" s="230">
        <v>24</v>
      </c>
      <c r="S29" s="186"/>
      <c r="T29" s="175">
        <v>27.22</v>
      </c>
      <c r="U29" s="20">
        <v>5</v>
      </c>
      <c r="V29" s="100">
        <f t="shared" si="5"/>
        <v>136.1</v>
      </c>
      <c r="W29" s="423">
        <v>42304</v>
      </c>
      <c r="X29" s="153">
        <f t="shared" si="6"/>
        <v>136.1</v>
      </c>
      <c r="Y29" s="111" t="s">
        <v>766</v>
      </c>
      <c r="Z29" s="101">
        <v>24</v>
      </c>
    </row>
    <row r="30" spans="1:26" x14ac:dyDescent="0.25">
      <c r="A30" s="186"/>
      <c r="B30" s="175">
        <v>27.22</v>
      </c>
      <c r="C30" s="20">
        <v>14</v>
      </c>
      <c r="D30" s="420">
        <f t="shared" si="7"/>
        <v>381.08</v>
      </c>
      <c r="E30" s="423">
        <v>42151</v>
      </c>
      <c r="F30" s="153">
        <f t="shared" si="8"/>
        <v>381.08</v>
      </c>
      <c r="G30" s="111" t="s">
        <v>156</v>
      </c>
      <c r="H30" s="101">
        <v>28</v>
      </c>
      <c r="J30" s="186"/>
      <c r="K30" s="175"/>
      <c r="L30" s="20">
        <v>5</v>
      </c>
      <c r="M30" s="532">
        <v>113.5</v>
      </c>
      <c r="N30" s="533">
        <v>42181</v>
      </c>
      <c r="O30" s="534">
        <f t="shared" si="2"/>
        <v>113.5</v>
      </c>
      <c r="P30" s="530" t="s">
        <v>205</v>
      </c>
      <c r="Q30" s="230">
        <v>24</v>
      </c>
      <c r="S30" s="186"/>
      <c r="T30" s="175">
        <v>27.22</v>
      </c>
      <c r="U30" s="20">
        <v>10</v>
      </c>
      <c r="V30" s="100">
        <f t="shared" si="5"/>
        <v>272.2</v>
      </c>
      <c r="W30" s="423">
        <v>42307</v>
      </c>
      <c r="X30" s="153">
        <f t="shared" si="6"/>
        <v>272.2</v>
      </c>
      <c r="Y30" s="111" t="s">
        <v>783</v>
      </c>
      <c r="Z30" s="101">
        <v>24</v>
      </c>
    </row>
    <row r="31" spans="1:26" x14ac:dyDescent="0.25">
      <c r="A31" s="186"/>
      <c r="B31" s="175">
        <v>27.22</v>
      </c>
      <c r="C31" s="20"/>
      <c r="D31" s="532">
        <f t="shared" si="7"/>
        <v>0</v>
      </c>
      <c r="E31" s="533"/>
      <c r="F31" s="534">
        <f t="shared" si="8"/>
        <v>0</v>
      </c>
      <c r="G31" s="530"/>
      <c r="H31" s="230"/>
      <c r="J31" s="186"/>
      <c r="K31" s="175"/>
      <c r="L31" s="20">
        <v>10</v>
      </c>
      <c r="M31" s="532">
        <v>222</v>
      </c>
      <c r="N31" s="533">
        <v>42184</v>
      </c>
      <c r="O31" s="534">
        <f t="shared" si="2"/>
        <v>222</v>
      </c>
      <c r="P31" s="530" t="s">
        <v>207</v>
      </c>
      <c r="Q31" s="230">
        <v>24</v>
      </c>
      <c r="S31" s="186"/>
      <c r="T31" s="175">
        <v>27.22</v>
      </c>
      <c r="U31" s="20"/>
      <c r="V31" s="100">
        <f t="shared" si="5"/>
        <v>0</v>
      </c>
      <c r="W31" s="423"/>
      <c r="X31" s="153">
        <f t="shared" si="6"/>
        <v>0</v>
      </c>
      <c r="Y31" s="111"/>
      <c r="Z31" s="101"/>
    </row>
    <row r="32" spans="1:26" x14ac:dyDescent="0.25">
      <c r="A32" s="186"/>
      <c r="B32" s="175">
        <v>27.22</v>
      </c>
      <c r="C32" s="20"/>
      <c r="D32" s="532">
        <f t="shared" si="7"/>
        <v>0</v>
      </c>
      <c r="E32" s="533"/>
      <c r="F32" s="534">
        <f t="shared" si="8"/>
        <v>0</v>
      </c>
      <c r="G32" s="530"/>
      <c r="H32" s="230"/>
      <c r="J32" s="186"/>
      <c r="K32" s="175"/>
      <c r="L32" s="20">
        <v>30</v>
      </c>
      <c r="M32" s="420">
        <v>681</v>
      </c>
      <c r="N32" s="423">
        <v>42186</v>
      </c>
      <c r="O32" s="153">
        <f t="shared" si="2"/>
        <v>681</v>
      </c>
      <c r="P32" s="111" t="s">
        <v>220</v>
      </c>
      <c r="Q32" s="101">
        <v>24</v>
      </c>
      <c r="S32" s="186"/>
      <c r="T32" s="175">
        <v>27.22</v>
      </c>
      <c r="U32" s="20"/>
      <c r="V32" s="100">
        <f t="shared" si="5"/>
        <v>0</v>
      </c>
      <c r="W32" s="423"/>
      <c r="X32" s="153">
        <f t="shared" si="6"/>
        <v>0</v>
      </c>
      <c r="Y32" s="111"/>
      <c r="Z32" s="101"/>
    </row>
    <row r="33" spans="1:26" x14ac:dyDescent="0.25">
      <c r="A33" s="186"/>
      <c r="B33" s="175">
        <v>27.22</v>
      </c>
      <c r="C33" s="20"/>
      <c r="D33" s="532">
        <f t="shared" si="7"/>
        <v>0</v>
      </c>
      <c r="E33" s="533"/>
      <c r="F33" s="534">
        <f t="shared" si="8"/>
        <v>0</v>
      </c>
      <c r="G33" s="530"/>
      <c r="H33" s="230"/>
      <c r="J33" s="186"/>
      <c r="K33" s="175"/>
      <c r="L33" s="20">
        <v>5</v>
      </c>
      <c r="M33" s="420">
        <v>113.5</v>
      </c>
      <c r="N33" s="423">
        <v>42187</v>
      </c>
      <c r="O33" s="153">
        <f t="shared" si="2"/>
        <v>113.5</v>
      </c>
      <c r="P33" s="111" t="s">
        <v>222</v>
      </c>
      <c r="Q33" s="101">
        <v>24</v>
      </c>
      <c r="S33" s="186"/>
      <c r="T33" s="175">
        <v>27.22</v>
      </c>
      <c r="U33" s="20"/>
      <c r="V33" s="100">
        <f t="shared" si="5"/>
        <v>0</v>
      </c>
      <c r="W33" s="423"/>
      <c r="X33" s="153">
        <f t="shared" si="6"/>
        <v>0</v>
      </c>
      <c r="Y33" s="111"/>
      <c r="Z33" s="101"/>
    </row>
    <row r="34" spans="1:26" x14ac:dyDescent="0.25">
      <c r="A34" s="186"/>
      <c r="B34" s="175">
        <v>27.22</v>
      </c>
      <c r="C34" s="20"/>
      <c r="D34" s="532">
        <f t="shared" si="7"/>
        <v>0</v>
      </c>
      <c r="E34" s="533"/>
      <c r="F34" s="534">
        <f t="shared" si="8"/>
        <v>0</v>
      </c>
      <c r="G34" s="530"/>
      <c r="H34" s="230"/>
      <c r="J34" s="186"/>
      <c r="K34" s="175"/>
      <c r="L34" s="20">
        <v>10</v>
      </c>
      <c r="M34" s="420">
        <v>227</v>
      </c>
      <c r="N34" s="423">
        <v>42188</v>
      </c>
      <c r="O34" s="153">
        <f t="shared" si="2"/>
        <v>227</v>
      </c>
      <c r="P34" s="111" t="s">
        <v>223</v>
      </c>
      <c r="Q34" s="101">
        <v>24</v>
      </c>
      <c r="S34" s="186"/>
      <c r="T34" s="175">
        <v>27.22</v>
      </c>
      <c r="U34" s="20"/>
      <c r="V34" s="100">
        <f t="shared" si="5"/>
        <v>0</v>
      </c>
      <c r="W34" s="423"/>
      <c r="X34" s="153">
        <f t="shared" si="6"/>
        <v>0</v>
      </c>
      <c r="Y34" s="111"/>
      <c r="Z34" s="101"/>
    </row>
    <row r="35" spans="1:26" x14ac:dyDescent="0.25">
      <c r="A35" s="186"/>
      <c r="B35" s="175">
        <v>27.22</v>
      </c>
      <c r="C35" s="20"/>
      <c r="D35" s="532">
        <f t="shared" si="7"/>
        <v>0</v>
      </c>
      <c r="E35" s="533"/>
      <c r="F35" s="534">
        <f t="shared" si="8"/>
        <v>0</v>
      </c>
      <c r="G35" s="530"/>
      <c r="H35" s="230"/>
      <c r="J35" s="186"/>
      <c r="K35" s="175"/>
      <c r="L35" s="20">
        <v>40</v>
      </c>
      <c r="M35" s="420">
        <v>908</v>
      </c>
      <c r="N35" s="423">
        <v>42189</v>
      </c>
      <c r="O35" s="153">
        <f t="shared" si="2"/>
        <v>908</v>
      </c>
      <c r="P35" s="111" t="s">
        <v>225</v>
      </c>
      <c r="Q35" s="101">
        <v>24</v>
      </c>
      <c r="S35" s="186"/>
      <c r="T35" s="175">
        <v>27.22</v>
      </c>
      <c r="U35" s="20"/>
      <c r="V35" s="100">
        <f t="shared" si="5"/>
        <v>0</v>
      </c>
      <c r="W35" s="423"/>
      <c r="X35" s="153">
        <f t="shared" si="6"/>
        <v>0</v>
      </c>
      <c r="Y35" s="111"/>
      <c r="Z35" s="101"/>
    </row>
    <row r="36" spans="1:26" x14ac:dyDescent="0.25">
      <c r="A36" s="186"/>
      <c r="B36" s="175">
        <v>27.22</v>
      </c>
      <c r="C36" s="20"/>
      <c r="D36" s="532">
        <f t="shared" si="7"/>
        <v>0</v>
      </c>
      <c r="E36" s="533"/>
      <c r="F36" s="534">
        <f t="shared" si="8"/>
        <v>0</v>
      </c>
      <c r="G36" s="530"/>
      <c r="H36" s="230"/>
      <c r="J36" s="186"/>
      <c r="K36" s="175"/>
      <c r="L36" s="20">
        <v>5</v>
      </c>
      <c r="M36" s="420">
        <v>113.5</v>
      </c>
      <c r="N36" s="423">
        <v>42189</v>
      </c>
      <c r="O36" s="153">
        <f t="shared" si="2"/>
        <v>113.5</v>
      </c>
      <c r="P36" s="111" t="s">
        <v>226</v>
      </c>
      <c r="Q36" s="101">
        <v>25</v>
      </c>
      <c r="S36" s="186"/>
      <c r="T36" s="175">
        <v>27.22</v>
      </c>
      <c r="U36" s="20"/>
      <c r="V36" s="100">
        <f t="shared" si="5"/>
        <v>0</v>
      </c>
      <c r="W36" s="423"/>
      <c r="X36" s="153">
        <f t="shared" si="6"/>
        <v>0</v>
      </c>
      <c r="Y36" s="111"/>
      <c r="Z36" s="101"/>
    </row>
    <row r="37" spans="1:26" x14ac:dyDescent="0.25">
      <c r="A37" s="186"/>
      <c r="B37" s="175">
        <v>27.22</v>
      </c>
      <c r="C37" s="20"/>
      <c r="D37" s="532">
        <f t="shared" si="7"/>
        <v>0</v>
      </c>
      <c r="E37" s="533"/>
      <c r="F37" s="534">
        <f t="shared" si="8"/>
        <v>0</v>
      </c>
      <c r="G37" s="530"/>
      <c r="H37" s="230"/>
      <c r="J37" s="186"/>
      <c r="K37" s="175"/>
      <c r="L37" s="20"/>
      <c r="M37" s="420"/>
      <c r="N37" s="423"/>
      <c r="O37" s="153">
        <f t="shared" si="2"/>
        <v>0</v>
      </c>
      <c r="P37" s="111"/>
      <c r="Q37" s="101"/>
      <c r="S37" s="186"/>
      <c r="T37" s="175">
        <v>27.22</v>
      </c>
      <c r="U37" s="20"/>
      <c r="V37" s="100">
        <f t="shared" si="5"/>
        <v>0</v>
      </c>
      <c r="W37" s="423"/>
      <c r="X37" s="153">
        <f t="shared" si="6"/>
        <v>0</v>
      </c>
      <c r="Y37" s="111"/>
      <c r="Z37" s="101"/>
    </row>
    <row r="38" spans="1:26" x14ac:dyDescent="0.25">
      <c r="A38" s="186"/>
      <c r="B38" s="175">
        <v>27.22</v>
      </c>
      <c r="C38" s="20"/>
      <c r="D38" s="532">
        <f t="shared" si="7"/>
        <v>0</v>
      </c>
      <c r="E38" s="533"/>
      <c r="F38" s="534">
        <f t="shared" si="8"/>
        <v>0</v>
      </c>
      <c r="G38" s="530"/>
      <c r="H38" s="230"/>
      <c r="J38" s="186"/>
      <c r="K38" s="175"/>
      <c r="L38" s="20"/>
      <c r="M38" s="420"/>
      <c r="N38" s="423"/>
      <c r="O38" s="153">
        <f t="shared" si="2"/>
        <v>0</v>
      </c>
      <c r="P38" s="111"/>
      <c r="Q38" s="101"/>
      <c r="S38" s="186"/>
      <c r="T38" s="175">
        <v>27.22</v>
      </c>
      <c r="U38" s="20"/>
      <c r="V38" s="100">
        <f t="shared" si="5"/>
        <v>0</v>
      </c>
      <c r="W38" s="423"/>
      <c r="X38" s="153">
        <f t="shared" si="6"/>
        <v>0</v>
      </c>
      <c r="Y38" s="111"/>
      <c r="Z38" s="101"/>
    </row>
    <row r="39" spans="1:26" x14ac:dyDescent="0.25">
      <c r="A39" s="186"/>
      <c r="B39" s="175">
        <v>27.22</v>
      </c>
      <c r="C39" s="20"/>
      <c r="D39" s="532">
        <f t="shared" si="7"/>
        <v>0</v>
      </c>
      <c r="E39" s="533"/>
      <c r="F39" s="534">
        <f t="shared" si="8"/>
        <v>0</v>
      </c>
      <c r="G39" s="530"/>
      <c r="H39" s="230"/>
      <c r="J39" s="186"/>
      <c r="K39" s="175"/>
      <c r="L39" s="20"/>
      <c r="M39" s="420"/>
      <c r="N39" s="423"/>
      <c r="O39" s="153">
        <f t="shared" si="2"/>
        <v>0</v>
      </c>
      <c r="P39" s="111"/>
      <c r="Q39" s="101"/>
      <c r="S39" s="186"/>
      <c r="T39" s="175">
        <v>27.22</v>
      </c>
      <c r="U39" s="20"/>
      <c r="V39" s="100">
        <f t="shared" si="5"/>
        <v>0</v>
      </c>
      <c r="W39" s="423"/>
      <c r="X39" s="153">
        <f t="shared" si="6"/>
        <v>0</v>
      </c>
      <c r="Y39" s="111"/>
      <c r="Z39" s="101"/>
    </row>
    <row r="40" spans="1:26" x14ac:dyDescent="0.25">
      <c r="A40" s="186"/>
      <c r="B40" s="175">
        <v>27.22</v>
      </c>
      <c r="C40" s="20"/>
      <c r="D40" s="532">
        <f t="shared" si="7"/>
        <v>0</v>
      </c>
      <c r="E40" s="533"/>
      <c r="F40" s="534">
        <f t="shared" si="8"/>
        <v>0</v>
      </c>
      <c r="G40" s="530"/>
      <c r="H40" s="230"/>
      <c r="J40" s="186"/>
      <c r="K40" s="175"/>
      <c r="L40" s="20"/>
      <c r="M40" s="420"/>
      <c r="N40" s="423"/>
      <c r="O40" s="153">
        <f t="shared" si="2"/>
        <v>0</v>
      </c>
      <c r="P40" s="111"/>
      <c r="Q40" s="101"/>
      <c r="S40" s="186"/>
      <c r="T40" s="175">
        <v>27.22</v>
      </c>
      <c r="U40" s="20"/>
      <c r="V40" s="100">
        <f t="shared" si="5"/>
        <v>0</v>
      </c>
      <c r="W40" s="423"/>
      <c r="X40" s="153">
        <f t="shared" si="6"/>
        <v>0</v>
      </c>
      <c r="Y40" s="111"/>
      <c r="Z40" s="101"/>
    </row>
    <row r="41" spans="1:26" x14ac:dyDescent="0.25">
      <c r="A41" s="186"/>
      <c r="B41" s="175">
        <v>27.22</v>
      </c>
      <c r="C41" s="20"/>
      <c r="D41" s="532">
        <f t="shared" si="7"/>
        <v>0</v>
      </c>
      <c r="E41" s="533"/>
      <c r="F41" s="534">
        <f t="shared" si="8"/>
        <v>0</v>
      </c>
      <c r="G41" s="530"/>
      <c r="H41" s="230"/>
      <c r="J41" s="186"/>
      <c r="K41" s="175"/>
      <c r="L41" s="20"/>
      <c r="M41" s="420"/>
      <c r="N41" s="423"/>
      <c r="O41" s="153">
        <f t="shared" si="2"/>
        <v>0</v>
      </c>
      <c r="P41" s="111"/>
      <c r="Q41" s="101"/>
      <c r="S41" s="186"/>
      <c r="T41" s="175">
        <v>27.22</v>
      </c>
      <c r="U41" s="20"/>
      <c r="V41" s="100">
        <f t="shared" si="5"/>
        <v>0</v>
      </c>
      <c r="W41" s="423"/>
      <c r="X41" s="153">
        <f t="shared" si="6"/>
        <v>0</v>
      </c>
      <c r="Y41" s="111"/>
      <c r="Z41" s="101"/>
    </row>
    <row r="42" spans="1:26" x14ac:dyDescent="0.25">
      <c r="A42" s="186"/>
      <c r="B42" s="175">
        <v>27.22</v>
      </c>
      <c r="C42" s="20"/>
      <c r="D42" s="532">
        <f t="shared" si="7"/>
        <v>0</v>
      </c>
      <c r="E42" s="533"/>
      <c r="F42" s="534">
        <f t="shared" si="8"/>
        <v>0</v>
      </c>
      <c r="G42" s="530"/>
      <c r="H42" s="230"/>
      <c r="J42" s="186"/>
      <c r="K42" s="175"/>
      <c r="L42" s="20"/>
      <c r="M42" s="420"/>
      <c r="N42" s="423"/>
      <c r="O42" s="153">
        <f t="shared" si="2"/>
        <v>0</v>
      </c>
      <c r="P42" s="111"/>
      <c r="Q42" s="101"/>
      <c r="S42" s="186"/>
      <c r="T42" s="175">
        <v>27.22</v>
      </c>
      <c r="U42" s="20"/>
      <c r="V42" s="100">
        <f t="shared" si="5"/>
        <v>0</v>
      </c>
      <c r="W42" s="423"/>
      <c r="X42" s="153">
        <f t="shared" si="6"/>
        <v>0</v>
      </c>
      <c r="Y42" s="111"/>
      <c r="Z42" s="101"/>
    </row>
    <row r="43" spans="1:26" x14ac:dyDescent="0.25">
      <c r="A43" s="186"/>
      <c r="B43" s="175">
        <v>27.22</v>
      </c>
      <c r="C43" s="20"/>
      <c r="D43" s="532">
        <f t="shared" si="7"/>
        <v>0</v>
      </c>
      <c r="E43" s="533"/>
      <c r="F43" s="534">
        <f t="shared" si="8"/>
        <v>0</v>
      </c>
      <c r="G43" s="530"/>
      <c r="H43" s="230"/>
      <c r="J43" s="186"/>
      <c r="K43" s="175"/>
      <c r="L43" s="20"/>
      <c r="M43" s="420"/>
      <c r="N43" s="423"/>
      <c r="O43" s="153">
        <f t="shared" si="2"/>
        <v>0</v>
      </c>
      <c r="P43" s="111"/>
      <c r="Q43" s="101"/>
      <c r="S43" s="186"/>
      <c r="T43" s="175">
        <v>27.22</v>
      </c>
      <c r="U43" s="20"/>
      <c r="V43" s="100">
        <f t="shared" si="5"/>
        <v>0</v>
      </c>
      <c r="W43" s="423"/>
      <c r="X43" s="153">
        <f t="shared" si="6"/>
        <v>0</v>
      </c>
      <c r="Y43" s="111"/>
      <c r="Z43" s="101"/>
    </row>
    <row r="44" spans="1:26" x14ac:dyDescent="0.25">
      <c r="A44" s="186"/>
      <c r="B44" s="175">
        <v>27.22</v>
      </c>
      <c r="C44" s="20"/>
      <c r="D44" s="532">
        <f t="shared" si="7"/>
        <v>0</v>
      </c>
      <c r="E44" s="533"/>
      <c r="F44" s="534">
        <f t="shared" si="8"/>
        <v>0</v>
      </c>
      <c r="G44" s="530"/>
      <c r="H44" s="230"/>
      <c r="J44" s="186"/>
      <c r="K44" s="175"/>
      <c r="L44" s="20"/>
      <c r="M44" s="420"/>
      <c r="N44" s="423"/>
      <c r="O44" s="153">
        <f t="shared" si="2"/>
        <v>0</v>
      </c>
      <c r="P44" s="111"/>
      <c r="Q44" s="101"/>
      <c r="S44" s="186"/>
      <c r="T44" s="175">
        <v>27.22</v>
      </c>
      <c r="U44" s="20"/>
      <c r="V44" s="100">
        <f t="shared" si="5"/>
        <v>0</v>
      </c>
      <c r="W44" s="423"/>
      <c r="X44" s="153">
        <f t="shared" si="6"/>
        <v>0</v>
      </c>
      <c r="Y44" s="111"/>
      <c r="Z44" s="101"/>
    </row>
    <row r="45" spans="1:26" x14ac:dyDescent="0.25">
      <c r="A45" s="186"/>
      <c r="B45" s="175">
        <v>27.22</v>
      </c>
      <c r="C45" s="20"/>
      <c r="D45" s="532">
        <f t="shared" si="7"/>
        <v>0</v>
      </c>
      <c r="E45" s="533"/>
      <c r="F45" s="534">
        <f t="shared" si="8"/>
        <v>0</v>
      </c>
      <c r="G45" s="530"/>
      <c r="H45" s="230"/>
      <c r="J45" s="186"/>
      <c r="K45" s="175"/>
      <c r="L45" s="20"/>
      <c r="M45" s="420"/>
      <c r="N45" s="423"/>
      <c r="O45" s="153">
        <f t="shared" si="2"/>
        <v>0</v>
      </c>
      <c r="P45" s="111"/>
      <c r="Q45" s="101"/>
      <c r="S45" s="186"/>
      <c r="T45" s="175">
        <v>27.22</v>
      </c>
      <c r="U45" s="20"/>
      <c r="V45" s="100">
        <f t="shared" si="5"/>
        <v>0</v>
      </c>
      <c r="W45" s="423"/>
      <c r="X45" s="153">
        <f t="shared" si="6"/>
        <v>0</v>
      </c>
      <c r="Y45" s="111"/>
      <c r="Z45" s="101"/>
    </row>
    <row r="46" spans="1:26" x14ac:dyDescent="0.25">
      <c r="A46" s="186"/>
      <c r="B46" s="175">
        <v>27.22</v>
      </c>
      <c r="C46" s="20"/>
      <c r="D46" s="532">
        <f t="shared" si="7"/>
        <v>0</v>
      </c>
      <c r="E46" s="533"/>
      <c r="F46" s="534">
        <f t="shared" si="8"/>
        <v>0</v>
      </c>
      <c r="G46" s="530"/>
      <c r="H46" s="230"/>
      <c r="J46" s="186"/>
      <c r="K46" s="175"/>
      <c r="L46" s="20"/>
      <c r="M46" s="420"/>
      <c r="N46" s="423"/>
      <c r="O46" s="153">
        <f t="shared" si="2"/>
        <v>0</v>
      </c>
      <c r="P46" s="111"/>
      <c r="Q46" s="101"/>
      <c r="S46" s="186"/>
      <c r="T46" s="175">
        <v>27.22</v>
      </c>
      <c r="U46" s="20"/>
      <c r="V46" s="100">
        <f t="shared" si="5"/>
        <v>0</v>
      </c>
      <c r="W46" s="423"/>
      <c r="X46" s="153">
        <f t="shared" si="6"/>
        <v>0</v>
      </c>
      <c r="Y46" s="111"/>
      <c r="Z46" s="101"/>
    </row>
    <row r="47" spans="1:26" x14ac:dyDescent="0.25">
      <c r="A47" s="186"/>
      <c r="B47" s="175">
        <v>27.22</v>
      </c>
      <c r="C47" s="20"/>
      <c r="D47" s="532">
        <f t="shared" si="7"/>
        <v>0</v>
      </c>
      <c r="E47" s="533"/>
      <c r="F47" s="534">
        <f t="shared" si="8"/>
        <v>0</v>
      </c>
      <c r="G47" s="530"/>
      <c r="H47" s="230"/>
      <c r="J47" s="186"/>
      <c r="K47" s="175"/>
      <c r="L47" s="20"/>
      <c r="M47" s="420"/>
      <c r="N47" s="423"/>
      <c r="O47" s="153">
        <f t="shared" si="2"/>
        <v>0</v>
      </c>
      <c r="P47" s="111"/>
      <c r="Q47" s="101"/>
      <c r="S47" s="186"/>
      <c r="T47" s="175">
        <v>27.22</v>
      </c>
      <c r="U47" s="20"/>
      <c r="V47" s="100">
        <f t="shared" si="5"/>
        <v>0</v>
      </c>
      <c r="W47" s="423"/>
      <c r="X47" s="153">
        <f t="shared" si="6"/>
        <v>0</v>
      </c>
      <c r="Y47" s="111"/>
      <c r="Z47" s="101"/>
    </row>
    <row r="48" spans="1:26" x14ac:dyDescent="0.25">
      <c r="A48" s="186"/>
      <c r="B48" s="175">
        <v>27.22</v>
      </c>
      <c r="C48" s="20"/>
      <c r="D48" s="532">
        <f t="shared" si="7"/>
        <v>0</v>
      </c>
      <c r="E48" s="533"/>
      <c r="F48" s="534">
        <f t="shared" si="8"/>
        <v>0</v>
      </c>
      <c r="G48" s="530"/>
      <c r="H48" s="230"/>
      <c r="J48" s="186"/>
      <c r="K48" s="175"/>
      <c r="L48" s="20"/>
      <c r="M48" s="420"/>
      <c r="N48" s="423"/>
      <c r="O48" s="153">
        <f t="shared" si="2"/>
        <v>0</v>
      </c>
      <c r="P48" s="111"/>
      <c r="Q48" s="101"/>
      <c r="S48" s="186"/>
      <c r="T48" s="175">
        <v>27.22</v>
      </c>
      <c r="U48" s="20"/>
      <c r="V48" s="100">
        <f t="shared" si="5"/>
        <v>0</v>
      </c>
      <c r="W48" s="423"/>
      <c r="X48" s="153">
        <f t="shared" si="6"/>
        <v>0</v>
      </c>
      <c r="Y48" s="111"/>
      <c r="Z48" s="101"/>
    </row>
    <row r="49" spans="1:26" x14ac:dyDescent="0.25">
      <c r="A49" s="186"/>
      <c r="B49" s="175">
        <v>27.22</v>
      </c>
      <c r="C49" s="20"/>
      <c r="D49" s="532">
        <f t="shared" si="7"/>
        <v>0</v>
      </c>
      <c r="E49" s="533"/>
      <c r="F49" s="534">
        <f t="shared" si="8"/>
        <v>0</v>
      </c>
      <c r="G49" s="530"/>
      <c r="H49" s="230"/>
      <c r="J49" s="186"/>
      <c r="K49" s="175"/>
      <c r="L49" s="20"/>
      <c r="M49" s="420">
        <f t="shared" ref="M49:M60" si="9">K49*L49</f>
        <v>0</v>
      </c>
      <c r="N49" s="423"/>
      <c r="O49" s="153">
        <f t="shared" si="2"/>
        <v>0</v>
      </c>
      <c r="P49" s="111"/>
      <c r="Q49" s="101"/>
      <c r="S49" s="186"/>
      <c r="T49" s="175">
        <v>27.22</v>
      </c>
      <c r="U49" s="20"/>
      <c r="V49" s="100">
        <f t="shared" si="5"/>
        <v>0</v>
      </c>
      <c r="W49" s="423"/>
      <c r="X49" s="153">
        <f t="shared" si="6"/>
        <v>0</v>
      </c>
      <c r="Y49" s="111"/>
      <c r="Z49" s="101"/>
    </row>
    <row r="50" spans="1:26" x14ac:dyDescent="0.25">
      <c r="A50" s="186"/>
      <c r="B50" s="175">
        <v>27.22</v>
      </c>
      <c r="C50" s="20"/>
      <c r="D50" s="532">
        <f t="shared" si="7"/>
        <v>0</v>
      </c>
      <c r="E50" s="533"/>
      <c r="F50" s="534">
        <f t="shared" si="8"/>
        <v>0</v>
      </c>
      <c r="G50" s="530"/>
      <c r="H50" s="230"/>
      <c r="J50" s="186"/>
      <c r="K50" s="175"/>
      <c r="L50" s="20"/>
      <c r="M50" s="420">
        <f t="shared" si="9"/>
        <v>0</v>
      </c>
      <c r="N50" s="423"/>
      <c r="O50" s="153">
        <f t="shared" si="2"/>
        <v>0</v>
      </c>
      <c r="P50" s="111"/>
      <c r="Q50" s="101"/>
      <c r="S50" s="186"/>
      <c r="T50" s="175">
        <v>27.22</v>
      </c>
      <c r="U50" s="20"/>
      <c r="V50" s="100">
        <f t="shared" si="5"/>
        <v>0</v>
      </c>
      <c r="W50" s="423"/>
      <c r="X50" s="153">
        <f t="shared" si="6"/>
        <v>0</v>
      </c>
      <c r="Y50" s="111"/>
      <c r="Z50" s="101"/>
    </row>
    <row r="51" spans="1:26" x14ac:dyDescent="0.25">
      <c r="A51" s="186"/>
      <c r="B51" s="175">
        <v>27.22</v>
      </c>
      <c r="C51" s="20"/>
      <c r="D51" s="532">
        <f t="shared" si="7"/>
        <v>0</v>
      </c>
      <c r="E51" s="533"/>
      <c r="F51" s="534">
        <f t="shared" si="8"/>
        <v>0</v>
      </c>
      <c r="G51" s="530"/>
      <c r="H51" s="230"/>
      <c r="J51" s="186"/>
      <c r="K51" s="175"/>
      <c r="L51" s="20"/>
      <c r="M51" s="420">
        <f t="shared" si="9"/>
        <v>0</v>
      </c>
      <c r="N51" s="423"/>
      <c r="O51" s="153">
        <f t="shared" si="2"/>
        <v>0</v>
      </c>
      <c r="P51" s="111"/>
      <c r="Q51" s="101"/>
      <c r="S51" s="186"/>
      <c r="T51" s="175">
        <v>27.22</v>
      </c>
      <c r="U51" s="20"/>
      <c r="V51" s="100">
        <f t="shared" si="5"/>
        <v>0</v>
      </c>
      <c r="W51" s="423"/>
      <c r="X51" s="153">
        <f t="shared" si="6"/>
        <v>0</v>
      </c>
      <c r="Y51" s="111"/>
      <c r="Z51" s="101"/>
    </row>
    <row r="52" spans="1:26" x14ac:dyDescent="0.25">
      <c r="A52" s="186"/>
      <c r="B52" s="175">
        <v>27.22</v>
      </c>
      <c r="C52" s="20"/>
      <c r="D52" s="532">
        <f t="shared" si="7"/>
        <v>0</v>
      </c>
      <c r="E52" s="533"/>
      <c r="F52" s="534">
        <f t="shared" si="8"/>
        <v>0</v>
      </c>
      <c r="G52" s="530"/>
      <c r="H52" s="230"/>
      <c r="J52" s="186"/>
      <c r="K52" s="175"/>
      <c r="L52" s="20"/>
      <c r="M52" s="420">
        <f t="shared" si="9"/>
        <v>0</v>
      </c>
      <c r="N52" s="423"/>
      <c r="O52" s="153">
        <f t="shared" si="2"/>
        <v>0</v>
      </c>
      <c r="P52" s="111"/>
      <c r="Q52" s="101"/>
      <c r="S52" s="186"/>
      <c r="T52" s="175">
        <v>27.22</v>
      </c>
      <c r="U52" s="20"/>
      <c r="V52" s="100">
        <f t="shared" si="5"/>
        <v>0</v>
      </c>
      <c r="W52" s="423"/>
      <c r="X52" s="153">
        <f t="shared" si="6"/>
        <v>0</v>
      </c>
      <c r="Y52" s="111"/>
      <c r="Z52" s="101"/>
    </row>
    <row r="53" spans="1:26" x14ac:dyDescent="0.25">
      <c r="A53" s="186"/>
      <c r="B53" s="175">
        <v>27.22</v>
      </c>
      <c r="C53" s="20"/>
      <c r="D53" s="532">
        <f t="shared" si="7"/>
        <v>0</v>
      </c>
      <c r="E53" s="533"/>
      <c r="F53" s="534">
        <f t="shared" si="8"/>
        <v>0</v>
      </c>
      <c r="G53" s="530"/>
      <c r="H53" s="230"/>
      <c r="J53" s="186"/>
      <c r="K53" s="175"/>
      <c r="L53" s="20"/>
      <c r="M53" s="420">
        <f t="shared" si="9"/>
        <v>0</v>
      </c>
      <c r="N53" s="423"/>
      <c r="O53" s="153">
        <f t="shared" si="2"/>
        <v>0</v>
      </c>
      <c r="P53" s="111"/>
      <c r="Q53" s="101"/>
      <c r="S53" s="186"/>
      <c r="T53" s="175">
        <v>27.22</v>
      </c>
      <c r="U53" s="20"/>
      <c r="V53" s="100">
        <f t="shared" si="5"/>
        <v>0</v>
      </c>
      <c r="W53" s="423"/>
      <c r="X53" s="153">
        <f t="shared" si="6"/>
        <v>0</v>
      </c>
      <c r="Y53" s="111"/>
      <c r="Z53" s="101"/>
    </row>
    <row r="54" spans="1:26" x14ac:dyDescent="0.25">
      <c r="A54" s="186"/>
      <c r="B54" s="175">
        <v>27.22</v>
      </c>
      <c r="C54" s="20"/>
      <c r="D54" s="532">
        <f t="shared" si="7"/>
        <v>0</v>
      </c>
      <c r="E54" s="533"/>
      <c r="F54" s="534">
        <f t="shared" si="8"/>
        <v>0</v>
      </c>
      <c r="G54" s="530"/>
      <c r="H54" s="230"/>
      <c r="J54" s="186"/>
      <c r="K54" s="175"/>
      <c r="L54" s="20"/>
      <c r="M54" s="420">
        <f t="shared" si="9"/>
        <v>0</v>
      </c>
      <c r="N54" s="423"/>
      <c r="O54" s="153">
        <f t="shared" si="2"/>
        <v>0</v>
      </c>
      <c r="P54" s="111"/>
      <c r="Q54" s="101"/>
      <c r="S54" s="186"/>
      <c r="T54" s="175">
        <v>27.22</v>
      </c>
      <c r="U54" s="20"/>
      <c r="V54" s="100">
        <f t="shared" si="5"/>
        <v>0</v>
      </c>
      <c r="W54" s="423"/>
      <c r="X54" s="153">
        <f t="shared" si="6"/>
        <v>0</v>
      </c>
      <c r="Y54" s="111"/>
      <c r="Z54" s="101"/>
    </row>
    <row r="55" spans="1:26" x14ac:dyDescent="0.25">
      <c r="A55" s="186"/>
      <c r="B55" s="175">
        <v>27.22</v>
      </c>
      <c r="C55" s="20"/>
      <c r="D55" s="532">
        <f t="shared" si="7"/>
        <v>0</v>
      </c>
      <c r="E55" s="533"/>
      <c r="F55" s="534">
        <f t="shared" si="8"/>
        <v>0</v>
      </c>
      <c r="G55" s="530"/>
      <c r="H55" s="230"/>
      <c r="J55" s="186"/>
      <c r="K55" s="175"/>
      <c r="L55" s="20"/>
      <c r="M55" s="420">
        <f t="shared" si="9"/>
        <v>0</v>
      </c>
      <c r="N55" s="423"/>
      <c r="O55" s="153">
        <f t="shared" si="2"/>
        <v>0</v>
      </c>
      <c r="P55" s="111"/>
      <c r="Q55" s="101"/>
      <c r="S55" s="186"/>
      <c r="T55" s="175">
        <v>27.22</v>
      </c>
      <c r="U55" s="20"/>
      <c r="V55" s="100">
        <f t="shared" si="5"/>
        <v>0</v>
      </c>
      <c r="W55" s="423"/>
      <c r="X55" s="153">
        <f t="shared" si="6"/>
        <v>0</v>
      </c>
      <c r="Y55" s="111"/>
      <c r="Z55" s="101"/>
    </row>
    <row r="56" spans="1:26" x14ac:dyDescent="0.25">
      <c r="A56" s="186"/>
      <c r="B56" s="175">
        <v>27.22</v>
      </c>
      <c r="C56" s="20"/>
      <c r="D56" s="532">
        <f t="shared" si="7"/>
        <v>0</v>
      </c>
      <c r="E56" s="533"/>
      <c r="F56" s="534">
        <f t="shared" si="8"/>
        <v>0</v>
      </c>
      <c r="G56" s="530"/>
      <c r="H56" s="230"/>
      <c r="J56" s="186"/>
      <c r="K56" s="175"/>
      <c r="L56" s="20"/>
      <c r="M56" s="420">
        <f t="shared" si="9"/>
        <v>0</v>
      </c>
      <c r="N56" s="423"/>
      <c r="O56" s="153">
        <f t="shared" si="2"/>
        <v>0</v>
      </c>
      <c r="P56" s="111"/>
      <c r="Q56" s="101"/>
      <c r="S56" s="186"/>
      <c r="T56" s="175">
        <v>27.22</v>
      </c>
      <c r="U56" s="20"/>
      <c r="V56" s="100">
        <f t="shared" si="5"/>
        <v>0</v>
      </c>
      <c r="W56" s="423"/>
      <c r="X56" s="153">
        <f t="shared" si="6"/>
        <v>0</v>
      </c>
      <c r="Y56" s="111"/>
      <c r="Z56" s="101"/>
    </row>
    <row r="57" spans="1:26" x14ac:dyDescent="0.25">
      <c r="A57" s="186"/>
      <c r="B57" s="175">
        <v>27.22</v>
      </c>
      <c r="C57" s="20"/>
      <c r="D57" s="532">
        <f t="shared" si="7"/>
        <v>0</v>
      </c>
      <c r="E57" s="533"/>
      <c r="F57" s="534">
        <f t="shared" si="8"/>
        <v>0</v>
      </c>
      <c r="G57" s="530"/>
      <c r="H57" s="230"/>
      <c r="J57" s="186"/>
      <c r="K57" s="175"/>
      <c r="L57" s="20"/>
      <c r="M57" s="420">
        <f t="shared" si="9"/>
        <v>0</v>
      </c>
      <c r="N57" s="423"/>
      <c r="O57" s="153">
        <f t="shared" si="2"/>
        <v>0</v>
      </c>
      <c r="P57" s="111"/>
      <c r="Q57" s="101"/>
      <c r="S57" s="186"/>
      <c r="T57" s="175">
        <v>27.22</v>
      </c>
      <c r="U57" s="20"/>
      <c r="V57" s="100">
        <f t="shared" si="5"/>
        <v>0</v>
      </c>
      <c r="W57" s="423"/>
      <c r="X57" s="153">
        <f t="shared" si="6"/>
        <v>0</v>
      </c>
      <c r="Y57" s="111"/>
      <c r="Z57" s="101"/>
    </row>
    <row r="58" spans="1:26" x14ac:dyDescent="0.25">
      <c r="A58" s="186"/>
      <c r="B58" s="175">
        <v>27.22</v>
      </c>
      <c r="C58" s="20"/>
      <c r="D58" s="532">
        <f t="shared" si="7"/>
        <v>0</v>
      </c>
      <c r="E58" s="533"/>
      <c r="F58" s="534">
        <f t="shared" si="8"/>
        <v>0</v>
      </c>
      <c r="G58" s="530"/>
      <c r="H58" s="230"/>
      <c r="J58" s="186"/>
      <c r="K58" s="175"/>
      <c r="L58" s="20"/>
      <c r="M58" s="420">
        <f t="shared" si="9"/>
        <v>0</v>
      </c>
      <c r="N58" s="423"/>
      <c r="O58" s="153">
        <f t="shared" si="2"/>
        <v>0</v>
      </c>
      <c r="P58" s="111"/>
      <c r="Q58" s="101"/>
      <c r="S58" s="186"/>
      <c r="T58" s="175">
        <v>27.22</v>
      </c>
      <c r="U58" s="20"/>
      <c r="V58" s="100">
        <f t="shared" si="5"/>
        <v>0</v>
      </c>
      <c r="W58" s="423"/>
      <c r="X58" s="153">
        <f t="shared" si="6"/>
        <v>0</v>
      </c>
      <c r="Y58" s="111"/>
      <c r="Z58" s="101"/>
    </row>
    <row r="59" spans="1:26" x14ac:dyDescent="0.25">
      <c r="A59" s="186"/>
      <c r="B59" s="175">
        <v>27.22</v>
      </c>
      <c r="C59" s="20"/>
      <c r="D59" s="532">
        <f t="shared" si="7"/>
        <v>0</v>
      </c>
      <c r="E59" s="533"/>
      <c r="F59" s="534">
        <f t="shared" si="8"/>
        <v>0</v>
      </c>
      <c r="G59" s="530"/>
      <c r="H59" s="230"/>
      <c r="J59" s="186"/>
      <c r="K59" s="175"/>
      <c r="L59" s="20"/>
      <c r="M59" s="420">
        <f t="shared" si="9"/>
        <v>0</v>
      </c>
      <c r="N59" s="423"/>
      <c r="O59" s="153">
        <f t="shared" si="2"/>
        <v>0</v>
      </c>
      <c r="P59" s="111"/>
      <c r="Q59" s="101"/>
      <c r="S59" s="186"/>
      <c r="T59" s="175">
        <v>27.22</v>
      </c>
      <c r="U59" s="20"/>
      <c r="V59" s="100">
        <f t="shared" si="5"/>
        <v>0</v>
      </c>
      <c r="W59" s="423"/>
      <c r="X59" s="153">
        <f t="shared" si="6"/>
        <v>0</v>
      </c>
      <c r="Y59" s="111"/>
      <c r="Z59" s="101"/>
    </row>
    <row r="60" spans="1:26" ht="15.75" thickBot="1" x14ac:dyDescent="0.3">
      <c r="A60" s="246"/>
      <c r="B60" s="187">
        <v>27.22</v>
      </c>
      <c r="C60" s="48"/>
      <c r="D60" s="535">
        <f t="shared" si="7"/>
        <v>0</v>
      </c>
      <c r="E60" s="536"/>
      <c r="F60" s="537">
        <f t="shared" si="8"/>
        <v>0</v>
      </c>
      <c r="G60" s="232"/>
      <c r="H60" s="538"/>
      <c r="J60" s="246"/>
      <c r="K60" s="187"/>
      <c r="L60" s="48"/>
      <c r="M60" s="396">
        <f t="shared" si="9"/>
        <v>0</v>
      </c>
      <c r="N60" s="397"/>
      <c r="O60" s="398">
        <f t="shared" si="2"/>
        <v>0</v>
      </c>
      <c r="P60" s="306"/>
      <c r="Q60" s="307"/>
      <c r="S60" s="246"/>
      <c r="T60" s="187"/>
      <c r="U60" s="48"/>
      <c r="V60" s="708">
        <f t="shared" ref="V60" si="10">T60*U60</f>
        <v>0</v>
      </c>
      <c r="W60" s="709"/>
      <c r="X60" s="710">
        <f t="shared" si="6"/>
        <v>0</v>
      </c>
      <c r="Y60" s="200"/>
      <c r="Z60" s="711"/>
    </row>
    <row r="61" spans="1:26" ht="15.75" thickTop="1" x14ac:dyDescent="0.25">
      <c r="A61" s="64">
        <f>SUM(A29:A60)</f>
        <v>0</v>
      </c>
      <c r="B61" s="16"/>
      <c r="C61" s="124">
        <f>SUM(C8:C60)</f>
        <v>407</v>
      </c>
      <c r="D61" s="204">
        <f>SUM(D8:D60)</f>
        <v>11078.54</v>
      </c>
      <c r="E61" s="133"/>
      <c r="F61" s="204">
        <f>SUM(F8:F60)</f>
        <v>11078.54</v>
      </c>
      <c r="G61" s="16"/>
      <c r="H61" s="16"/>
      <c r="J61" s="64">
        <f>SUM(J29:J60)</f>
        <v>0</v>
      </c>
      <c r="K61" s="16"/>
      <c r="L61" s="124">
        <f>SUM(L8:L60)</f>
        <v>534</v>
      </c>
      <c r="M61" s="204">
        <f>SUM(M8:M60)</f>
        <v>12712.5</v>
      </c>
      <c r="N61" s="133"/>
      <c r="O61" s="204">
        <f>SUM(O8:O60)</f>
        <v>12712.5</v>
      </c>
      <c r="P61" s="16"/>
      <c r="Q61" s="16"/>
      <c r="S61" s="64">
        <f>SUM(S29:S60)</f>
        <v>0</v>
      </c>
      <c r="T61" s="16"/>
      <c r="U61" s="124">
        <f>SUM(U8:U60)</f>
        <v>392</v>
      </c>
      <c r="V61" s="204">
        <f>SUM(V8:V60)</f>
        <v>10670.24</v>
      </c>
      <c r="W61" s="133"/>
      <c r="X61" s="204">
        <f>SUM(X8:X60)</f>
        <v>10670.24</v>
      </c>
      <c r="Y61" s="16"/>
      <c r="Z61" s="16"/>
    </row>
    <row r="62" spans="1:26" ht="15.75" thickBot="1" x14ac:dyDescent="0.3">
      <c r="A62" s="170"/>
      <c r="B62"/>
      <c r="C62"/>
      <c r="G62"/>
      <c r="H62"/>
      <c r="J62" s="170"/>
      <c r="K62"/>
      <c r="L62"/>
      <c r="P62"/>
      <c r="Q62"/>
      <c r="S62" s="170"/>
      <c r="T62"/>
      <c r="U62"/>
      <c r="Y62"/>
      <c r="Z62"/>
    </row>
    <row r="63" spans="1:26" x14ac:dyDescent="0.25">
      <c r="A63"/>
      <c r="B63" s="6"/>
      <c r="C63"/>
      <c r="D63" s="747" t="s">
        <v>21</v>
      </c>
      <c r="E63" s="748"/>
      <c r="F63" s="67">
        <f>E4+E5-F61+E6</f>
        <v>2613.1199999999985</v>
      </c>
      <c r="G63"/>
      <c r="H63"/>
      <c r="J63"/>
      <c r="K63" s="6"/>
      <c r="L63"/>
      <c r="M63" s="747" t="s">
        <v>21</v>
      </c>
      <c r="N63" s="748"/>
      <c r="O63" s="67">
        <f>N4+N5-O61+N6</f>
        <v>-3186.8999999999996</v>
      </c>
      <c r="P63"/>
      <c r="Q63"/>
      <c r="S63"/>
      <c r="T63" s="6"/>
      <c r="U63"/>
      <c r="V63" s="747" t="s">
        <v>21</v>
      </c>
      <c r="W63" s="748"/>
      <c r="X63" s="312">
        <f>W4+W5-X61+W6</f>
        <v>8083.74</v>
      </c>
      <c r="Y63"/>
      <c r="Z63"/>
    </row>
    <row r="64" spans="1:26" ht="15.75" thickBot="1" x14ac:dyDescent="0.3">
      <c r="A64" s="258"/>
      <c r="B64"/>
      <c r="C64"/>
      <c r="D64" s="429" t="s">
        <v>4</v>
      </c>
      <c r="E64" s="430"/>
      <c r="F64" s="68">
        <f>F4+F5-C61+F6</f>
        <v>96</v>
      </c>
      <c r="G64"/>
      <c r="H64"/>
      <c r="J64" s="258"/>
      <c r="K64"/>
      <c r="L64"/>
      <c r="M64" s="512" t="s">
        <v>4</v>
      </c>
      <c r="N64" s="513"/>
      <c r="O64" s="68">
        <f>O4+O5-L61+O6</f>
        <v>-114</v>
      </c>
      <c r="P64"/>
      <c r="Q64"/>
      <c r="S64" s="258"/>
      <c r="T64"/>
      <c r="U64"/>
      <c r="V64" s="592" t="s">
        <v>4</v>
      </c>
      <c r="W64" s="593"/>
      <c r="X64" s="68">
        <f>X4+X5-U61+X6</f>
        <v>297</v>
      </c>
      <c r="Y64"/>
      <c r="Z64"/>
    </row>
    <row r="65" spans="1:26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</row>
  </sheetData>
  <mergeCells count="6">
    <mergeCell ref="S1:Y1"/>
    <mergeCell ref="V63:W63"/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COMPRAS DEL MES </vt:lpstr>
      <vt:lpstr>PIERNA</vt:lpstr>
      <vt:lpstr>ARRACHERA </vt:lpstr>
      <vt:lpstr>NANA</vt:lpstr>
      <vt:lpstr>BUCHE  SWIFT     Y   I B P </vt:lpstr>
      <vt:lpstr>CONTRA SWIFT      NATIONAL   </vt:lpstr>
      <vt:lpstr>CORBATA SMITHFIELD</vt:lpstr>
      <vt:lpstr>CORBATA SEABOARD</vt:lpstr>
      <vt:lpstr>CUERO BELLY FARM</vt:lpstr>
      <vt:lpstr>CUERO COMBO </vt:lpstr>
      <vt:lpstr>MENUDO EXCELL   I B P</vt:lpstr>
      <vt:lpstr>ESP. CARNERO</vt:lpstr>
      <vt:lpstr>SESOS COPA</vt:lpstr>
      <vt:lpstr>SESOS MARQUETA</vt:lpstr>
      <vt:lpstr>FILETE BASA</vt:lpstr>
      <vt:lpstr>LENGUA DE RES</vt:lpstr>
      <vt:lpstr>LENGUA DE CERDO </vt:lpstr>
      <vt:lpstr>PAVO ENTERO</vt:lpstr>
      <vt:lpstr>CABEZA DE CERDO</vt:lpstr>
      <vt:lpstr>CABEZA CON LENGUA 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2015-09-09T17:44:33Z</cp:lastPrinted>
  <dcterms:created xsi:type="dcterms:W3CDTF">2008-07-31T16:59:13Z</dcterms:created>
  <dcterms:modified xsi:type="dcterms:W3CDTF">2017-01-20T17:32:14Z</dcterms:modified>
</cp:coreProperties>
</file>