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20" windowWidth="14040" windowHeight="6855" firstSheet="23" activeTab="25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J U L I O   2015" sheetId="22" r:id="rId16"/>
    <sheet name="Remisiones  JULIO 2015" sheetId="23" r:id="rId17"/>
    <sheet name="AGOSTO 2015" sheetId="29" r:id="rId18"/>
    <sheet name="REMISIONES AGOSTO 2015" sheetId="28" r:id="rId19"/>
    <sheet name="SEPTIEMBRE  2 0 1 5   " sheetId="35" r:id="rId20"/>
    <sheet name="REMISIONES SEPTIEMBRE 2015" sheetId="34" r:id="rId21"/>
    <sheet name="OCTUBRE 2015" sheetId="33" r:id="rId22"/>
    <sheet name="REMISIONES OCTUBRE 2015" sheetId="32" r:id="rId23"/>
    <sheet name="NOVIEMBRE 2015" sheetId="44" r:id="rId24"/>
    <sheet name="REMISIONES NOVIEMBRE 2015" sheetId="47" r:id="rId25"/>
    <sheet name="Hoja15" sheetId="45" r:id="rId26"/>
    <sheet name="Hoja2" sheetId="31" r:id="rId27"/>
    <sheet name="Hoja1" sheetId="30" r:id="rId28"/>
    <sheet name="JULIANA   &amp;&amp;&amp;&amp;   MARCOS " sheetId="14" r:id="rId29"/>
    <sheet name="Hoja8" sheetId="25" r:id="rId30"/>
    <sheet name="Hoja9" sheetId="26" r:id="rId31"/>
    <sheet name="Hoja10" sheetId="27" r:id="rId32"/>
    <sheet name="Hoja3" sheetId="36" r:id="rId33"/>
    <sheet name="Hoja4" sheetId="37" r:id="rId34"/>
    <sheet name="Hoja5" sheetId="38" r:id="rId35"/>
    <sheet name="Hoja6" sheetId="39" r:id="rId36"/>
    <sheet name="Hoja7" sheetId="40" r:id="rId37"/>
    <sheet name="Hoja11" sheetId="41" r:id="rId38"/>
    <sheet name="Hoja12" sheetId="42" r:id="rId39"/>
    <sheet name="Hoja13" sheetId="43" r:id="rId40"/>
  </sheets>
  <calcPr calcId="144525"/>
</workbook>
</file>

<file path=xl/calcChain.xml><?xml version="1.0" encoding="utf-8"?>
<calcChain xmlns="http://schemas.openxmlformats.org/spreadsheetml/2006/main">
  <c r="I38" i="44" l="1"/>
  <c r="F38" i="44"/>
  <c r="M18" i="44"/>
  <c r="M37" i="44" s="1"/>
  <c r="L9" i="44"/>
  <c r="L38" i="44" s="1"/>
  <c r="C8" i="44"/>
  <c r="C38" i="44" s="1"/>
  <c r="K40" i="44" l="1"/>
  <c r="F41" i="44" s="1"/>
  <c r="F44" i="44" s="1"/>
  <c r="F48" i="44" s="1"/>
  <c r="K44" i="44" s="1"/>
  <c r="K49" i="44" s="1"/>
  <c r="E32" i="47" l="1"/>
  <c r="E25" i="47" l="1"/>
  <c r="E21" i="47" l="1"/>
  <c r="V43" i="47" l="1"/>
  <c r="S43" i="47"/>
  <c r="E16" i="47" l="1"/>
  <c r="V28" i="47"/>
  <c r="S28" i="47"/>
  <c r="E13" i="47" l="1"/>
  <c r="V13" i="47"/>
  <c r="S13" i="47"/>
  <c r="E7" i="47" l="1"/>
  <c r="M43" i="47" l="1"/>
  <c r="J43" i="47"/>
  <c r="E4" i="47" l="1"/>
  <c r="M28" i="47"/>
  <c r="J28" i="47"/>
  <c r="M27" i="33" l="1"/>
  <c r="M30" i="33"/>
  <c r="L12" i="33"/>
  <c r="L11" i="33"/>
  <c r="E34" i="32" l="1"/>
  <c r="M13" i="47" l="1"/>
  <c r="J13" i="47"/>
  <c r="C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E38" i="47"/>
  <c r="E28" i="32"/>
  <c r="F3" i="47" l="1"/>
  <c r="F38" i="47" s="1"/>
  <c r="U28" i="32"/>
  <c r="R28" i="32"/>
  <c r="E25" i="32" l="1"/>
  <c r="U9" i="32"/>
  <c r="R9" i="32"/>
  <c r="E16" i="32" l="1"/>
  <c r="J56" i="32" l="1"/>
  <c r="M56" i="32"/>
  <c r="C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E3" i="32"/>
  <c r="E41" i="32" s="1"/>
  <c r="F3" i="32" l="1"/>
  <c r="F41" i="32" s="1"/>
  <c r="M37" i="32"/>
  <c r="J37" i="32"/>
  <c r="L11" i="35" l="1"/>
  <c r="E31" i="34" l="1"/>
  <c r="M15" i="32"/>
  <c r="J15" i="32"/>
  <c r="I38" i="33" l="1"/>
  <c r="F38" i="33"/>
  <c r="C38" i="33"/>
  <c r="F43" i="33" s="1"/>
  <c r="M37" i="33"/>
  <c r="L38" i="33"/>
  <c r="K40" i="33" l="1"/>
  <c r="F41" i="33" s="1"/>
  <c r="F44" i="33" s="1"/>
  <c r="F48" i="33" s="1"/>
  <c r="K44" i="33" s="1"/>
  <c r="K49" i="33" s="1"/>
  <c r="E27" i="34"/>
  <c r="W15" i="34"/>
  <c r="T15" i="34"/>
  <c r="M27" i="35" l="1"/>
  <c r="E21" i="34" l="1"/>
  <c r="N47" i="34"/>
  <c r="K47" i="34"/>
  <c r="E31" i="28" l="1"/>
  <c r="N29" i="34"/>
  <c r="K29" i="34"/>
  <c r="L10" i="35" l="1"/>
  <c r="L9" i="35" l="1"/>
  <c r="C41" i="34" l="1"/>
  <c r="F40" i="34"/>
  <c r="F39" i="34"/>
  <c r="F38" i="34"/>
  <c r="F37" i="34"/>
  <c r="F36" i="34"/>
  <c r="F35" i="34"/>
  <c r="F32" i="34"/>
  <c r="F34" i="34"/>
  <c r="F33" i="34"/>
  <c r="F31" i="34"/>
  <c r="F30" i="34"/>
  <c r="F29" i="34"/>
  <c r="F28" i="34"/>
  <c r="F27" i="34"/>
  <c r="F25" i="34"/>
  <c r="F24" i="34"/>
  <c r="F23" i="34"/>
  <c r="F26" i="34"/>
  <c r="F22" i="34"/>
  <c r="F19" i="34"/>
  <c r="F20" i="34"/>
  <c r="F21" i="34"/>
  <c r="F18" i="34"/>
  <c r="F17" i="34"/>
  <c r="F16" i="34"/>
  <c r="F15" i="34"/>
  <c r="F14" i="34"/>
  <c r="F13" i="34"/>
  <c r="E41" i="34"/>
  <c r="F11" i="34"/>
  <c r="F10" i="34"/>
  <c r="F9" i="34"/>
  <c r="F8" i="34"/>
  <c r="F7" i="34"/>
  <c r="F6" i="34"/>
  <c r="F5" i="34"/>
  <c r="F4" i="34"/>
  <c r="F3" i="34"/>
  <c r="F38" i="35"/>
  <c r="C38" i="35"/>
  <c r="F43" i="35" s="1"/>
  <c r="M37" i="35"/>
  <c r="I38" i="35"/>
  <c r="L38" i="35"/>
  <c r="F12" i="34" l="1"/>
  <c r="F41" i="34" s="1"/>
  <c r="K40" i="35"/>
  <c r="F41" i="35"/>
  <c r="F44" i="35" s="1"/>
  <c r="F48" i="35" s="1"/>
  <c r="K44" i="35" s="1"/>
  <c r="K49" i="35" s="1"/>
  <c r="L13" i="29"/>
  <c r="E25" i="28" l="1"/>
  <c r="M53" i="28"/>
  <c r="J53" i="28"/>
  <c r="F26" i="28" l="1"/>
  <c r="E12" i="28" l="1"/>
  <c r="M41" i="28"/>
  <c r="J41" i="28"/>
  <c r="L12" i="29" l="1"/>
  <c r="L11" i="29"/>
  <c r="I16" i="29" l="1"/>
  <c r="E37" i="23" l="1"/>
  <c r="F16" i="28"/>
  <c r="F17" i="28"/>
  <c r="F18" i="28"/>
  <c r="F19" i="28"/>
  <c r="F20" i="28"/>
  <c r="F21" i="28"/>
  <c r="F22" i="28"/>
  <c r="F23" i="28"/>
  <c r="F24" i="28"/>
  <c r="F25" i="28"/>
  <c r="F27" i="28"/>
  <c r="F28" i="28"/>
  <c r="M18" i="28" l="1"/>
  <c r="J18" i="28"/>
  <c r="L10" i="29"/>
  <c r="L9" i="29"/>
  <c r="T49" i="14"/>
  <c r="Q49" i="14"/>
  <c r="R51" i="14" s="1"/>
  <c r="I38" i="29" l="1"/>
  <c r="F38" i="29"/>
  <c r="M37" i="29"/>
  <c r="C38" i="29"/>
  <c r="F43" i="29" s="1"/>
  <c r="L38" i="29"/>
  <c r="C41" i="28"/>
  <c r="F40" i="28"/>
  <c r="F39" i="28"/>
  <c r="F38" i="28"/>
  <c r="F37" i="28"/>
  <c r="F36" i="28"/>
  <c r="F35" i="28"/>
  <c r="F34" i="28"/>
  <c r="F33" i="28"/>
  <c r="F30" i="28"/>
  <c r="F29" i="28"/>
  <c r="F32" i="28"/>
  <c r="F31" i="28"/>
  <c r="F15" i="28"/>
  <c r="F14" i="28"/>
  <c r="F13" i="28"/>
  <c r="F12" i="28"/>
  <c r="F11" i="28"/>
  <c r="F10" i="28"/>
  <c r="F9" i="28"/>
  <c r="F8" i="28"/>
  <c r="F7" i="28"/>
  <c r="F6" i="28"/>
  <c r="F5" i="28"/>
  <c r="F4" i="28"/>
  <c r="E41" i="28"/>
  <c r="K40" i="29" l="1"/>
  <c r="F41" i="29" s="1"/>
  <c r="F44" i="29" s="1"/>
  <c r="F48" i="29" s="1"/>
  <c r="K44" i="29" s="1"/>
  <c r="K49" i="29" s="1"/>
  <c r="F3" i="28"/>
  <c r="F41" i="28" s="1"/>
  <c r="E32" i="23" l="1"/>
  <c r="M78" i="23" l="1"/>
  <c r="J78" i="23"/>
  <c r="F35" i="23" l="1"/>
  <c r="F36" i="23"/>
  <c r="F37" i="23"/>
  <c r="F38" i="23"/>
  <c r="F39" i="23"/>
  <c r="F40" i="23"/>
  <c r="L12" i="22" l="1"/>
  <c r="F32" i="23" l="1"/>
  <c r="F33" i="23"/>
  <c r="F34" i="23"/>
  <c r="J63" i="23"/>
  <c r="E3" i="23" l="1"/>
  <c r="M63" i="23"/>
  <c r="L11" i="22" l="1"/>
  <c r="C20" i="22"/>
  <c r="L12" i="20"/>
  <c r="L11" i="20"/>
  <c r="L10" i="22"/>
  <c r="L9" i="22"/>
  <c r="M37" i="22" l="1"/>
  <c r="F27" i="23" l="1"/>
  <c r="F28" i="23"/>
  <c r="F29" i="23"/>
  <c r="F30" i="23"/>
  <c r="F31" i="23"/>
  <c r="L23" i="20" l="1"/>
  <c r="E12" i="21" l="1"/>
  <c r="M27" i="23"/>
  <c r="J27" i="23"/>
  <c r="E41" i="23"/>
  <c r="C41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41" i="23" s="1"/>
  <c r="F38" i="22"/>
  <c r="I38" i="22"/>
  <c r="C38" i="22"/>
  <c r="F43" i="22" s="1"/>
  <c r="L38" i="22"/>
  <c r="K40" i="22" l="1"/>
  <c r="F41" i="22"/>
  <c r="F44" i="22" s="1"/>
  <c r="F48" i="22" s="1"/>
  <c r="K44" i="22" s="1"/>
  <c r="K49" i="22" s="1"/>
  <c r="C31" i="20"/>
  <c r="C30" i="20" l="1"/>
  <c r="I27" i="20" l="1"/>
  <c r="C27" i="20"/>
  <c r="L29" i="20"/>
  <c r="C26" i="20"/>
  <c r="M50" i="21" l="1"/>
  <c r="J50" i="21"/>
  <c r="T15" i="9" l="1"/>
  <c r="T14" i="9" l="1"/>
  <c r="L31" i="20" l="1"/>
  <c r="L25" i="20" l="1"/>
  <c r="L10" i="20" l="1"/>
  <c r="I13" i="20"/>
  <c r="C13" i="20"/>
  <c r="C12" i="20"/>
  <c r="L9" i="20"/>
  <c r="L38" i="20" s="1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K49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38" i="20"/>
  <c r="F38" i="20"/>
  <c r="M37" i="20"/>
  <c r="C38" i="20"/>
  <c r="F43" i="20" s="1"/>
  <c r="F16" i="21" l="1"/>
  <c r="F36" i="21" s="1"/>
  <c r="K40" i="20"/>
  <c r="F41" i="20" s="1"/>
  <c r="F44" i="20" s="1"/>
  <c r="F48" i="20" s="1"/>
  <c r="K44" i="20" s="1"/>
  <c r="K49" i="20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B39" i="11" l="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D39" i="11" s="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17" i="9" l="1"/>
  <c r="C38" i="9"/>
  <c r="V30" i="10" l="1"/>
  <c r="S30" i="10"/>
  <c r="C28" i="10" l="1"/>
  <c r="C38" i="10" s="1"/>
  <c r="N16" i="10" l="1"/>
  <c r="V14" i="10" l="1"/>
  <c r="S14" i="10"/>
  <c r="Q24" i="9" l="1"/>
  <c r="Q26" i="9"/>
  <c r="Q28" i="9" s="1"/>
  <c r="Q30" i="9" s="1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I38" i="9"/>
  <c r="M37" i="9"/>
  <c r="K40" i="9" l="1"/>
  <c r="F41" i="9" s="1"/>
  <c r="F44" i="9"/>
  <c r="F48" i="9" s="1"/>
  <c r="K48" i="9" s="1"/>
  <c r="C8" i="8" l="1"/>
  <c r="C38" i="8" s="1"/>
  <c r="F43" i="8"/>
  <c r="M37" i="8"/>
  <c r="K38" i="3" l="1"/>
  <c r="F38" i="3"/>
  <c r="I38" i="3"/>
  <c r="C38" i="3"/>
  <c r="L38" i="7"/>
  <c r="I38" i="7"/>
  <c r="F38" i="7"/>
  <c r="C38" i="7"/>
  <c r="I38" i="8"/>
  <c r="F38" i="8"/>
  <c r="P31" i="8" l="1"/>
  <c r="K40" i="7" l="1"/>
  <c r="F41" i="7"/>
  <c r="F42" i="7"/>
  <c r="F43" i="7" l="1"/>
  <c r="F45" i="7" s="1"/>
  <c r="L45" i="7" s="1"/>
  <c r="L38" i="8" l="1"/>
  <c r="K40" i="8" s="1"/>
  <c r="F41" i="8" s="1"/>
  <c r="F44" i="8" s="1"/>
  <c r="F48" i="8" s="1"/>
  <c r="K48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<sst xmlns="http://schemas.openxmlformats.org/spreadsheetml/2006/main" count="2537" uniqueCount="909">
  <si>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</si>
  <si>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</si>
  <si>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</si>
  <si>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</si>
  <si>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</si>
  <si>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</si>
  <si>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</si>
  <si>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</si>
  <si>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</si>
  <si>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</si>
  <si>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</si>
  <si>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</si>
  <si>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</si>
  <si>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</si>
  <si>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</si>
  <si>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</si>
  <si>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</si>
  <si>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</si>
  <si>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</si>
  <si>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</si>
  <si>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</si>
  <si>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</si>
  <si>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</si>
  <si>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</si>
  <si>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</si>
  <si>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</si>
  <si>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</si>
  <si>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</si>
  <si>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</si>
  <si>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</si>
  <si>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</si>
  <si>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</si>
  <si>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</si>
  <si>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</si>
  <si>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</si>
  <si>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</si>
  <si>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</si>
  <si>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</si>
  <si>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</si>
  <si>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</si>
  <si>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</si>
  <si>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</si>
  <si>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</si>
  <si>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</si>
  <si>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</si>
  <si>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</si>
  <si>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</si>
  <si>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</si>
  <si>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</si>
  <si>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</si>
  <si>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</si>
  <si>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</si>
  <si>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</si>
  <si>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</si>
  <si>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</si>
  <si>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</si>
  <si>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</si>
  <si>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</si>
  <si>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</si>
  <si>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</si>
  <si>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</si>
  <si>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</si>
  <si>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</si>
  <si>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</si>
  <si>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</si>
  <si>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</si>
  <si>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</si>
  <si>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</si>
  <si>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</si>
  <si>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</si>
  <si>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</si>
  <si>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</si>
  <si>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</si>
  <si>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</si>
  <si>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</si>
  <si>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</si>
  <si>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</si>
  <si>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</si>
  <si>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</si>
  <si>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</si>
  <si>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</si>
  <si>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</si>
  <si>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</si>
  <si>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</si>
  <si>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</si>
  <si>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</si>
  <si>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</si>
  <si>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</si>
  <si>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</si>
  <si>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</si>
  <si>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</si>
  <si>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</si>
  <si>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</si>
  <si>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</si>
  <si>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</si>
  <si>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</si>
  <si>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</si>
  <si>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</si>
  <si>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</si>
  <si>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</si>
  <si>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</si>
  <si>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</si>
  <si>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</si>
  <si>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</si>
  <si>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</si>
  <si>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</si>
  <si>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</si>
  <si>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</si>
  <si>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</si>
  <si>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</si>
  <si>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</si>
  <si>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</si>
  <si>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</si>
  <si>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</si>
  <si>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</si>
  <si>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</si>
  <si>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</si>
  <si>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</si>
  <si>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</si>
  <si>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</si>
  <si>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</si>
  <si>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</si>
  <si>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</si>
  <si>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</si>
  <si>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</si>
  <si>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</si>
  <si>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</si>
  <si>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</si>
  <si>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</si>
  <si>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</si>
  <si>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</si>
  <si>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</si>
  <si>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</si>
  <si>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</si>
  <si>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</si>
  <si>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</si>
  <si>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</si>
  <si>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</si>
  <si>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</si>
  <si>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</si>
  <si>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</si>
  <si>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</si>
  <si>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</si>
  <si>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</si>
  <si>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</si>
  <si>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</si>
  <si>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</si>
  <si>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</si>
  <si>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</si>
  <si>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</si>
  <si>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</si>
  <si>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</si>
  <si>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</si>
  <si>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</si>
  <si>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</si>
  <si>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</si>
  <si>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</si>
  <si>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</si>
  <si>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</si>
  <si>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</si>
  <si>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</si>
  <si>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</si>
  <si>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</si>
  <si>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</si>
  <si>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</si>
  <si>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</si>
  <si>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</si>
  <si>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</si>
  <si>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</si>
  <si>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</si>
  <si>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</si>
  <si>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</si>
  <si>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</si>
  <si>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</si>
  <si>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</si>
  <si>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</si>
  <si>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</si>
  <si>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</si>
  <si>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</si>
  <si>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</si>
  <si>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</si>
  <si>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</si>
  <si>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</si>
  <si>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</si>
  <si>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</si>
  <si>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</si>
  <si>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</si>
  <si>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</si>
  <si>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</si>
  <si>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</si>
  <si>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</si>
  <si>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</si>
  <si>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</si>
  <si>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</si>
  <si>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</si>
  <si>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</si>
  <si>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</si>
  <si>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</si>
  <si>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</si>
  <si>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</si>
  <si>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</si>
  <si>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</si>
  <si>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</si>
  <si>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</si>
  <si>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</si>
  <si>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</si>
  <si>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</si>
  <si>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</si>
  <si>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</si>
  <si>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</si>
  <si>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</si>
  <si>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</si>
  <si>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</si>
  <si>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</si>
  <si>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</si>
  <si>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</si>
  <si>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</si>
  <si>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</si>
  <si>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</si>
  <si>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</si>
  <si>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</si>
  <si>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</si>
  <si>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</si>
  <si>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</si>
  <si>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</si>
  <si>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</si>
  <si>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</si>
  <si>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</si>
  <si>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</si>
  <si>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</si>
  <si>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</si>
  <si>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</si>
  <si>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</si>
  <si>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</si>
  <si>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</si>
  <si>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</si>
  <si>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</si>
  <si>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</si>
  <si>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</si>
  <si>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</si>
  <si>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</si>
  <si>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</si>
  <si>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</si>
  <si>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</si>
  <si>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</si>
  <si>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</si>
  <si>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</si>
  <si>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</si>
  <si>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</si>
  <si>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</si>
  <si>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</si>
  <si>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</si>
  <si>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</si>
  <si>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</si>
  <si>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</si>
  <si>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</si>
  <si>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</si>
  <si>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</si>
  <si>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</si>
  <si>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</si>
  <si>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</si>
  <si>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</si>
  <si>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</si>
  <si>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</si>
  <si>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</si>
  <si>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</si>
  <si>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</si>
  <si>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</si>
  <si>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</si>
  <si>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</si>
  <si>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</si>
  <si>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</si>
  <si>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</si>
  <si>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</si>
  <si>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</si>
  <si>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</si>
  <si>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</si>
  <si>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</si>
  <si>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</si>
  <si>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</si>
  <si>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</si>
  <si>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</si>
  <si>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</si>
  <si>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</si>
  <si>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</si>
  <si>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</si>
  <si>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</si>
  <si>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</si>
  <si>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</si>
  <si>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</si>
  <si>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</si>
  <si>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</si>
  <si>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</si>
  <si>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</si>
  <si>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</si>
  <si>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</si>
  <si>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</si>
  <si>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</si>
  <si>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</si>
  <si>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</si>
  <si>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</si>
  <si>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</si>
  <si>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</si>
  <si>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</si>
  <si>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</si>
  <si>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</si>
  <si>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</si>
  <si>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</si>
  <si>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</si>
  <si>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</si>
  <si>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</si>
  <si>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</si>
  <si>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</si>
  <si>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</si>
  <si>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</si>
  <si>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</si>
  <si>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</si>
  <si>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</si>
  <si>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</si>
  <si>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</si>
  <si>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</si>
  <si>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</si>
  <si>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</si>
  <si>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</si>
  <si>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</si>
  <si>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</si>
  <si>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</si>
  <si>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</si>
  <si>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</si>
  <si>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</si>
  <si>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</si>
  <si>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</si>
  <si>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</si>
  <si>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</si>
  <si>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</si>
  <si>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</si>
  <si>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</si>
  <si>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</si>
  <si>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</si>
  <si>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</si>
  <si>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</si>
  <si>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</si>
  <si>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</si>
  <si>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</si>
  <si>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</si>
  <si>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</si>
  <si>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</si>
  <si>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</si>
  <si>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</si>
  <si>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</si>
  <si>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</si>
  <si>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</si>
  <si>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</si>
  <si>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</si>
  <si>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</si>
  <si>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</si>
  <si>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</si>
  <si>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</si>
  <si>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</si>
  <si>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</si>
  <si>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</si>
  <si>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</si>
  <si>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</si>
  <si>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</si>
  <si>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</si>
  <si>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</si>
  <si>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</si>
  <si>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</si>
  <si>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</si>
  <si>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</si>
  <si>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</si>
  <si>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</si>
  <si>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</si>
  <si>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</si>
  <si>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</si>
  <si>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</si>
  <si>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</si>
  <si>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</si>
  <si>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</si>
  <si>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</si>
  <si>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</si>
  <si>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</si>
  <si>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</si>
  <si>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</si>
  <si>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</si>
  <si>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</si>
  <si>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</si>
  <si>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</si>
  <si>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</si>
  <si>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</si>
  <si>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</si>
  <si>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</si>
  <si>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</si>
  <si>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</si>
  <si>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</si>
  <si>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</si>
  <si>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</si>
  <si>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</si>
  <si>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</si>
  <si>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</si>
  <si>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</si>
  <si>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</si>
  <si>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</si>
  <si>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</si>
  <si>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</si>
  <si>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</si>
  <si>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</si>
  <si>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</si>
  <si>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</si>
  <si>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</si>
  <si>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</si>
  <si>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</si>
  <si>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</si>
  <si>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</si>
  <si>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</si>
  <si>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</si>
  <si>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</si>
  <si>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</si>
  <si>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</si>
  <si>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</si>
  <si>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</si>
  <si>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</si>
  <si>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</si>
  <si>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</si>
  <si>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</si>
  <si>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</si>
  <si>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</si>
  <si>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</si>
  <si>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</si>
  <si>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</si>
  <si>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</si>
  <si>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</si>
  <si>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</si>
  <si>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</si>
  <si>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</si>
  <si>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</si>
  <si>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</si>
  <si>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</si>
  <si>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</si>
  <si>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</si>
  <si>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</si>
  <si>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</si>
  <si>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</si>
  <si>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</si>
  <si>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</si>
  <si>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</si>
  <si>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</si>
  <si>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</si>
  <si>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</si>
  <si>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</si>
  <si>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</si>
  <si>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</si>
  <si>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</si>
  <si>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</si>
  <si>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</si>
  <si>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</si>
  <si>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</si>
  <si>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</si>
  <si>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</si>
  <si>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</si>
  <si>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</si>
  <si>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</si>
  <si>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</si>
  <si>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</si>
  <si>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</si>
  <si>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</si>
  <si>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</si>
  <si>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</si>
  <si>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</si>
  <si>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</si>
  <si>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</si>
  <si>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</si>
  <si>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</si>
  <si>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</si>
  <si>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</si>
  <si>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</si>
  <si>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</si>
  <si>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</si>
  <si>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</si>
  <si>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</si>
  <si>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</si>
  <si>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</si>
  <si>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</si>
  <si>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</si>
  <si>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</si>
  <si>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</si>
  <si>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</si>
  <si>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</si>
  <si>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</si>
  <si>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</si>
  <si>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</si>
  <si>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</si>
  <si>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</si>
  <si>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</si>
  <si>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</si>
  <si>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</si>
  <si>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</si>
  <si>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</si>
  <si>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</si>
  <si>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</si>
  <si>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</si>
  <si>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</si>
  <si>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</si>
  <si>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</si>
  <si>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</si>
  <si>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</si>
  <si>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</si>
  <si>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</si>
  <si>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</si>
  <si>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</si>
  <si>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</si>
  <si>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</si>
  <si>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</si>
  <si>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</si>
  <si>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</si>
  <si>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</si>
  <si>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</si>
  <si>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</si>
  <si>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</si>
  <si>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</si>
  <si>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</si>
  <si>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</si>
  <si>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</si>
  <si>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</si>
  <si>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</si>
  <si>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</si>
  <si>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</si>
  <si>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</si>
  <si>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</si>
  <si>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</si>
  <si>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</si>
  <si>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</si>
  <si>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</si>
  <si>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</si>
  <si>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</si>
  <si>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</si>
  <si>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</si>
  <si>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</si>
  <si>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</si>
  <si>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</si>
  <si>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</si>
  <si>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</si>
  <si>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</si>
  <si>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</si>
  <si>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</si>
  <si>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</si>
  <si>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</si>
  <si>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</si>
  <si>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</si>
  <si>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</si>
  <si>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</si>
  <si>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</si>
  <si>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</si>
  <si>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</si>
  <si>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</si>
  <si>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</si>
  <si>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</si>
  <si>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</si>
  <si>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</si>
  <si>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</si>
  <si>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</si>
  <si>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</si>
  <si>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</si>
  <si>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</si>
  <si>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</si>
  <si>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</si>
  <si>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REMISIONES  11 SUR    J U L I O        2015</t>
  </si>
  <si>
    <t>920 A</t>
  </si>
  <si>
    <t>980 A</t>
  </si>
  <si>
    <t xml:space="preserve">17-Jun --04-Jul </t>
  </si>
  <si>
    <t>FOLIO 1342  1 MAYO 392.80</t>
  </si>
  <si>
    <t>1144 A</t>
  </si>
  <si>
    <t>1219 A</t>
  </si>
  <si>
    <t>1222 A</t>
  </si>
  <si>
    <t>1301 A</t>
  </si>
  <si>
    <t>Computo</t>
  </si>
  <si>
    <t>Serv CAMARAS</t>
  </si>
  <si>
    <t>Guante Anticorte</t>
  </si>
  <si>
    <t>r</t>
  </si>
  <si>
    <t>1448 A</t>
  </si>
  <si>
    <t>1601A</t>
  </si>
  <si>
    <t>1715 A</t>
  </si>
  <si>
    <t>1879 A</t>
  </si>
  <si>
    <t>BALANCE       DE      J U L I O          2015    11  S U R   ( 2 )</t>
  </si>
  <si>
    <t>1911 A</t>
  </si>
  <si>
    <t>2012 A</t>
  </si>
  <si>
    <t>2031 A</t>
  </si>
  <si>
    <t>2166 A</t>
  </si>
  <si>
    <t>2272 A</t>
  </si>
  <si>
    <t>2346 A</t>
  </si>
  <si>
    <t>2440 A</t>
  </si>
  <si>
    <t>2591 A</t>
  </si>
  <si>
    <t>2753 A</t>
  </si>
  <si>
    <t>2820 A</t>
  </si>
  <si>
    <t>2848 A</t>
  </si>
  <si>
    <t>2851 A</t>
  </si>
  <si>
    <t>2894 A</t>
  </si>
  <si>
    <t>CANCELADA</t>
  </si>
  <si>
    <t>3084 A</t>
  </si>
  <si>
    <t>3092 A</t>
  </si>
  <si>
    <t>TIKETS</t>
  </si>
  <si>
    <t>afinacion</t>
  </si>
  <si>
    <t>verificacion</t>
  </si>
  <si>
    <t>PERDIDA</t>
  </si>
  <si>
    <t>pollo-salchichoneria</t>
  </si>
  <si>
    <t>NOMINA 28</t>
  </si>
  <si>
    <t>NOMINA 29</t>
  </si>
  <si>
    <t>NOMINA 30</t>
  </si>
  <si>
    <t>cable</t>
  </si>
  <si>
    <t>trapos</t>
  </si>
  <si>
    <t>pollo-carnes frias</t>
  </si>
  <si>
    <t>FALTAN TIKES</t>
  </si>
  <si>
    <t>3304 A</t>
  </si>
  <si>
    <t>3334 A</t>
  </si>
  <si>
    <t xml:space="preserve">4-Jul --25-Jul </t>
  </si>
  <si>
    <t>3468 A</t>
  </si>
  <si>
    <t>3482 A</t>
  </si>
  <si>
    <t>3590 A</t>
  </si>
  <si>
    <t>pollo-maiz-chorizo</t>
  </si>
  <si>
    <t>pollo-vinagre-cebolla</t>
  </si>
  <si>
    <t>pollo-cenrtral</t>
  </si>
  <si>
    <t>3591 A</t>
  </si>
  <si>
    <t>3699 A</t>
  </si>
  <si>
    <t>3790 A</t>
  </si>
  <si>
    <t>3932 A</t>
  </si>
  <si>
    <t xml:space="preserve">25-Jul --31-jul </t>
  </si>
  <si>
    <t>4112 A</t>
  </si>
  <si>
    <t>VINIL EN PARED</t>
  </si>
  <si>
    <t>dev</t>
  </si>
  <si>
    <t>ADT 31 jul</t>
  </si>
  <si>
    <t>REMISIONES  11 SUR    A G O S T O         2015</t>
  </si>
  <si>
    <t>4321 A</t>
  </si>
  <si>
    <t>4426 A</t>
  </si>
  <si>
    <t>4536 A</t>
  </si>
  <si>
    <t>4580 A</t>
  </si>
  <si>
    <t>4643 A</t>
  </si>
  <si>
    <t>4721 A</t>
  </si>
  <si>
    <t>4749 A</t>
  </si>
  <si>
    <t>5014 A</t>
  </si>
  <si>
    <t>POLLO-MAIZ-Chorizo</t>
  </si>
  <si>
    <t>PRESTAMO</t>
  </si>
  <si>
    <t>SERGIO</t>
  </si>
  <si>
    <t>NOMINA 31</t>
  </si>
  <si>
    <t>NOMINA 32</t>
  </si>
  <si>
    <t>NOMINA 33</t>
  </si>
  <si>
    <t>NOMINA 34</t>
  </si>
  <si>
    <t xml:space="preserve">  </t>
  </si>
  <si>
    <t>Vacaciones Beatriz</t>
  </si>
  <si>
    <t>pollo-maiz-condimentos</t>
  </si>
  <si>
    <t>basura</t>
  </si>
  <si>
    <t>cinta sierra</t>
  </si>
  <si>
    <t>carnes frias</t>
  </si>
  <si>
    <t xml:space="preserve">Deposito </t>
  </si>
  <si>
    <t xml:space="preserve">31-Jul --11-Ago </t>
  </si>
  <si>
    <t>4855 A</t>
  </si>
  <si>
    <t>5098 A</t>
  </si>
  <si>
    <t>5349 A</t>
  </si>
  <si>
    <t>5679 A</t>
  </si>
  <si>
    <t>5875 A</t>
  </si>
  <si>
    <t>5948 A</t>
  </si>
  <si>
    <t>dev Efec</t>
  </si>
  <si>
    <t>pollo--mazi</t>
  </si>
  <si>
    <t xml:space="preserve">Fumigacion 12-Ago </t>
  </si>
  <si>
    <t>5495 A</t>
  </si>
  <si>
    <t>5826 A</t>
  </si>
  <si>
    <t>6091 A</t>
  </si>
  <si>
    <t>6177 A</t>
  </si>
  <si>
    <t>6435 A</t>
  </si>
  <si>
    <t>6536 A</t>
  </si>
  <si>
    <t>6626 A</t>
  </si>
  <si>
    <t>6649 A</t>
  </si>
  <si>
    <t>6766 A</t>
  </si>
  <si>
    <t>cebolla</t>
  </si>
  <si>
    <t>PEPE</t>
  </si>
  <si>
    <t>Santander</t>
  </si>
  <si>
    <t xml:space="preserve">12-Ago--26-Ago </t>
  </si>
  <si>
    <t>6961 A</t>
  </si>
  <si>
    <t>7048 A</t>
  </si>
  <si>
    <t>7233 A</t>
  </si>
  <si>
    <t>7307 A</t>
  </si>
  <si>
    <t>7413 A</t>
  </si>
  <si>
    <t xml:space="preserve">26-Ago --01-Sep </t>
  </si>
  <si>
    <t xml:space="preserve">ELIAS 21-Ago </t>
  </si>
  <si>
    <t>pollo-pozole</t>
  </si>
  <si>
    <t>Central</t>
  </si>
  <si>
    <t xml:space="preserve">ELIAS 27-Ago </t>
  </si>
  <si>
    <t>NOMINA 35</t>
  </si>
  <si>
    <t>POLLO-CENTRAL</t>
  </si>
  <si>
    <t>BALANCE       DE      SEPTIEMBRE           2015    11  S U R   ( 2 )</t>
  </si>
  <si>
    <t>REMISIONES  11 SUR    SEPTIEMBRE         2015</t>
  </si>
  <si>
    <t>7695 A</t>
  </si>
  <si>
    <t>7697 A</t>
  </si>
  <si>
    <t>6493 A</t>
  </si>
  <si>
    <t>7018 A</t>
  </si>
  <si>
    <t>7775 A</t>
  </si>
  <si>
    <t>FALTA ENTREGAR  ELIAS</t>
  </si>
  <si>
    <t>faltan  original compras a CENTRAL ( ELIAS )</t>
  </si>
  <si>
    <t xml:space="preserve">BALANCE       DE      A G O S T O           2015    11  S U R   </t>
  </si>
  <si>
    <t xml:space="preserve"> ELIAS 03-Ago</t>
  </si>
  <si>
    <t xml:space="preserve">ELIAS 15-Ago </t>
  </si>
  <si>
    <t xml:space="preserve">PEPE  22-Ago </t>
  </si>
  <si>
    <t>pollo-central</t>
  </si>
  <si>
    <t xml:space="preserve">                            sobrante de $ 2,850.00 corte          entregado el 2 Septembre -2015</t>
  </si>
  <si>
    <t>DEBE ELIAS</t>
  </si>
  <si>
    <t xml:space="preserve">BALANCE       DE      J U N I O          2015    11  S U R   </t>
  </si>
  <si>
    <r>
      <t xml:space="preserve">BALANCE       DE      M A Y O         2015    11  S U R </t>
    </r>
    <r>
      <rPr>
        <b/>
        <u/>
        <sz val="18"/>
        <color theme="0"/>
        <rFont val="Calibri"/>
        <family val="2"/>
        <scheme val="minor"/>
      </rPr>
      <t xml:space="preserve">  ( 2 )</t>
    </r>
  </si>
  <si>
    <t>notas y tikets</t>
  </si>
  <si>
    <t>8049 A</t>
  </si>
  <si>
    <t>8137 A</t>
  </si>
  <si>
    <t>7884 A</t>
  </si>
  <si>
    <t>8009 A</t>
  </si>
  <si>
    <t>8310 A</t>
  </si>
  <si>
    <t>8357 A</t>
  </si>
  <si>
    <t>8572 A</t>
  </si>
  <si>
    <t>8796 A</t>
  </si>
  <si>
    <t>8970 A</t>
  </si>
  <si>
    <t>9017 A</t>
  </si>
  <si>
    <t>9084 A</t>
  </si>
  <si>
    <t>9085 A</t>
  </si>
  <si>
    <t>9282 A</t>
  </si>
  <si>
    <t>PEREJIL-CEBOLLA</t>
  </si>
  <si>
    <t>Pollo--chorizo--central</t>
  </si>
  <si>
    <t>NOMINA 36</t>
  </si>
  <si>
    <t>NOMINA 37</t>
  </si>
  <si>
    <t>NOMINA 38</t>
  </si>
  <si>
    <t>NOMINA 39</t>
  </si>
  <si>
    <t>NOMINA 40</t>
  </si>
  <si>
    <t>pollo-condimentos</t>
  </si>
  <si>
    <t xml:space="preserve">Fumigacion </t>
  </si>
  <si>
    <t xml:space="preserve">11-15 Ago </t>
  </si>
  <si>
    <t>9426 A</t>
  </si>
  <si>
    <t>01-Sep --17-Sep</t>
  </si>
  <si>
    <t>Medicina SERGIO</t>
  </si>
  <si>
    <t>9369 A</t>
  </si>
  <si>
    <t>9100 A</t>
  </si>
  <si>
    <t>9501 A</t>
  </si>
  <si>
    <t>9828 A</t>
  </si>
  <si>
    <t>gastos</t>
  </si>
  <si>
    <t>9782 A</t>
  </si>
  <si>
    <t>9784 A</t>
  </si>
  <si>
    <t>9785 A</t>
  </si>
  <si>
    <t>10099 A</t>
  </si>
  <si>
    <t xml:space="preserve">17-Sep --24-Sep </t>
  </si>
  <si>
    <t>10210 A</t>
  </si>
  <si>
    <t>SALSA-POLLO</t>
  </si>
  <si>
    <t>10335 A</t>
  </si>
  <si>
    <t>10443 A</t>
  </si>
  <si>
    <t>10517 A</t>
  </si>
  <si>
    <t>10099A</t>
  </si>
  <si>
    <t xml:space="preserve">24-Sep --29-Sep </t>
  </si>
  <si>
    <t>10828 A</t>
  </si>
  <si>
    <t>efectivo NLP</t>
  </si>
  <si>
    <t xml:space="preserve">LUZ 28-Sep </t>
  </si>
  <si>
    <t>11070 A</t>
  </si>
  <si>
    <t>10662 A</t>
  </si>
  <si>
    <t>BALANCE       DE      OCTUBRE          2015    11  S U R   ( 2 )</t>
  </si>
  <si>
    <t xml:space="preserve">LUZ </t>
  </si>
  <si>
    <t>REMISIONES  11 SUR    OCTUBRE        2015</t>
  </si>
  <si>
    <t>11321 A</t>
  </si>
  <si>
    <t xml:space="preserve">29-Sep --03-Oct </t>
  </si>
  <si>
    <t>camara de comercio</t>
  </si>
  <si>
    <t>11470 A</t>
  </si>
  <si>
    <t>11471 A</t>
  </si>
  <si>
    <t>11521 A</t>
  </si>
  <si>
    <t>11742 A</t>
  </si>
  <si>
    <t>11830 A</t>
  </si>
  <si>
    <t>11782 A</t>
  </si>
  <si>
    <t>11835 A</t>
  </si>
  <si>
    <t>11946 A</t>
  </si>
  <si>
    <t>12012 A</t>
  </si>
  <si>
    <t>12084 A</t>
  </si>
  <si>
    <t>12184 A</t>
  </si>
  <si>
    <t>12248 A</t>
  </si>
  <si>
    <t>12338 A</t>
  </si>
  <si>
    <t>03-Oct --12-Oct</t>
  </si>
  <si>
    <t>NOMINA 41</t>
  </si>
  <si>
    <t>NOMINA 42</t>
  </si>
  <si>
    <t>NOMINA 43</t>
  </si>
  <si>
    <t>SERGIO 4-10</t>
  </si>
  <si>
    <t>pechuga---chorizo</t>
  </si>
  <si>
    <t>HAMBURGUESA</t>
  </si>
  <si>
    <t>pollo--condimentos</t>
  </si>
  <si>
    <t>pollo---chorizo</t>
  </si>
  <si>
    <t>12376 A</t>
  </si>
  <si>
    <t>12517 A</t>
  </si>
  <si>
    <t>12591 A</t>
  </si>
  <si>
    <t>12599 A</t>
  </si>
  <si>
    <t xml:space="preserve">VENTAS DE 11 SUR </t>
  </si>
  <si>
    <t>OCT,2014</t>
  </si>
  <si>
    <t>NOV,2014</t>
  </si>
  <si>
    <t>Dic,2014</t>
  </si>
  <si>
    <t>ENERO,2015</t>
  </si>
  <si>
    <t>FEBRERO,2015</t>
  </si>
  <si>
    <t>MARZO,2015</t>
  </si>
  <si>
    <t>ABRIL .,2015</t>
  </si>
  <si>
    <t>MAYO,2015</t>
  </si>
  <si>
    <t>JUNIO.,2015</t>
  </si>
  <si>
    <t>JULIO.,2015</t>
  </si>
  <si>
    <t>AGOSTO,.2015</t>
  </si>
  <si>
    <t>SEPTIEMBRE.,2015</t>
  </si>
  <si>
    <t>ENERO,2014  a   SEPT 2014</t>
  </si>
  <si>
    <t>NO ME DIERON LA INFORMACION</t>
  </si>
  <si>
    <t>12271 A</t>
  </si>
  <si>
    <t>12669 A</t>
  </si>
  <si>
    <t>13007 A</t>
  </si>
  <si>
    <t>13090 A</t>
  </si>
  <si>
    <t>13176 A</t>
  </si>
  <si>
    <t>13223 A</t>
  </si>
  <si>
    <t>sin remision</t>
  </si>
  <si>
    <t>Sin remision</t>
  </si>
  <si>
    <t xml:space="preserve">12-Oct --19-Oct </t>
  </si>
  <si>
    <t>13378 A</t>
  </si>
  <si>
    <t xml:space="preserve">ELIAS 07-Oct </t>
  </si>
  <si>
    <t xml:space="preserve">ELIAS 4-Oct </t>
  </si>
  <si>
    <t xml:space="preserve">ELIAS 2-Oct </t>
  </si>
  <si>
    <t xml:space="preserve">ELIAS 13-Oct </t>
  </si>
  <si>
    <t>llanta 13-Oct</t>
  </si>
  <si>
    <t>Bascula 13-Oct</t>
  </si>
  <si>
    <t>Fumigacion 15-Oct</t>
  </si>
  <si>
    <t>Ayuntamiento mordida</t>
  </si>
  <si>
    <t>13622 A</t>
  </si>
  <si>
    <t xml:space="preserve">19-Oct --23-Oct </t>
  </si>
  <si>
    <t>13718 A</t>
  </si>
  <si>
    <t>13887 A</t>
  </si>
  <si>
    <t>14074 A</t>
  </si>
  <si>
    <t>14217 A</t>
  </si>
  <si>
    <t>14336 A</t>
  </si>
  <si>
    <t>14013 A</t>
  </si>
  <si>
    <t>14467 A</t>
  </si>
  <si>
    <t xml:space="preserve">23-Oct ---29 Oct </t>
  </si>
  <si>
    <t>14761 A</t>
  </si>
  <si>
    <t>14982 A</t>
  </si>
  <si>
    <t>14594-A</t>
  </si>
  <si>
    <t>14595 A</t>
  </si>
  <si>
    <t>REMISIONES  11 SUR    NOVIEMBRE         2015</t>
  </si>
  <si>
    <t>15252 A</t>
  </si>
  <si>
    <t>15253 A</t>
  </si>
  <si>
    <t xml:space="preserve">29-Oct --04-Nov </t>
  </si>
  <si>
    <t>15321 A</t>
  </si>
  <si>
    <t>15588 A</t>
  </si>
  <si>
    <t>15595 A</t>
  </si>
  <si>
    <t>15764 A</t>
  </si>
  <si>
    <t>15839 A</t>
  </si>
  <si>
    <t xml:space="preserve">ELIAS 23-Oct </t>
  </si>
  <si>
    <t xml:space="preserve">ELIAS 25-Oct </t>
  </si>
  <si>
    <t>POLLO*CEBOLLA-PEREJIL</t>
  </si>
  <si>
    <t>faltan ELIAS</t>
  </si>
  <si>
    <t xml:space="preserve">04-Nov --10-Nov </t>
  </si>
  <si>
    <t>16207 A</t>
  </si>
  <si>
    <t>16037 A</t>
  </si>
  <si>
    <t>15983 A</t>
  </si>
  <si>
    <t>16336 A</t>
  </si>
  <si>
    <t xml:space="preserve">10-Nov --12-Nov </t>
  </si>
  <si>
    <t>16431 A</t>
  </si>
  <si>
    <t>16582 A</t>
  </si>
  <si>
    <t>16748 A</t>
  </si>
  <si>
    <t>16751 A</t>
  </si>
  <si>
    <t>resto</t>
  </si>
  <si>
    <t xml:space="preserve">12-Nov--13-Nov </t>
  </si>
  <si>
    <t>BALANCE       DE      NOVIEMBRE           2015    11  S U R   ( 2 )</t>
  </si>
  <si>
    <t>NOMINA 44</t>
  </si>
  <si>
    <t>NOMINA 45</t>
  </si>
  <si>
    <t>NOMINA 46</t>
  </si>
  <si>
    <t>NOMINA 47</t>
  </si>
  <si>
    <t>faltan Elias</t>
  </si>
  <si>
    <t xml:space="preserve">Elias 03-Nov </t>
  </si>
  <si>
    <t>POLLO-CHORIZO -SALSA</t>
  </si>
  <si>
    <t>arabe</t>
  </si>
  <si>
    <t xml:space="preserve">Elias 06-Nov </t>
  </si>
  <si>
    <t xml:space="preserve">Bascula 11-Nov </t>
  </si>
  <si>
    <t xml:space="preserve">Fumigacion 11-Nov </t>
  </si>
  <si>
    <t xml:space="preserve">CAMARAS 12-Nov </t>
  </si>
  <si>
    <t>16653 A</t>
  </si>
  <si>
    <t>16990 A</t>
  </si>
  <si>
    <t>17208 A</t>
  </si>
  <si>
    <t>17323 A</t>
  </si>
  <si>
    <t>salsa</t>
  </si>
  <si>
    <t xml:space="preserve">13-Nov --19-Nov </t>
  </si>
  <si>
    <t>transfer</t>
  </si>
  <si>
    <t xml:space="preserve">Elias 08-Nov </t>
  </si>
  <si>
    <t>FALTA PAGO SERGIO</t>
  </si>
  <si>
    <t xml:space="preserve">Elias 15-Nov </t>
  </si>
  <si>
    <t>PRESTAMO EN 5 SEMANAS</t>
  </si>
  <si>
    <t xml:space="preserve">ELIAS  17-Nov </t>
  </si>
  <si>
    <t>pollo---maiz</t>
  </si>
  <si>
    <t>17823 A</t>
  </si>
  <si>
    <t>17690 A</t>
  </si>
  <si>
    <t>17978 A</t>
  </si>
  <si>
    <t>18087 A</t>
  </si>
  <si>
    <t xml:space="preserve">Folio 2195 --19-Nov --24-Nov </t>
  </si>
  <si>
    <t>18478 A</t>
  </si>
  <si>
    <t>18796 A</t>
  </si>
  <si>
    <t xml:space="preserve">Pollo-chorizo  </t>
  </si>
  <si>
    <t xml:space="preserve">Elias 25-Nov </t>
  </si>
  <si>
    <t>prestamo   MARCOS  2.500.00</t>
  </si>
  <si>
    <t>18308 A</t>
  </si>
  <si>
    <t>18577 A</t>
  </si>
  <si>
    <t>18970 A</t>
  </si>
  <si>
    <t>18991 A</t>
  </si>
  <si>
    <t>19137 A</t>
  </si>
  <si>
    <t xml:space="preserve">24-Nov--02-Dic </t>
  </si>
  <si>
    <t xml:space="preserve">02-Dic --05-Dic </t>
  </si>
  <si>
    <t>NOMINA 48</t>
  </si>
  <si>
    <t>salsa arabe</t>
  </si>
  <si>
    <t>ajo --perejil</t>
  </si>
  <si>
    <t xml:space="preserve">ELIAS </t>
  </si>
  <si>
    <t xml:space="preserve">ELIAS 22-Nov </t>
  </si>
  <si>
    <t xml:space="preserve">Elias 29-Nov </t>
  </si>
  <si>
    <t>Dev mal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</si>
</sst>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9"/>
      <color rgb="FF0000FF"/>
      <name val="Calibri"/>
      <family val="2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CC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82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3" fillId="12" borderId="0" xfId="0" applyFont="1" applyFill="1"/>
    <xf numFmtId="0" fontId="18" fillId="0" borderId="15" xfId="0" applyFont="1" applyFill="1" applyBorder="1"/>
    <xf numFmtId="0" fontId="3" fillId="0" borderId="72" xfId="0" applyFont="1" applyFill="1" applyBorder="1"/>
    <xf numFmtId="0" fontId="3" fillId="0" borderId="73" xfId="0" applyFont="1" applyFill="1" applyBorder="1"/>
    <xf numFmtId="0" fontId="3" fillId="0" borderId="0" xfId="0" applyFont="1" applyFill="1"/>
    <xf numFmtId="44" fontId="50" fillId="0" borderId="0" xfId="1" applyFont="1" applyFill="1"/>
    <xf numFmtId="44" fontId="47" fillId="0" borderId="0" xfId="1" applyFont="1" applyFill="1" applyBorder="1"/>
    <xf numFmtId="165" fontId="47" fillId="0" borderId="0" xfId="0" applyNumberFormat="1" applyFont="1" applyFill="1" applyBorder="1"/>
    <xf numFmtId="44" fontId="46" fillId="0" borderId="0" xfId="1" applyFont="1" applyFill="1" applyBorder="1"/>
    <xf numFmtId="165" fontId="46" fillId="0" borderId="0" xfId="0" applyNumberFormat="1" applyFont="1" applyFill="1" applyBorder="1"/>
    <xf numFmtId="1" fontId="6" fillId="0" borderId="44" xfId="1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44" fontId="36" fillId="0" borderId="0" xfId="1" applyFont="1" applyFill="1" applyBorder="1" applyAlignment="1"/>
    <xf numFmtId="165" fontId="51" fillId="0" borderId="0" xfId="0" applyNumberFormat="1" applyFont="1" applyFill="1" applyAlignment="1">
      <alignment horizontal="center"/>
    </xf>
    <xf numFmtId="44" fontId="1" fillId="15" borderId="0" xfId="1" applyFont="1" applyFill="1"/>
    <xf numFmtId="165" fontId="1" fillId="15" borderId="0" xfId="0" applyNumberFormat="1" applyFont="1" applyFill="1" applyAlignment="1">
      <alignment horizontal="center"/>
    </xf>
    <xf numFmtId="44" fontId="18" fillId="13" borderId="11" xfId="1" applyFont="1" applyFill="1" applyBorder="1" applyAlignment="1">
      <alignment horizontal="right"/>
    </xf>
    <xf numFmtId="16" fontId="9" fillId="0" borderId="15" xfId="0" applyNumberFormat="1" applyFont="1" applyFill="1" applyBorder="1"/>
    <xf numFmtId="44" fontId="1" fillId="16" borderId="0" xfId="1" applyFont="1" applyFill="1"/>
    <xf numFmtId="165" fontId="30" fillId="6" borderId="44" xfId="0" applyNumberFormat="1" applyFont="1" applyFill="1" applyBorder="1" applyAlignment="1">
      <alignment horizontal="center"/>
    </xf>
    <xf numFmtId="1" fontId="44" fillId="6" borderId="44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center"/>
    </xf>
    <xf numFmtId="14" fontId="1" fillId="0" borderId="44" xfId="0" applyNumberFormat="1" applyFont="1" applyFill="1" applyBorder="1"/>
    <xf numFmtId="44" fontId="26" fillId="0" borderId="25" xfId="1" applyFont="1" applyFill="1" applyBorder="1"/>
    <xf numFmtId="0" fontId="26" fillId="0" borderId="44" xfId="0" applyFont="1" applyFill="1" applyBorder="1"/>
    <xf numFmtId="1" fontId="44" fillId="0" borderId="25" xfId="0" applyNumberFormat="1" applyFont="1" applyFill="1" applyBorder="1" applyAlignment="1">
      <alignment horizontal="center"/>
    </xf>
    <xf numFmtId="18" fontId="44" fillId="0" borderId="25" xfId="0" applyNumberFormat="1" applyFont="1" applyFill="1" applyBorder="1" applyAlignment="1">
      <alignment horizontal="center"/>
    </xf>
    <xf numFmtId="1" fontId="29" fillId="13" borderId="44" xfId="0" applyNumberFormat="1" applyFont="1" applyFill="1" applyBorder="1" applyAlignment="1">
      <alignment horizontal="center"/>
    </xf>
    <xf numFmtId="44" fontId="1" fillId="13" borderId="0" xfId="1" applyFont="1" applyFill="1" applyBorder="1"/>
    <xf numFmtId="165" fontId="50" fillId="13" borderId="0" xfId="0" applyNumberFormat="1" applyFont="1" applyFill="1" applyBorder="1" applyAlignment="1">
      <alignment horizontal="center"/>
    </xf>
    <xf numFmtId="44" fontId="0" fillId="15" borderId="0" xfId="1" applyFont="1" applyFill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11" borderId="0" xfId="0" applyFill="1"/>
    <xf numFmtId="1" fontId="44" fillId="0" borderId="45" xfId="0" applyNumberFormat="1" applyFont="1" applyFill="1" applyBorder="1" applyAlignment="1">
      <alignment horizontal="center"/>
    </xf>
    <xf numFmtId="44" fontId="21" fillId="0" borderId="45" xfId="1" applyFont="1" applyFill="1" applyBorder="1" applyAlignment="1">
      <alignment horizontal="center"/>
    </xf>
    <xf numFmtId="0" fontId="21" fillId="0" borderId="45" xfId="0" applyFont="1" applyBorder="1" applyAlignment="1">
      <alignment horizontal="center"/>
    </xf>
    <xf numFmtId="44" fontId="21" fillId="0" borderId="45" xfId="1" applyFont="1" applyBorder="1"/>
    <xf numFmtId="165" fontId="46" fillId="0" borderId="45" xfId="0" applyNumberFormat="1" applyFont="1" applyBorder="1"/>
    <xf numFmtId="0" fontId="0" fillId="0" borderId="50" xfId="0" applyBorder="1"/>
    <xf numFmtId="0" fontId="1" fillId="0" borderId="50" xfId="0" applyFont="1" applyBorder="1"/>
    <xf numFmtId="0" fontId="44" fillId="0" borderId="50" xfId="0" applyFont="1" applyBorder="1" applyAlignment="1">
      <alignment horizontal="center"/>
    </xf>
    <xf numFmtId="44" fontId="1" fillId="0" borderId="50" xfId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center"/>
    </xf>
    <xf numFmtId="44" fontId="27" fillId="0" borderId="45" xfId="1" applyFont="1" applyFill="1" applyBorder="1"/>
    <xf numFmtId="0" fontId="0" fillId="0" borderId="25" xfId="0" applyBorder="1"/>
    <xf numFmtId="0" fontId="44" fillId="0" borderId="25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44" fontId="26" fillId="0" borderId="44" xfId="1" applyFont="1" applyFill="1" applyBorder="1"/>
    <xf numFmtId="165" fontId="1" fillId="13" borderId="34" xfId="1" applyNumberFormat="1" applyFont="1" applyFill="1" applyBorder="1" applyAlignment="1">
      <alignment horizontal="center"/>
    </xf>
    <xf numFmtId="165" fontId="21" fillId="0" borderId="44" xfId="0" applyNumberFormat="1" applyFont="1" applyFill="1" applyBorder="1" applyAlignment="1">
      <alignment horizontal="center"/>
    </xf>
    <xf numFmtId="165" fontId="21" fillId="0" borderId="44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" fillId="0" borderId="0" xfId="0" applyFont="1" applyFill="1"/>
    <xf numFmtId="0" fontId="1" fillId="0" borderId="28" xfId="0" applyFont="1" applyFill="1" applyBorder="1"/>
    <xf numFmtId="0" fontId="0" fillId="0" borderId="28" xfId="0" applyFill="1" applyBorder="1"/>
    <xf numFmtId="165" fontId="18" fillId="0" borderId="0" xfId="0" applyNumberFormat="1" applyFont="1" applyFill="1" applyAlignment="1">
      <alignment horizontal="center"/>
    </xf>
    <xf numFmtId="0" fontId="44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25" xfId="0" applyFill="1" applyBorder="1"/>
    <xf numFmtId="0" fontId="13" fillId="11" borderId="0" xfId="0" applyFont="1" applyFill="1"/>
    <xf numFmtId="44" fontId="0" fillId="11" borderId="0" xfId="1" applyFont="1" applyFill="1"/>
    <xf numFmtId="16" fontId="21" fillId="0" borderId="44" xfId="1" applyNumberFormat="1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44" fontId="0" fillId="15" borderId="0" xfId="1" applyFont="1" applyFill="1"/>
    <xf numFmtId="0" fontId="6" fillId="0" borderId="44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4" fillId="0" borderId="45" xfId="0" applyNumberFormat="1" applyFont="1" applyBorder="1"/>
    <xf numFmtId="44" fontId="47" fillId="0" borderId="45" xfId="1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53" fillId="0" borderId="0" xfId="0" applyFont="1"/>
    <xf numFmtId="44" fontId="1" fillId="0" borderId="0" xfId="1" applyFont="1" applyBorder="1" applyAlignment="1">
      <alignment horizontal="right"/>
    </xf>
    <xf numFmtId="0" fontId="53" fillId="0" borderId="0" xfId="0" applyFont="1" applyFill="1"/>
    <xf numFmtId="0" fontId="17" fillId="0" borderId="0" xfId="0" applyFont="1" applyFill="1"/>
    <xf numFmtId="0" fontId="0" fillId="0" borderId="0" xfId="0" applyFont="1" applyFill="1" applyAlignment="1"/>
    <xf numFmtId="0" fontId="19" fillId="0" borderId="0" xfId="0" applyFont="1" applyFill="1"/>
    <xf numFmtId="16" fontId="11" fillId="0" borderId="15" xfId="0" applyNumberFormat="1" applyFont="1" applyFill="1" applyBorder="1"/>
    <xf numFmtId="44" fontId="52" fillId="0" borderId="0" xfId="1" applyFont="1" applyFill="1" applyBorder="1" applyAlignment="1">
      <alignment horizontal="right"/>
    </xf>
    <xf numFmtId="16" fontId="17" fillId="0" borderId="15" xfId="0" applyNumberFormat="1" applyFont="1" applyFill="1" applyBorder="1" applyAlignment="1">
      <alignment horizontal="right"/>
    </xf>
    <xf numFmtId="0" fontId="11" fillId="0" borderId="15" xfId="0" applyFont="1" applyFill="1" applyBorder="1"/>
    <xf numFmtId="44" fontId="0" fillId="0" borderId="43" xfId="1" applyFont="1" applyFill="1" applyBorder="1"/>
    <xf numFmtId="0" fontId="18" fillId="0" borderId="15" xfId="0" applyFont="1" applyFill="1" applyBorder="1" applyAlignment="1">
      <alignment horizontal="center"/>
    </xf>
    <xf numFmtId="44" fontId="37" fillId="12" borderId="0" xfId="1" applyFont="1" applyFill="1"/>
    <xf numFmtId="0" fontId="3" fillId="17" borderId="72" xfId="0" applyFont="1" applyFill="1" applyBorder="1"/>
    <xf numFmtId="0" fontId="3" fillId="17" borderId="75" xfId="0" applyFont="1" applyFill="1" applyBorder="1"/>
    <xf numFmtId="0" fontId="5" fillId="0" borderId="15" xfId="0" applyFont="1" applyBorder="1"/>
    <xf numFmtId="44" fontId="1" fillId="17" borderId="0" xfId="1" applyFont="1" applyFill="1"/>
    <xf numFmtId="0" fontId="0" fillId="17" borderId="0" xfId="0" applyFill="1"/>
    <xf numFmtId="44" fontId="52" fillId="6" borderId="0" xfId="1" applyFont="1" applyFill="1"/>
    <xf numFmtId="0" fontId="53" fillId="6" borderId="0" xfId="0" applyFont="1" applyFill="1"/>
    <xf numFmtId="44" fontId="1" fillId="6" borderId="5" xfId="1" applyFont="1" applyFill="1" applyBorder="1"/>
    <xf numFmtId="44" fontId="0" fillId="0" borderId="78" xfId="1" applyFont="1" applyFill="1" applyBorder="1"/>
    <xf numFmtId="44" fontId="1" fillId="0" borderId="11" xfId="1" applyFont="1" applyBorder="1" applyAlignment="1"/>
    <xf numFmtId="0" fontId="0" fillId="0" borderId="79" xfId="0" applyFill="1" applyBorder="1"/>
    <xf numFmtId="16" fontId="0" fillId="0" borderId="79" xfId="0" applyNumberFormat="1" applyFill="1" applyBorder="1"/>
    <xf numFmtId="0" fontId="18" fillId="0" borderId="79" xfId="0" applyFont="1" applyFill="1" applyBorder="1"/>
    <xf numFmtId="0" fontId="1" fillId="0" borderId="79" xfId="0" applyFont="1" applyFill="1" applyBorder="1"/>
    <xf numFmtId="0" fontId="3" fillId="0" borderId="79" xfId="0" applyFont="1" applyFill="1" applyBorder="1"/>
    <xf numFmtId="0" fontId="17" fillId="0" borderId="79" xfId="0" applyFont="1" applyFill="1" applyBorder="1"/>
    <xf numFmtId="44" fontId="1" fillId="2" borderId="11" xfId="1" applyFont="1" applyFill="1" applyBorder="1"/>
    <xf numFmtId="0" fontId="0" fillId="2" borderId="0" xfId="0" applyFill="1"/>
    <xf numFmtId="15" fontId="0" fillId="2" borderId="15" xfId="0" applyNumberFormat="1" applyFill="1" applyBorder="1"/>
    <xf numFmtId="44" fontId="1" fillId="2" borderId="33" xfId="1" applyFont="1" applyFill="1" applyBorder="1"/>
    <xf numFmtId="44" fontId="0" fillId="2" borderId="43" xfId="1" applyFont="1" applyFill="1" applyBorder="1"/>
    <xf numFmtId="0" fontId="13" fillId="0" borderId="0" xfId="0" applyFont="1" applyAlignment="1">
      <alignment horizontal="center"/>
    </xf>
    <xf numFmtId="0" fontId="0" fillId="15" borderId="0" xfId="0" applyFill="1"/>
    <xf numFmtId="44" fontId="1" fillId="0" borderId="0" xfId="1" applyFont="1" applyFill="1" applyBorder="1" applyAlignment="1">
      <alignment horizontal="left"/>
    </xf>
    <xf numFmtId="16" fontId="1" fillId="0" borderId="15" xfId="0" applyNumberFormat="1" applyFont="1" applyFill="1" applyBorder="1" applyAlignment="1">
      <alignment horizontal="center"/>
    </xf>
    <xf numFmtId="0" fontId="0" fillId="6" borderId="44" xfId="0" applyFill="1" applyBorder="1"/>
    <xf numFmtId="44" fontId="0" fillId="6" borderId="44" xfId="1" applyFont="1" applyFill="1" applyBorder="1"/>
    <xf numFmtId="0" fontId="1" fillId="6" borderId="44" xfId="0" applyFont="1" applyFill="1" applyBorder="1" applyAlignment="1">
      <alignment horizontal="center"/>
    </xf>
    <xf numFmtId="44" fontId="1" fillId="6" borderId="44" xfId="1" applyFont="1" applyFill="1" applyBorder="1"/>
    <xf numFmtId="44" fontId="1" fillId="6" borderId="44" xfId="1" applyFont="1" applyFill="1" applyBorder="1" applyAlignment="1">
      <alignment horizontal="center"/>
    </xf>
    <xf numFmtId="165" fontId="55" fillId="0" borderId="0" xfId="0" applyNumberFormat="1" applyFont="1" applyFill="1" applyBorder="1" applyAlignment="1">
      <alignment horizontal="center"/>
    </xf>
    <xf numFmtId="44" fontId="46" fillId="5" borderId="44" xfId="1" applyFont="1" applyFill="1" applyBorder="1"/>
    <xf numFmtId="165" fontId="46" fillId="5" borderId="44" xfId="0" applyNumberFormat="1" applyFont="1" applyFill="1" applyBorder="1"/>
    <xf numFmtId="0" fontId="13" fillId="0" borderId="0" xfId="0" applyFont="1" applyAlignment="1">
      <alignment horizontal="center"/>
    </xf>
    <xf numFmtId="44" fontId="3" fillId="3" borderId="0" xfId="1" applyFont="1" applyFill="1"/>
    <xf numFmtId="0" fontId="13" fillId="0" borderId="0" xfId="0" applyFont="1" applyAlignment="1">
      <alignment horizontal="center"/>
    </xf>
    <xf numFmtId="44" fontId="18" fillId="15" borderId="0" xfId="1" applyFont="1" applyFill="1"/>
    <xf numFmtId="0" fontId="18" fillId="15" borderId="0" xfId="0" applyFont="1" applyFill="1"/>
    <xf numFmtId="0" fontId="17" fillId="15" borderId="0" xfId="0" applyFont="1" applyFill="1"/>
    <xf numFmtId="44" fontId="0" fillId="6" borderId="41" xfId="1" applyFont="1" applyFill="1" applyBorder="1"/>
    <xf numFmtId="0" fontId="0" fillId="2" borderId="15" xfId="0" applyFill="1" applyBorder="1"/>
    <xf numFmtId="166" fontId="1" fillId="2" borderId="11" xfId="0" applyNumberFormat="1" applyFont="1" applyFill="1" applyBorder="1" applyAlignment="1">
      <alignment horizontal="right"/>
    </xf>
    <xf numFmtId="0" fontId="1" fillId="15" borderId="0" xfId="0" applyFont="1" applyFill="1"/>
    <xf numFmtId="0" fontId="1" fillId="13" borderId="0" xfId="0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" fillId="0" borderId="41" xfId="1" applyFont="1" applyFill="1" applyBorder="1"/>
    <xf numFmtId="0" fontId="13" fillId="0" borderId="0" xfId="0" applyFont="1" applyAlignment="1">
      <alignment horizontal="center"/>
    </xf>
    <xf numFmtId="1" fontId="44" fillId="0" borderId="47" xfId="0" applyNumberFormat="1" applyFont="1" applyFill="1" applyBorder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0" fillId="11" borderId="0" xfId="0" applyFill="1" applyBorder="1"/>
    <xf numFmtId="0" fontId="0" fillId="11" borderId="0" xfId="0" applyFont="1" applyFill="1" applyBorder="1"/>
    <xf numFmtId="0" fontId="1" fillId="0" borderId="15" xfId="0" applyFont="1" applyFill="1" applyBorder="1" applyAlignment="1">
      <alignment horizontal="center"/>
    </xf>
    <xf numFmtId="0" fontId="48" fillId="0" borderId="44" xfId="0" applyFont="1" applyBorder="1"/>
    <xf numFmtId="17" fontId="14" fillId="0" borderId="0" xfId="0" applyNumberFormat="1" applyFont="1"/>
    <xf numFmtId="0" fontId="13" fillId="0" borderId="0" xfId="0" applyFont="1" applyAlignment="1">
      <alignment horizontal="center"/>
    </xf>
    <xf numFmtId="0" fontId="21" fillId="0" borderId="44" xfId="0" applyFont="1" applyBorder="1"/>
    <xf numFmtId="1" fontId="44" fillId="15" borderId="44" xfId="0" applyNumberFormat="1" applyFont="1" applyFill="1" applyBorder="1" applyAlignment="1">
      <alignment horizontal="center"/>
    </xf>
    <xf numFmtId="44" fontId="1" fillId="15" borderId="44" xfId="1" applyFont="1" applyFill="1" applyBorder="1"/>
    <xf numFmtId="0" fontId="1" fillId="0" borderId="44" xfId="0" applyFont="1" applyFill="1" applyBorder="1"/>
    <xf numFmtId="16" fontId="18" fillId="0" borderId="15" xfId="0" applyNumberFormat="1" applyFont="1" applyFill="1" applyBorder="1"/>
    <xf numFmtId="0" fontId="13" fillId="0" borderId="0" xfId="0" applyFont="1" applyAlignment="1">
      <alignment horizontal="center"/>
    </xf>
    <xf numFmtId="165" fontId="1" fillId="14" borderId="34" xfId="1" applyNumberFormat="1" applyFont="1" applyFill="1" applyBorder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4" fillId="0" borderId="50" xfId="0" applyNumberFormat="1" applyFont="1" applyFill="1" applyBorder="1" applyAlignment="1">
      <alignment horizontal="center"/>
    </xf>
    <xf numFmtId="44" fontId="1" fillId="0" borderId="50" xfId="1" applyFont="1" applyFill="1" applyBorder="1" applyAlignment="1">
      <alignment horizontal="center"/>
    </xf>
    <xf numFmtId="0" fontId="21" fillId="0" borderId="50" xfId="0" applyFont="1" applyBorder="1" applyAlignment="1">
      <alignment horizontal="center"/>
    </xf>
    <xf numFmtId="44" fontId="47" fillId="0" borderId="50" xfId="1" applyFont="1" applyBorder="1"/>
    <xf numFmtId="165" fontId="47" fillId="0" borderId="50" xfId="0" applyNumberFormat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" fillId="0" borderId="25" xfId="0" applyFont="1" applyFill="1" applyBorder="1" applyAlignment="1">
      <alignment horizontal="center"/>
    </xf>
    <xf numFmtId="1" fontId="44" fillId="14" borderId="44" xfId="0" applyNumberFormat="1" applyFont="1" applyFill="1" applyBorder="1" applyAlignment="1">
      <alignment horizontal="center"/>
    </xf>
    <xf numFmtId="44" fontId="1" fillId="14" borderId="0" xfId="1" applyFont="1" applyFill="1"/>
    <xf numFmtId="165" fontId="1" fillId="8" borderId="34" xfId="1" applyNumberFormat="1" applyFont="1" applyFill="1" applyBorder="1" applyAlignment="1">
      <alignment horizontal="center"/>
    </xf>
    <xf numFmtId="0" fontId="25" fillId="0" borderId="80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5" xfId="0" applyFont="1" applyFill="1" applyBorder="1"/>
    <xf numFmtId="44" fontId="0" fillId="0" borderId="78" xfId="1" applyFont="1" applyBorder="1"/>
    <xf numFmtId="0" fontId="21" fillId="0" borderId="0" xfId="0" applyFont="1" applyAlignment="1">
      <alignment horizontal="right"/>
    </xf>
    <xf numFmtId="44" fontId="1" fillId="6" borderId="0" xfId="1" applyFont="1" applyFill="1"/>
    <xf numFmtId="0" fontId="1" fillId="6" borderId="0" xfId="0" applyFont="1" applyFill="1"/>
    <xf numFmtId="44" fontId="0" fillId="6" borderId="0" xfId="1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Fill="1" applyBorder="1"/>
    <xf numFmtId="0" fontId="13" fillId="0" borderId="0" xfId="0" applyFont="1" applyAlignment="1">
      <alignment horizontal="center"/>
    </xf>
    <xf numFmtId="44" fontId="21" fillId="0" borderId="44" xfId="1" applyFont="1" applyFill="1" applyBorder="1" applyAlignment="1">
      <alignment horizontal="left"/>
    </xf>
    <xf numFmtId="44" fontId="1" fillId="0" borderId="44" xfId="1" applyFont="1" applyFill="1" applyBorder="1" applyAlignment="1">
      <alignment horizontal="left"/>
    </xf>
    <xf numFmtId="0" fontId="0" fillId="14" borderId="0" xfId="0" applyFill="1"/>
    <xf numFmtId="0" fontId="1" fillId="14" borderId="0" xfId="0" applyFont="1" applyFill="1"/>
    <xf numFmtId="0" fontId="1" fillId="16" borderId="0" xfId="0" applyFont="1" applyFill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6" fontId="6" fillId="0" borderId="81" xfId="0" applyNumberFormat="1" applyFont="1" applyBorder="1" applyAlignment="1"/>
    <xf numFmtId="166" fontId="6" fillId="0" borderId="82" xfId="0" applyNumberFormat="1" applyFont="1" applyBorder="1" applyAlignment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21" fillId="0" borderId="1" xfId="1" applyFont="1" applyFill="1" applyBorder="1" applyAlignment="1">
      <alignment horizontal="center"/>
    </xf>
    <xf numFmtId="44" fontId="21" fillId="0" borderId="42" xfId="1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 wrapText="1"/>
    </xf>
    <xf numFmtId="0" fontId="1" fillId="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52" fillId="0" borderId="76" xfId="0" applyFont="1" applyBorder="1" applyAlignment="1">
      <alignment horizontal="center" wrapText="1"/>
    </xf>
    <xf numFmtId="0" fontId="52" fillId="0" borderId="77" xfId="0" applyFont="1" applyBorder="1" applyAlignment="1">
      <alignment horizontal="center" wrapText="1"/>
    </xf>
    <xf numFmtId="44" fontId="18" fillId="2" borderId="3" xfId="1" applyFont="1" applyFill="1" applyBorder="1" applyAlignment="1">
      <alignment horizontal="right" wrapText="1"/>
    </xf>
    <xf numFmtId="44" fontId="18" fillId="2" borderId="39" xfId="1" applyFont="1" applyFill="1" applyBorder="1" applyAlignment="1">
      <alignment horizontal="right" wrapText="1"/>
    </xf>
    <xf numFmtId="44" fontId="18" fillId="2" borderId="4" xfId="1" applyFont="1" applyFill="1" applyBorder="1" applyAlignment="1">
      <alignment horizontal="right" wrapText="1"/>
    </xf>
    <xf numFmtId="44" fontId="18" fillId="2" borderId="6" xfId="1" applyFont="1" applyFill="1" applyBorder="1" applyAlignment="1">
      <alignment horizontal="right" wrapText="1"/>
    </xf>
    <xf numFmtId="44" fontId="18" fillId="2" borderId="28" xfId="1" applyFont="1" applyFill="1" applyBorder="1" applyAlignment="1">
      <alignment horizontal="right" wrapText="1"/>
    </xf>
    <xf numFmtId="44" fontId="18" fillId="2" borderId="7" xfId="1" applyFont="1" applyFill="1" applyBorder="1" applyAlignment="1">
      <alignment horizontal="right" wrapText="1"/>
    </xf>
    <xf numFmtId="166" fontId="6" fillId="0" borderId="39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0" fontId="5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99CC"/>
      <color rgb="FFFF66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11</xdr:row>
      <xdr:rowOff>66675</xdr:rowOff>
    </xdr:from>
    <xdr:to>
      <xdr:col>13</xdr:col>
      <xdr:colOff>390525</xdr:colOff>
      <xdr:row>11</xdr:row>
      <xdr:rowOff>142875</xdr:rowOff>
    </xdr:to>
    <xdr:cxnSp macro="">
      <xdr:nvCxnSpPr>
        <xdr:cNvPr id="11" name="10 Conector recto de flecha"/>
        <xdr:cNvCxnSpPr/>
      </xdr:nvCxnSpPr>
      <xdr:spPr>
        <a:xfrm>
          <a:off x="9544050" y="2371725"/>
          <a:ext cx="371475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760" t="s">
        <v>21</v>
      </c>
      <c r="D1" s="760"/>
      <c r="E1" s="760"/>
      <c r="F1" s="760"/>
      <c r="G1" s="760"/>
      <c r="H1" s="760"/>
      <c r="I1" s="760"/>
      <c r="J1" s="760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761" t="s">
        <v>19</v>
      </c>
      <c r="F4" s="762"/>
      <c r="I4" s="763" t="s">
        <v>4</v>
      </c>
      <c r="J4" s="764"/>
      <c r="K4" s="764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765" t="s">
        <v>11</v>
      </c>
      <c r="I40" s="766"/>
      <c r="J40" s="767">
        <f>I38+K38</f>
        <v>92768.73</v>
      </c>
      <c r="K40" s="768"/>
      <c r="L40" s="72"/>
    </row>
    <row r="41" spans="1:12" ht="15.75" x14ac:dyDescent="0.25">
      <c r="D41" s="759" t="s">
        <v>12</v>
      </c>
      <c r="E41" s="759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769"/>
      <c r="J43" s="769"/>
      <c r="K43" s="2"/>
    </row>
    <row r="44" spans="1:12" ht="16.5" thickBot="1" x14ac:dyDescent="0.3">
      <c r="D44" s="758" t="s">
        <v>13</v>
      </c>
      <c r="E44" s="758"/>
      <c r="F44" s="60">
        <v>67799.12</v>
      </c>
      <c r="I44" s="770"/>
      <c r="J44" s="770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771" t="s">
        <v>18</v>
      </c>
      <c r="J45" s="772"/>
      <c r="K45" s="775">
        <f>F45+K44</f>
        <v>45465.780000000144</v>
      </c>
    </row>
    <row r="46" spans="1:12" ht="15.75" thickBot="1" x14ac:dyDescent="0.3">
      <c r="D46" s="757"/>
      <c r="E46" s="757"/>
      <c r="F46" s="56"/>
      <c r="I46" s="773"/>
      <c r="J46" s="774"/>
      <c r="K46" s="776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16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760" t="s">
        <v>381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457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81">
        <f>SUM(N5:N36)</f>
        <v>1170950.67</v>
      </c>
      <c r="N37" s="782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438"/>
      <c r="K40" s="767">
        <f>I38+L38</f>
        <v>69816.569999999992</v>
      </c>
      <c r="L40" s="768"/>
      <c r="M40" s="72"/>
    </row>
    <row r="41" spans="1:15" ht="15.75" x14ac:dyDescent="0.25">
      <c r="B41" s="281"/>
      <c r="C41" s="56"/>
      <c r="D41" s="759" t="s">
        <v>12</v>
      </c>
      <c r="E41" s="759"/>
      <c r="F41" s="57">
        <f>F38-K40</f>
        <v>1153095.43</v>
      </c>
      <c r="I41" s="66"/>
      <c r="J41" s="66"/>
      <c r="M41" s="72"/>
    </row>
    <row r="42" spans="1:15" ht="15.75" x14ac:dyDescent="0.25">
      <c r="D42" s="785" t="s">
        <v>246</v>
      </c>
      <c r="E42" s="785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793" t="s">
        <v>248</v>
      </c>
      <c r="J44" s="794"/>
      <c r="K44" s="783">
        <f>F48+L46</f>
        <v>233559.99999999985</v>
      </c>
      <c r="L44" s="775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795"/>
      <c r="J45" s="796"/>
      <c r="K45" s="784"/>
      <c r="L45" s="776"/>
      <c r="M45" s="110"/>
    </row>
    <row r="46" spans="1:15" ht="17.25" thickTop="1" thickBot="1" x14ac:dyDescent="0.3">
      <c r="C46" s="55"/>
      <c r="D46" s="758" t="s">
        <v>13</v>
      </c>
      <c r="E46" s="758"/>
      <c r="F46" s="60">
        <v>144149.15</v>
      </c>
      <c r="I46" s="770"/>
      <c r="J46" s="770"/>
      <c r="K46" s="792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786">
        <v>143402.01999999999</v>
      </c>
      <c r="L47" s="787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757"/>
      <c r="E49" s="757"/>
      <c r="F49" s="56"/>
      <c r="I49" s="790" t="s">
        <v>249</v>
      </c>
      <c r="J49" s="791"/>
      <c r="K49" s="788">
        <f>K44-K47</f>
        <v>90157.979999999865</v>
      </c>
      <c r="L49" s="7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481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57"/>
  <sheetViews>
    <sheetView topLeftCell="A22" workbookViewId="0">
      <selection activeCell="N40" sqref="N4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760" t="s">
        <v>705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17" ht="15.75" thickBot="1" x14ac:dyDescent="0.3">
      <c r="E2" s="517"/>
      <c r="F2" s="51"/>
      <c r="I2" s="44" t="s">
        <v>101</v>
      </c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458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460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461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465</v>
      </c>
      <c r="N8" s="116">
        <v>21328</v>
      </c>
      <c r="O8" s="336"/>
      <c r="P8" t="s">
        <v>462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466</v>
      </c>
      <c r="N9" s="116">
        <v>24623</v>
      </c>
      <c r="O9" s="336"/>
      <c r="P9" t="s">
        <v>463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452</v>
      </c>
      <c r="L10" s="125">
        <f>6024.97+1600+3000</f>
        <v>10624.970000000001</v>
      </c>
      <c r="M10" s="395" t="s">
        <v>467</v>
      </c>
      <c r="N10" s="116">
        <f>34883+40</f>
        <v>34923</v>
      </c>
      <c r="O10" s="336"/>
      <c r="P10" t="s">
        <v>464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453</v>
      </c>
      <c r="L11" s="126">
        <f>5583.3+1600</f>
        <v>7183.3</v>
      </c>
      <c r="M11" s="395" t="s">
        <v>468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454</v>
      </c>
      <c r="L12" s="126">
        <f>5891.68+3000+1600</f>
        <v>10491.68</v>
      </c>
      <c r="M12" s="395" t="s">
        <v>469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455</v>
      </c>
      <c r="L13" s="126">
        <f>5275+1600</f>
        <v>6875</v>
      </c>
      <c r="M13" s="395" t="s">
        <v>471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473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474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475</v>
      </c>
      <c r="N16" s="116">
        <v>22877</v>
      </c>
      <c r="O16" s="336"/>
    </row>
    <row r="17" spans="1:17" x14ac:dyDescent="0.25">
      <c r="A17" s="21"/>
      <c r="B17" s="40">
        <v>42137</v>
      </c>
      <c r="C17" s="46">
        <v>459</v>
      </c>
      <c r="D17" s="30" t="s">
        <v>476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477</v>
      </c>
      <c r="N17" s="116">
        <v>29591.5</v>
      </c>
      <c r="O17" s="336"/>
    </row>
    <row r="18" spans="1:17" x14ac:dyDescent="0.25">
      <c r="A18" s="21"/>
      <c r="B18" s="40">
        <v>42138</v>
      </c>
      <c r="C18" s="46">
        <v>972</v>
      </c>
      <c r="D18" s="30" t="s">
        <v>478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480</v>
      </c>
      <c r="N18" s="116">
        <v>29164.5</v>
      </c>
      <c r="O18" s="336"/>
    </row>
    <row r="19" spans="1:17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482</v>
      </c>
      <c r="N19" s="116">
        <v>70379</v>
      </c>
      <c r="O19" s="336"/>
    </row>
    <row r="20" spans="1:17" x14ac:dyDescent="0.25">
      <c r="A20" s="21"/>
      <c r="B20" s="40">
        <v>42140</v>
      </c>
      <c r="C20" s="46">
        <f>747+468+3510</f>
        <v>4725</v>
      </c>
      <c r="D20" s="30" t="s">
        <v>483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484</v>
      </c>
      <c r="N20" s="116">
        <v>47436</v>
      </c>
      <c r="O20" s="336"/>
    </row>
    <row r="21" spans="1:17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485</v>
      </c>
      <c r="N21" s="116">
        <v>41691.5</v>
      </c>
      <c r="O21" s="336"/>
    </row>
    <row r="22" spans="1:17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479</v>
      </c>
      <c r="L22" s="129">
        <v>800</v>
      </c>
      <c r="M22" s="395" t="s">
        <v>486</v>
      </c>
      <c r="N22" s="116">
        <v>36399</v>
      </c>
      <c r="O22" s="336"/>
    </row>
    <row r="23" spans="1:17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459</v>
      </c>
      <c r="L23" s="129">
        <v>400</v>
      </c>
      <c r="M23" s="395" t="s">
        <v>487</v>
      </c>
      <c r="N23" s="116">
        <v>31735</v>
      </c>
      <c r="O23" s="336"/>
    </row>
    <row r="24" spans="1:17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470</v>
      </c>
      <c r="L24" s="129">
        <f>1770+9000+1000</f>
        <v>11770</v>
      </c>
      <c r="M24" s="395" t="s">
        <v>488</v>
      </c>
      <c r="N24" s="116">
        <v>32190.5</v>
      </c>
      <c r="O24" s="336"/>
    </row>
    <row r="25" spans="1:17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472</v>
      </c>
      <c r="L25" s="490">
        <v>0</v>
      </c>
      <c r="M25" s="395" t="s">
        <v>489</v>
      </c>
      <c r="N25" s="116">
        <v>36871</v>
      </c>
      <c r="O25" s="450"/>
    </row>
    <row r="26" spans="1:17" x14ac:dyDescent="0.25">
      <c r="A26" s="21"/>
      <c r="B26" s="40">
        <v>42146</v>
      </c>
      <c r="C26" s="46">
        <v>626</v>
      </c>
      <c r="D26" s="96" t="s">
        <v>490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492</v>
      </c>
      <c r="L26" s="129">
        <v>9000</v>
      </c>
      <c r="M26" s="395" t="s">
        <v>491</v>
      </c>
      <c r="N26" s="116">
        <v>54885.5</v>
      </c>
      <c r="O26" s="336"/>
    </row>
    <row r="27" spans="1:17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510</v>
      </c>
      <c r="L27" s="129">
        <v>23500</v>
      </c>
      <c r="M27" s="395" t="s">
        <v>493</v>
      </c>
      <c r="N27" s="116">
        <v>60803.5</v>
      </c>
      <c r="O27" s="336"/>
    </row>
    <row r="28" spans="1:17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552</v>
      </c>
      <c r="K28" s="132"/>
      <c r="L28" s="129"/>
      <c r="M28" s="395" t="s">
        <v>494</v>
      </c>
      <c r="N28" s="116">
        <v>36955</v>
      </c>
      <c r="O28" s="336"/>
    </row>
    <row r="29" spans="1:17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495</v>
      </c>
      <c r="N29" s="116">
        <v>32059.98</v>
      </c>
      <c r="O29" s="336"/>
    </row>
    <row r="30" spans="1:17" x14ac:dyDescent="0.25">
      <c r="A30" s="21"/>
      <c r="B30" s="40">
        <v>42150</v>
      </c>
      <c r="C30" s="46">
        <v>2919</v>
      </c>
      <c r="D30" s="30" t="s">
        <v>496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497</v>
      </c>
      <c r="N30" s="116">
        <v>26911</v>
      </c>
      <c r="O30" s="336"/>
    </row>
    <row r="31" spans="1:17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498</v>
      </c>
      <c r="N31" s="116">
        <v>31239</v>
      </c>
      <c r="O31" s="450"/>
      <c r="P31" s="25"/>
    </row>
    <row r="32" spans="1:17" x14ac:dyDescent="0.25">
      <c r="A32" s="21"/>
      <c r="B32" s="40">
        <v>42152</v>
      </c>
      <c r="C32" s="46">
        <v>0</v>
      </c>
      <c r="D32" s="30"/>
      <c r="E32" s="28">
        <v>42152</v>
      </c>
      <c r="F32" s="503">
        <v>38006.769999999997</v>
      </c>
      <c r="G32" s="25"/>
      <c r="H32" s="29">
        <v>42152</v>
      </c>
      <c r="I32" s="63">
        <v>1138.67</v>
      </c>
      <c r="J32" s="81"/>
      <c r="K32" s="691" t="s">
        <v>751</v>
      </c>
      <c r="L32" s="692">
        <v>5948</v>
      </c>
      <c r="M32" s="529" t="s">
        <v>706</v>
      </c>
      <c r="N32" s="690">
        <v>0</v>
      </c>
      <c r="O32" s="565">
        <v>30920</v>
      </c>
      <c r="P32" s="450"/>
      <c r="Q32" s="59"/>
    </row>
    <row r="33" spans="1:18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499</v>
      </c>
      <c r="N33" s="116">
        <v>38604.29</v>
      </c>
      <c r="O33" s="336"/>
      <c r="P33" s="450">
        <v>2465.77</v>
      </c>
      <c r="Q33" s="5"/>
    </row>
    <row r="34" spans="1:18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500</v>
      </c>
      <c r="N34" s="116">
        <v>86491.5</v>
      </c>
      <c r="O34" s="450"/>
      <c r="P34" s="450"/>
      <c r="Q34" s="59">
        <v>1138.77</v>
      </c>
      <c r="R34" t="s">
        <v>737</v>
      </c>
    </row>
    <row r="35" spans="1:18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511</v>
      </c>
      <c r="N35" s="116">
        <v>45718.5</v>
      </c>
      <c r="O35" s="450"/>
      <c r="P35" s="450"/>
      <c r="Q35" s="5"/>
    </row>
    <row r="36" spans="1:18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614"/>
      <c r="Q36" s="5"/>
    </row>
    <row r="37" spans="1:18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81">
        <f>SUM(N5:N36)</f>
        <v>1288733.27</v>
      </c>
      <c r="N37" s="782"/>
    </row>
    <row r="38" spans="1:18" x14ac:dyDescent="0.25">
      <c r="B38" s="43" t="s">
        <v>1</v>
      </c>
      <c r="C38" s="49">
        <f>SUM(C5:C37)</f>
        <v>18401.5</v>
      </c>
      <c r="E38" s="515" t="s">
        <v>1</v>
      </c>
      <c r="F38" s="55">
        <f>SUM(F5:F37)</f>
        <v>1425486.7700000003</v>
      </c>
      <c r="H38" s="517" t="s">
        <v>1</v>
      </c>
      <c r="I38" s="59">
        <f>SUM(I5:I37)</f>
        <v>16225.500000000002</v>
      </c>
      <c r="J38" s="59"/>
      <c r="K38" s="18" t="s">
        <v>1</v>
      </c>
      <c r="L38" s="4">
        <f>SUM(L5:L37)</f>
        <v>124040.28</v>
      </c>
      <c r="M38" s="72"/>
    </row>
    <row r="39" spans="1:18" x14ac:dyDescent="0.25">
      <c r="M39" s="72"/>
    </row>
    <row r="40" spans="1:18" ht="15.75" customHeight="1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516"/>
      <c r="K40" s="767">
        <f>I38+L38</f>
        <v>140265.78</v>
      </c>
      <c r="L40" s="768"/>
      <c r="M40" s="72"/>
    </row>
    <row r="41" spans="1:18" ht="15.75" customHeight="1" x14ac:dyDescent="0.25">
      <c r="B41" s="281"/>
      <c r="C41" s="56"/>
      <c r="D41" s="759" t="s">
        <v>12</v>
      </c>
      <c r="E41" s="759"/>
      <c r="F41" s="57">
        <f>F38-K40</f>
        <v>1285220.9900000002</v>
      </c>
      <c r="I41" s="66"/>
      <c r="J41" s="66"/>
      <c r="M41" s="72"/>
    </row>
    <row r="42" spans="1:18" ht="15.75" customHeight="1" x14ac:dyDescent="0.25">
      <c r="D42" s="785" t="s">
        <v>246</v>
      </c>
      <c r="E42" s="785"/>
      <c r="F42" s="57">
        <v>-1271823.48</v>
      </c>
      <c r="I42" s="66"/>
      <c r="J42" s="66"/>
      <c r="M42" s="72"/>
    </row>
    <row r="43" spans="1:18" ht="15.75" thickBot="1" x14ac:dyDescent="0.3">
      <c r="D43" s="159"/>
      <c r="E43" s="120" t="s">
        <v>0</v>
      </c>
      <c r="F43" s="121">
        <f>-C38</f>
        <v>-18401.5</v>
      </c>
    </row>
    <row r="44" spans="1:18" ht="15.75" customHeight="1" thickTop="1" x14ac:dyDescent="0.25">
      <c r="C44" s="44" t="s">
        <v>17</v>
      </c>
      <c r="E44" s="5" t="s">
        <v>15</v>
      </c>
      <c r="F44" s="59">
        <f>SUM(F41:F43)</f>
        <v>-5003.9899999997579</v>
      </c>
      <c r="I44" s="793" t="s">
        <v>248</v>
      </c>
      <c r="J44" s="794"/>
      <c r="K44" s="783">
        <f>F48+L46</f>
        <v>144466.95000000024</v>
      </c>
      <c r="L44" s="775"/>
    </row>
    <row r="45" spans="1:18" ht="15.75" customHeight="1" thickBot="1" x14ac:dyDescent="0.3">
      <c r="D45" s="265" t="s">
        <v>253</v>
      </c>
      <c r="E45" s="5" t="s">
        <v>247</v>
      </c>
      <c r="F45" s="59">
        <v>30341.31</v>
      </c>
      <c r="I45" s="795"/>
      <c r="J45" s="796"/>
      <c r="K45" s="784"/>
      <c r="L45" s="776"/>
      <c r="M45" s="110"/>
    </row>
    <row r="46" spans="1:18" ht="17.25" thickTop="1" thickBot="1" x14ac:dyDescent="0.3">
      <c r="C46" s="55"/>
      <c r="D46" s="758" t="s">
        <v>13</v>
      </c>
      <c r="E46" s="758"/>
      <c r="F46" s="60">
        <v>119129.63</v>
      </c>
      <c r="I46" s="770"/>
      <c r="J46" s="770"/>
      <c r="K46" s="792"/>
      <c r="L46" s="34"/>
    </row>
    <row r="47" spans="1:18" ht="19.5" thickBot="1" x14ac:dyDescent="0.35">
      <c r="C47" s="55"/>
      <c r="D47" s="515"/>
      <c r="E47" s="515"/>
      <c r="F47" s="139"/>
      <c r="H47" s="19"/>
      <c r="I47" s="518" t="s">
        <v>254</v>
      </c>
      <c r="J47" s="518"/>
      <c r="K47" s="786">
        <v>144149.15</v>
      </c>
      <c r="L47" s="787"/>
    </row>
    <row r="48" spans="1:18" ht="17.25" thickTop="1" thickBot="1" x14ac:dyDescent="0.3">
      <c r="E48" s="6" t="s">
        <v>16</v>
      </c>
      <c r="F48" s="264">
        <f>F44+F45+F46</f>
        <v>144466.95000000024</v>
      </c>
    </row>
    <row r="49" spans="2:14" customFormat="1" ht="19.5" thickBot="1" x14ac:dyDescent="0.35">
      <c r="D49" s="757"/>
      <c r="E49" s="757"/>
      <c r="F49" s="56"/>
      <c r="I49" s="790" t="s">
        <v>249</v>
      </c>
      <c r="J49" s="791"/>
      <c r="K49" s="788">
        <f>K44-K47</f>
        <v>317.80000000025029</v>
      </c>
      <c r="L49" s="7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8" workbookViewId="0">
      <selection activeCell="J51" sqref="J51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456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30" t="s">
        <v>512</v>
      </c>
      <c r="M16" s="531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3" t="s">
        <v>513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2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2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5">
        <v>42154</v>
      </c>
      <c r="J38" s="506">
        <v>22670</v>
      </c>
      <c r="K38" s="59">
        <v>3291.2</v>
      </c>
      <c r="L38" s="532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5">
        <v>42154</v>
      </c>
      <c r="J39" s="506">
        <v>22739</v>
      </c>
      <c r="K39" s="59">
        <v>18724.72</v>
      </c>
      <c r="L39" s="532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5">
        <v>42155</v>
      </c>
      <c r="J40" s="496">
        <v>22829</v>
      </c>
      <c r="K40" s="81">
        <v>68098.899999999994</v>
      </c>
      <c r="L40" s="532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7"/>
      <c r="E41" s="498">
        <v>42153</v>
      </c>
      <c r="F41" s="222"/>
      <c r="G41" s="364"/>
      <c r="H41" s="287"/>
      <c r="I41" s="504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4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499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0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0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2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1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C19" workbookViewId="0">
      <selection activeCell="O28" sqref="O2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9" ht="23.25" x14ac:dyDescent="0.35">
      <c r="C1" s="760" t="s">
        <v>704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19" ht="15.75" thickBot="1" x14ac:dyDescent="0.3">
      <c r="E2" s="50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119129.63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</row>
    <row r="5" spans="1:19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515</v>
      </c>
      <c r="N5" s="151">
        <v>26782</v>
      </c>
      <c r="O5" s="336"/>
    </row>
    <row r="6" spans="1:19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516</v>
      </c>
      <c r="N6" s="116">
        <v>14630</v>
      </c>
      <c r="O6" s="336"/>
    </row>
    <row r="7" spans="1:19" x14ac:dyDescent="0.25">
      <c r="A7" s="21"/>
      <c r="B7" s="40">
        <v>42158</v>
      </c>
      <c r="C7" s="46">
        <v>1150</v>
      </c>
      <c r="D7" s="30" t="s">
        <v>517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519</v>
      </c>
      <c r="N7" s="116">
        <v>7856</v>
      </c>
      <c r="O7" s="336"/>
      <c r="R7" t="s">
        <v>462</v>
      </c>
      <c r="S7">
        <v>1600</v>
      </c>
    </row>
    <row r="8" spans="1:19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520</v>
      </c>
      <c r="N8" s="116">
        <v>28571.5</v>
      </c>
      <c r="O8" s="336"/>
      <c r="R8" t="s">
        <v>463</v>
      </c>
      <c r="S8">
        <v>2500</v>
      </c>
    </row>
    <row r="9" spans="1:19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502</v>
      </c>
      <c r="L9" s="125">
        <f>4958.31+2500+1600</f>
        <v>9058.3100000000013</v>
      </c>
      <c r="M9" s="395" t="s">
        <v>521</v>
      </c>
      <c r="N9" s="116">
        <v>57280</v>
      </c>
      <c r="O9" s="336"/>
      <c r="R9" t="s">
        <v>464</v>
      </c>
      <c r="S9">
        <v>2500</v>
      </c>
    </row>
    <row r="10" spans="1:19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503</v>
      </c>
      <c r="L10" s="52">
        <f>4958.33+1600+2500</f>
        <v>9058.33</v>
      </c>
      <c r="M10" s="395" t="s">
        <v>522</v>
      </c>
      <c r="N10" s="116">
        <v>57031</v>
      </c>
      <c r="O10" s="336"/>
    </row>
    <row r="11" spans="1:19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504</v>
      </c>
      <c r="L11" s="52">
        <f>200+5358+1600+2500</f>
        <v>9658</v>
      </c>
      <c r="M11" s="395" t="s">
        <v>523</v>
      </c>
      <c r="N11" s="116">
        <v>47781</v>
      </c>
      <c r="O11" s="336"/>
    </row>
    <row r="12" spans="1:19" x14ac:dyDescent="0.25">
      <c r="A12" s="21"/>
      <c r="B12" s="40">
        <v>42163</v>
      </c>
      <c r="C12" s="46">
        <f>353.5+275</f>
        <v>628.5</v>
      </c>
      <c r="D12" s="30" t="s">
        <v>524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505</v>
      </c>
      <c r="L12" s="52">
        <f>6206.5+1600+2500</f>
        <v>10306.5</v>
      </c>
      <c r="M12" s="395" t="s">
        <v>525</v>
      </c>
      <c r="N12" s="116">
        <v>35276.5</v>
      </c>
      <c r="O12" s="336"/>
    </row>
    <row r="13" spans="1:19" x14ac:dyDescent="0.25">
      <c r="A13" s="21"/>
      <c r="B13" s="40">
        <v>42164</v>
      </c>
      <c r="C13" s="46">
        <f>235+139.75+138+60</f>
        <v>572.75</v>
      </c>
      <c r="D13" s="96" t="s">
        <v>526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506</v>
      </c>
      <c r="L13" s="52">
        <v>0</v>
      </c>
      <c r="M13" s="395" t="s">
        <v>527</v>
      </c>
      <c r="N13" s="116">
        <v>19900</v>
      </c>
      <c r="O13" s="450"/>
    </row>
    <row r="14" spans="1:19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530</v>
      </c>
      <c r="N14" s="116">
        <v>23425</v>
      </c>
      <c r="O14" s="450"/>
    </row>
    <row r="15" spans="1:19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532</v>
      </c>
      <c r="N15" s="116">
        <v>34581</v>
      </c>
      <c r="O15" s="336"/>
    </row>
    <row r="16" spans="1:19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576</v>
      </c>
      <c r="L16" s="490">
        <v>4466</v>
      </c>
      <c r="M16" s="395" t="s">
        <v>533</v>
      </c>
      <c r="N16" s="116">
        <v>56581.5</v>
      </c>
      <c r="O16" s="336"/>
    </row>
    <row r="17" spans="1:19" x14ac:dyDescent="0.25">
      <c r="A17" s="21"/>
      <c r="B17" s="40">
        <v>42168</v>
      </c>
      <c r="C17" s="46">
        <v>880</v>
      </c>
      <c r="D17" s="30" t="s">
        <v>534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800" t="s">
        <v>529</v>
      </c>
      <c r="L17" s="490">
        <v>2500</v>
      </c>
      <c r="M17" s="395" t="s">
        <v>535</v>
      </c>
      <c r="N17" s="116">
        <v>50950</v>
      </c>
      <c r="O17" s="336"/>
    </row>
    <row r="18" spans="1:19" ht="15.75" thickBot="1" x14ac:dyDescent="0.3">
      <c r="A18" s="21"/>
      <c r="B18" s="40">
        <v>42169</v>
      </c>
      <c r="C18" s="46">
        <v>800</v>
      </c>
      <c r="D18" s="30" t="s">
        <v>536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801"/>
      <c r="L18" s="538">
        <v>0</v>
      </c>
      <c r="M18" s="395" t="s">
        <v>537</v>
      </c>
      <c r="N18" s="116">
        <v>34140</v>
      </c>
      <c r="O18" s="336"/>
    </row>
    <row r="19" spans="1:19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8">
        <v>0</v>
      </c>
      <c r="M19" s="395" t="s">
        <v>538</v>
      </c>
      <c r="N19" s="116">
        <v>32665</v>
      </c>
      <c r="O19" s="450"/>
    </row>
    <row r="20" spans="1:19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540</v>
      </c>
      <c r="N20" s="116">
        <v>32275</v>
      </c>
      <c r="O20" s="336"/>
    </row>
    <row r="21" spans="1:19" x14ac:dyDescent="0.25">
      <c r="A21" s="21"/>
      <c r="B21" s="40">
        <v>42172</v>
      </c>
      <c r="C21" s="46">
        <v>1468</v>
      </c>
      <c r="D21" s="30" t="s">
        <v>544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575</v>
      </c>
      <c r="L21" s="490">
        <v>23542.2</v>
      </c>
      <c r="M21" s="395" t="s">
        <v>542</v>
      </c>
      <c r="N21" s="116">
        <v>38573</v>
      </c>
      <c r="O21" s="336"/>
    </row>
    <row r="22" spans="1:19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541</v>
      </c>
      <c r="L22" s="490">
        <v>800</v>
      </c>
      <c r="M22" s="395" t="s">
        <v>543</v>
      </c>
      <c r="N22" s="116">
        <v>20291</v>
      </c>
      <c r="O22" s="336"/>
    </row>
    <row r="23" spans="1:19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507</v>
      </c>
      <c r="L23" s="567">
        <f>51900+24700+31610+7500</f>
        <v>115710</v>
      </c>
      <c r="M23" s="395" t="s">
        <v>546</v>
      </c>
      <c r="N23" s="116">
        <v>65103</v>
      </c>
      <c r="O23" s="336"/>
    </row>
    <row r="24" spans="1:19" x14ac:dyDescent="0.25">
      <c r="A24" s="21"/>
      <c r="B24" s="40">
        <v>42175</v>
      </c>
      <c r="C24" s="46">
        <v>1379.78</v>
      </c>
      <c r="D24" s="96" t="s">
        <v>547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508</v>
      </c>
      <c r="L24" s="490">
        <v>0</v>
      </c>
      <c r="M24" s="395" t="s">
        <v>548</v>
      </c>
      <c r="N24" s="116">
        <v>81776.5</v>
      </c>
      <c r="O24" s="336"/>
    </row>
    <row r="25" spans="1:19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509</v>
      </c>
      <c r="L25" s="490">
        <f>2200+992.96</f>
        <v>3192.96</v>
      </c>
      <c r="M25" s="395" t="s">
        <v>549</v>
      </c>
      <c r="N25" s="116">
        <v>42035.839999999997</v>
      </c>
      <c r="O25" s="565">
        <v>9835.84</v>
      </c>
      <c r="P25" s="693" t="s">
        <v>703</v>
      </c>
    </row>
    <row r="26" spans="1:19" x14ac:dyDescent="0.25">
      <c r="A26" s="21"/>
      <c r="B26" s="40">
        <v>42177</v>
      </c>
      <c r="C26" s="46">
        <f>317+312</f>
        <v>629</v>
      </c>
      <c r="D26" s="30" t="s">
        <v>559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5" t="s">
        <v>539</v>
      </c>
      <c r="L26" s="490">
        <v>0</v>
      </c>
      <c r="M26" s="395" t="s">
        <v>600</v>
      </c>
      <c r="N26" s="116">
        <v>20890.5</v>
      </c>
      <c r="R26" s="650" t="s">
        <v>564</v>
      </c>
      <c r="S26" s="551"/>
    </row>
    <row r="27" spans="1:19" x14ac:dyDescent="0.25">
      <c r="A27" s="21"/>
      <c r="B27" s="40">
        <v>42178</v>
      </c>
      <c r="C27" s="46">
        <f>373+368+9</f>
        <v>750</v>
      </c>
      <c r="D27" s="96" t="s">
        <v>524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514</v>
      </c>
      <c r="L27" s="490">
        <v>9800</v>
      </c>
      <c r="M27" s="395" t="s">
        <v>600</v>
      </c>
      <c r="N27" s="116">
        <v>18097.07</v>
      </c>
      <c r="O27" s="565">
        <v>1300</v>
      </c>
      <c r="P27" s="693" t="s">
        <v>703</v>
      </c>
      <c r="R27" t="s">
        <v>560</v>
      </c>
    </row>
    <row r="28" spans="1:19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68" t="s">
        <v>577</v>
      </c>
      <c r="L28" s="490">
        <v>4000</v>
      </c>
      <c r="M28" s="395" t="s">
        <v>600</v>
      </c>
      <c r="N28" s="116">
        <v>33181</v>
      </c>
      <c r="R28" s="336" t="s">
        <v>561</v>
      </c>
    </row>
    <row r="29" spans="1:19" x14ac:dyDescent="0.25">
      <c r="A29" s="21"/>
      <c r="B29" s="40">
        <v>42180</v>
      </c>
      <c r="C29" s="46">
        <v>494.5</v>
      </c>
      <c r="D29" s="30" t="s">
        <v>562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653" t="s">
        <v>518</v>
      </c>
      <c r="L29" s="539">
        <f>17330+4000+1500</f>
        <v>22830</v>
      </c>
      <c r="M29" s="361" t="s">
        <v>600</v>
      </c>
      <c r="N29" s="116">
        <v>24315</v>
      </c>
      <c r="O29" s="336"/>
    </row>
    <row r="30" spans="1:19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39"/>
      <c r="M30" s="395" t="s">
        <v>600</v>
      </c>
      <c r="N30" s="116">
        <v>45918</v>
      </c>
      <c r="O30" s="336"/>
    </row>
    <row r="31" spans="1:19" x14ac:dyDescent="0.25">
      <c r="A31" s="21"/>
      <c r="B31" s="40">
        <v>42182</v>
      </c>
      <c r="C31" s="46">
        <f>250+6740.4</f>
        <v>6990.4</v>
      </c>
      <c r="D31" s="30" t="s">
        <v>565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40" t="s">
        <v>545</v>
      </c>
      <c r="L31" s="802">
        <f>2500+5000</f>
        <v>7500</v>
      </c>
      <c r="M31" s="395" t="s">
        <v>600</v>
      </c>
      <c r="N31" s="116">
        <v>45627</v>
      </c>
      <c r="O31" s="450"/>
    </row>
    <row r="32" spans="1:19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41" t="s">
        <v>531</v>
      </c>
      <c r="L32" s="803"/>
      <c r="M32" s="395" t="s">
        <v>600</v>
      </c>
      <c r="N32" s="116">
        <v>28207</v>
      </c>
      <c r="O32" s="336"/>
    </row>
    <row r="33" spans="1:15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601</v>
      </c>
      <c r="K33" s="651" t="s">
        <v>557</v>
      </c>
      <c r="L33" s="804">
        <v>6256</v>
      </c>
      <c r="M33" s="395" t="s">
        <v>600</v>
      </c>
      <c r="N33" s="116">
        <v>29257</v>
      </c>
      <c r="O33" s="336"/>
    </row>
    <row r="34" spans="1:15" ht="15.75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602</v>
      </c>
      <c r="K34" s="652" t="s">
        <v>558</v>
      </c>
      <c r="L34" s="805"/>
      <c r="M34" s="395" t="s">
        <v>600</v>
      </c>
      <c r="N34" s="116">
        <v>33184</v>
      </c>
      <c r="O34" s="450"/>
    </row>
    <row r="35" spans="1:15" ht="16.5" thickTop="1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806" t="s">
        <v>563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807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98">
        <f>SUM(N5:N36)</f>
        <v>1086181.4099999999</v>
      </c>
      <c r="N37" s="799"/>
    </row>
    <row r="38" spans="1:15" x14ac:dyDescent="0.25">
      <c r="B38" s="43" t="s">
        <v>1</v>
      </c>
      <c r="C38" s="49">
        <f>SUM(C5:C37)</f>
        <v>29100.809999999998</v>
      </c>
      <c r="E38" s="507" t="s">
        <v>1</v>
      </c>
      <c r="F38" s="55">
        <f>SUM(F5:F37)</f>
        <v>1202646.44</v>
      </c>
      <c r="H38" s="509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286570.3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508"/>
      <c r="K40" s="767">
        <f>I38+L38</f>
        <v>296023.21999999997</v>
      </c>
      <c r="L40" s="768"/>
      <c r="M40" s="72"/>
    </row>
    <row r="41" spans="1:15" ht="15.75" x14ac:dyDescent="0.25">
      <c r="B41" s="281"/>
      <c r="C41" s="56"/>
      <c r="D41" s="759" t="s">
        <v>12</v>
      </c>
      <c r="E41" s="759"/>
      <c r="F41" s="57">
        <f>F38-K40</f>
        <v>906623.22</v>
      </c>
      <c r="I41" s="66"/>
      <c r="J41" s="66"/>
      <c r="M41" s="72"/>
    </row>
    <row r="42" spans="1:15" ht="15.75" x14ac:dyDescent="0.25">
      <c r="D42" s="785" t="s">
        <v>246</v>
      </c>
      <c r="E42" s="785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-178184.99999999994</v>
      </c>
      <c r="I44" s="793" t="s">
        <v>248</v>
      </c>
      <c r="J44" s="794"/>
      <c r="K44" s="783">
        <f>F48+L46</f>
        <v>-33958.53999999995</v>
      </c>
      <c r="L44" s="775"/>
    </row>
    <row r="45" spans="1:15" ht="15.75" thickBot="1" x14ac:dyDescent="0.3">
      <c r="D45" s="265" t="s">
        <v>253</v>
      </c>
      <c r="E45" s="5" t="s">
        <v>247</v>
      </c>
      <c r="F45" s="569">
        <v>0</v>
      </c>
      <c r="I45" s="795"/>
      <c r="J45" s="796"/>
      <c r="K45" s="784"/>
      <c r="L45" s="776"/>
      <c r="M45" s="110"/>
    </row>
    <row r="46" spans="1:15" ht="17.25" thickTop="1" thickBot="1" x14ac:dyDescent="0.3">
      <c r="C46" s="55"/>
      <c r="D46" s="758" t="s">
        <v>13</v>
      </c>
      <c r="E46" s="758"/>
      <c r="F46" s="60">
        <v>144226.46</v>
      </c>
      <c r="I46" s="770"/>
      <c r="J46" s="770"/>
      <c r="K46" s="792"/>
      <c r="L46" s="34"/>
    </row>
    <row r="47" spans="1:15" ht="19.5" thickBot="1" x14ac:dyDescent="0.35">
      <c r="C47" s="55"/>
      <c r="D47" s="507"/>
      <c r="E47" s="507"/>
      <c r="F47" s="139"/>
      <c r="H47" s="19"/>
      <c r="I47" s="510" t="s">
        <v>254</v>
      </c>
      <c r="J47" s="510"/>
      <c r="K47" s="786">
        <v>119129.63</v>
      </c>
      <c r="L47" s="787"/>
    </row>
    <row r="48" spans="1:15" ht="17.25" thickTop="1" thickBot="1" x14ac:dyDescent="0.3">
      <c r="E48" s="6" t="s">
        <v>16</v>
      </c>
      <c r="F48" s="264">
        <f>F44+F45+F46</f>
        <v>-33958.53999999995</v>
      </c>
    </row>
    <row r="49" spans="2:14" customFormat="1" ht="19.5" thickBot="1" x14ac:dyDescent="0.35">
      <c r="D49" s="757"/>
      <c r="E49" s="757"/>
      <c r="F49" s="56"/>
      <c r="I49" s="790" t="s">
        <v>603</v>
      </c>
      <c r="J49" s="791"/>
      <c r="K49" s="788">
        <f>K44-K47</f>
        <v>-153088.16999999995</v>
      </c>
      <c r="L49" s="7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20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35:K3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6"/>
  <sheetViews>
    <sheetView topLeftCell="A46" workbookViewId="0">
      <selection activeCell="D31" sqref="D31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501</v>
      </c>
      <c r="J1" s="474" t="s">
        <v>205</v>
      </c>
      <c r="K1" s="204"/>
      <c r="L1" s="514"/>
      <c r="M1" s="463">
        <v>42172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4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42158</v>
      </c>
      <c r="B4" s="483">
        <v>23111</v>
      </c>
      <c r="C4" s="450">
        <v>10705.2</v>
      </c>
      <c r="D4" s="534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22">
        <v>31735</v>
      </c>
      <c r="N4" s="523">
        <v>42145</v>
      </c>
      <c r="O4" s="524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4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22">
        <v>25650</v>
      </c>
      <c r="N5" s="523">
        <v>42145</v>
      </c>
      <c r="O5" s="524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4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21">
        <v>9321</v>
      </c>
      <c r="N6" s="525">
        <v>42156</v>
      </c>
      <c r="O6" s="524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4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22">
        <v>6511</v>
      </c>
      <c r="N7" s="523">
        <v>42156</v>
      </c>
      <c r="O7" s="524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4">
        <v>42172</v>
      </c>
      <c r="E8" s="450">
        <v>35664</v>
      </c>
      <c r="F8" s="296">
        <f t="shared" si="0"/>
        <v>0</v>
      </c>
      <c r="G8" s="25"/>
      <c r="I8" s="506">
        <v>22670</v>
      </c>
      <c r="J8" s="59">
        <v>3291.2</v>
      </c>
      <c r="K8" s="234"/>
      <c r="L8" s="331" t="s">
        <v>396</v>
      </c>
      <c r="M8" s="522">
        <v>27300</v>
      </c>
      <c r="N8" s="523">
        <v>42156</v>
      </c>
      <c r="O8" s="524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4">
        <v>42172</v>
      </c>
      <c r="E9" s="81">
        <v>6543.2</v>
      </c>
      <c r="F9" s="296">
        <f t="shared" si="0"/>
        <v>0</v>
      </c>
      <c r="G9" s="25"/>
      <c r="I9" s="506">
        <v>22739</v>
      </c>
      <c r="J9" s="59">
        <v>18724.72</v>
      </c>
      <c r="K9" s="235"/>
      <c r="L9" s="331" t="s">
        <v>396</v>
      </c>
      <c r="M9" s="521">
        <v>3939</v>
      </c>
      <c r="N9" s="525">
        <v>42159</v>
      </c>
      <c r="O9" s="524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4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22">
        <v>8604</v>
      </c>
      <c r="N10" s="523">
        <v>42156</v>
      </c>
      <c r="O10" s="524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4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21">
        <v>30000</v>
      </c>
      <c r="N11" s="525">
        <v>42156</v>
      </c>
      <c r="O11" s="524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64" t="s">
        <v>569</v>
      </c>
      <c r="E12" s="531">
        <f>5347.52+14855.02</f>
        <v>20202.54</v>
      </c>
      <c r="F12" s="297">
        <f t="shared" si="0"/>
        <v>0</v>
      </c>
      <c r="G12" s="25"/>
      <c r="I12" s="483">
        <v>23111</v>
      </c>
      <c r="J12" s="450">
        <v>10705.2</v>
      </c>
      <c r="K12" s="230"/>
      <c r="L12" s="331" t="s">
        <v>396</v>
      </c>
      <c r="M12" s="522">
        <v>74640</v>
      </c>
      <c r="N12" s="523">
        <v>42156</v>
      </c>
      <c r="O12" s="524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562">
        <v>42189</v>
      </c>
      <c r="E13" s="531">
        <v>77081.64</v>
      </c>
      <c r="F13" s="297">
        <f t="shared" si="0"/>
        <v>0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21">
        <v>11851</v>
      </c>
      <c r="N13" s="525">
        <v>42159</v>
      </c>
      <c r="O13" s="524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562">
        <v>42189</v>
      </c>
      <c r="E14" s="531">
        <v>14416.4</v>
      </c>
      <c r="F14" s="297">
        <f t="shared" si="0"/>
        <v>0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21">
        <v>35700</v>
      </c>
      <c r="N14" s="525">
        <v>42156</v>
      </c>
      <c r="O14" s="524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562">
        <v>42189</v>
      </c>
      <c r="E15" s="531">
        <v>1145</v>
      </c>
      <c r="F15" s="297">
        <f t="shared" si="0"/>
        <v>0</v>
      </c>
      <c r="G15" s="25"/>
      <c r="I15" s="483">
        <v>23371</v>
      </c>
      <c r="J15" s="450">
        <v>79764.5</v>
      </c>
      <c r="K15" s="416"/>
      <c r="L15" s="331" t="s">
        <v>396</v>
      </c>
      <c r="M15" s="521">
        <v>10027</v>
      </c>
      <c r="N15" s="525">
        <v>42159</v>
      </c>
      <c r="O15" s="524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562">
        <v>42189</v>
      </c>
      <c r="E16" s="531">
        <v>71111.740000000005</v>
      </c>
      <c r="F16" s="297">
        <f t="shared" si="0"/>
        <v>0</v>
      </c>
      <c r="G16" s="25"/>
      <c r="I16" s="483">
        <v>23541</v>
      </c>
      <c r="J16" s="450">
        <v>35664</v>
      </c>
      <c r="K16" s="230"/>
      <c r="L16" s="331" t="s">
        <v>396</v>
      </c>
      <c r="M16" s="521">
        <v>16340</v>
      </c>
      <c r="N16" s="525">
        <v>42159</v>
      </c>
      <c r="O16" s="524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562">
        <v>42189</v>
      </c>
      <c r="E17" s="531">
        <v>14871.78</v>
      </c>
      <c r="F17" s="297">
        <f t="shared" si="0"/>
        <v>0</v>
      </c>
      <c r="G17" s="25"/>
      <c r="I17" s="483">
        <v>23767</v>
      </c>
      <c r="J17" s="81">
        <v>6543.2</v>
      </c>
      <c r="K17" s="460"/>
      <c r="L17" s="329" t="s">
        <v>396</v>
      </c>
      <c r="M17" s="526">
        <v>10442</v>
      </c>
      <c r="N17" s="527">
        <v>42167</v>
      </c>
      <c r="O17" s="524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562">
        <v>42189</v>
      </c>
      <c r="E18" s="531">
        <v>70692.86</v>
      </c>
      <c r="F18" s="297">
        <f t="shared" si="0"/>
        <v>0</v>
      </c>
      <c r="G18" s="25"/>
      <c r="I18" s="344">
        <v>23856</v>
      </c>
      <c r="J18" s="81">
        <v>78369.14</v>
      </c>
      <c r="K18" s="416"/>
      <c r="L18" s="237" t="s">
        <v>396</v>
      </c>
      <c r="M18" s="521">
        <v>14630</v>
      </c>
      <c r="N18" s="525">
        <v>42159</v>
      </c>
      <c r="O18" s="524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562">
        <v>42189</v>
      </c>
      <c r="E19" s="531">
        <v>24500.400000000001</v>
      </c>
      <c r="F19" s="297">
        <f t="shared" si="0"/>
        <v>0</v>
      </c>
      <c r="G19" s="25"/>
      <c r="I19" s="344">
        <v>23858</v>
      </c>
      <c r="J19" s="81">
        <v>1457.5</v>
      </c>
      <c r="K19" s="230"/>
      <c r="L19" s="237" t="s">
        <v>396</v>
      </c>
      <c r="M19" s="521">
        <v>7856</v>
      </c>
      <c r="N19" s="525">
        <v>42167</v>
      </c>
      <c r="O19" s="524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562">
        <v>42189</v>
      </c>
      <c r="E20" s="531">
        <v>76689.25</v>
      </c>
      <c r="F20" s="297">
        <f t="shared" si="0"/>
        <v>0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8">
        <v>28571.5</v>
      </c>
      <c r="N20" s="527">
        <v>42167</v>
      </c>
      <c r="O20" s="524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562">
        <v>42189</v>
      </c>
      <c r="E21" s="531">
        <v>31984.2</v>
      </c>
      <c r="F21" s="297">
        <f t="shared" si="0"/>
        <v>0</v>
      </c>
      <c r="G21" s="25"/>
      <c r="I21" s="344"/>
      <c r="J21" s="81"/>
      <c r="K21" s="234"/>
      <c r="L21" s="421" t="s">
        <v>396</v>
      </c>
      <c r="M21" s="528">
        <v>57280</v>
      </c>
      <c r="N21" s="527">
        <v>42167</v>
      </c>
      <c r="O21" s="524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562">
        <v>42189</v>
      </c>
      <c r="E22" s="531">
        <v>12545.66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57031</v>
      </c>
      <c r="N22" s="527">
        <v>42167</v>
      </c>
      <c r="O22" s="524">
        <v>42161</v>
      </c>
    </row>
    <row r="23" spans="1:15" ht="18.75" x14ac:dyDescent="0.3">
      <c r="A23" s="359">
        <v>42179</v>
      </c>
      <c r="B23" s="344" t="s">
        <v>550</v>
      </c>
      <c r="C23" s="81">
        <v>16640.2</v>
      </c>
      <c r="D23" s="562">
        <v>42189</v>
      </c>
      <c r="E23" s="531">
        <v>16640.2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47781</v>
      </c>
      <c r="N23" s="527">
        <v>42167</v>
      </c>
      <c r="O23" s="524">
        <v>42162</v>
      </c>
    </row>
    <row r="24" spans="1:15" ht="15.75" x14ac:dyDescent="0.25">
      <c r="A24" s="359">
        <v>42180</v>
      </c>
      <c r="B24" s="344" t="s">
        <v>553</v>
      </c>
      <c r="C24" s="322">
        <v>97343.32</v>
      </c>
      <c r="D24" s="562">
        <v>42189</v>
      </c>
      <c r="E24" s="563">
        <v>97343.32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35277.5</v>
      </c>
      <c r="N24" s="527">
        <v>42167</v>
      </c>
      <c r="O24" s="524">
        <v>42163</v>
      </c>
    </row>
    <row r="25" spans="1:15" ht="15.75" x14ac:dyDescent="0.25">
      <c r="A25" s="359">
        <v>42181</v>
      </c>
      <c r="B25" s="344" t="s">
        <v>555</v>
      </c>
      <c r="C25" s="81">
        <v>3000</v>
      </c>
      <c r="D25" s="562">
        <v>42189</v>
      </c>
      <c r="E25" s="531">
        <v>3000</v>
      </c>
      <c r="F25" s="297">
        <f t="shared" si="0"/>
        <v>0</v>
      </c>
      <c r="G25" s="25"/>
      <c r="I25" s="495"/>
      <c r="J25" s="432"/>
      <c r="K25" s="459"/>
      <c r="L25" s="421" t="s">
        <v>396</v>
      </c>
      <c r="M25" s="528">
        <v>4800</v>
      </c>
      <c r="N25" s="527">
        <v>42167</v>
      </c>
      <c r="O25" s="524">
        <v>42164</v>
      </c>
    </row>
    <row r="26" spans="1:15" ht="16.5" thickBot="1" x14ac:dyDescent="0.3">
      <c r="A26" s="359">
        <v>42182</v>
      </c>
      <c r="B26" s="344" t="s">
        <v>554</v>
      </c>
      <c r="C26" s="81">
        <v>91966.35</v>
      </c>
      <c r="D26" s="562">
        <v>42189</v>
      </c>
      <c r="E26" s="531">
        <v>91966.35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42184</v>
      </c>
      <c r="B27" s="506" t="s">
        <v>556</v>
      </c>
      <c r="C27" s="59">
        <v>32690.7</v>
      </c>
      <c r="D27" s="562">
        <v>42189</v>
      </c>
      <c r="E27" s="49">
        <v>32690.7</v>
      </c>
      <c r="F27" s="494">
        <f t="shared" si="0"/>
        <v>0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570">
        <v>42161</v>
      </c>
      <c r="B28" s="571">
        <v>23370</v>
      </c>
      <c r="C28" s="59">
        <v>25821.599999999999</v>
      </c>
      <c r="D28" s="599">
        <v>42210</v>
      </c>
      <c r="E28" s="369">
        <v>25821.599999999999</v>
      </c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5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2"/>
      <c r="M30" s="544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9"/>
    </row>
    <row r="32" spans="1:15" ht="15.75" x14ac:dyDescent="0.25">
      <c r="A32" s="545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22">
        <v>15100</v>
      </c>
      <c r="N33" s="523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22">
        <v>23425</v>
      </c>
      <c r="N34" s="523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21">
        <v>200</v>
      </c>
      <c r="N35" s="525">
        <v>42180</v>
      </c>
      <c r="O35" s="21">
        <v>42165</v>
      </c>
    </row>
    <row r="36" spans="1:15" ht="16.5" thickTop="1" x14ac:dyDescent="0.25">
      <c r="B36" s="5"/>
      <c r="C36" s="59">
        <f>SUM(C3:C35)</f>
        <v>1055707.4099999999</v>
      </c>
      <c r="D36" s="178"/>
      <c r="E36" s="336">
        <f>SUM(E3:E35)</f>
        <v>1055707.4099999999</v>
      </c>
      <c r="F36" s="336">
        <f>SUM(F3:F35)</f>
        <v>0</v>
      </c>
      <c r="G36" s="25"/>
      <c r="I36" s="344">
        <v>24349</v>
      </c>
      <c r="J36" s="81">
        <v>1145</v>
      </c>
      <c r="K36" s="234"/>
      <c r="L36" s="331" t="s">
        <v>396</v>
      </c>
      <c r="M36" s="522">
        <v>34581</v>
      </c>
      <c r="N36" s="523">
        <v>42173</v>
      </c>
      <c r="O36" s="21">
        <v>42166</v>
      </c>
    </row>
    <row r="37" spans="1:15" ht="15.75" x14ac:dyDescent="0.25">
      <c r="A37" s="5" t="s">
        <v>578</v>
      </c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22">
        <v>56581.5</v>
      </c>
      <c r="N37" s="523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21">
        <v>50950</v>
      </c>
      <c r="N38" s="525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22">
        <v>34140</v>
      </c>
      <c r="N39" s="523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21">
        <v>21000</v>
      </c>
      <c r="N40" s="525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22">
        <v>11665.5</v>
      </c>
      <c r="N41" s="523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21">
        <v>32275</v>
      </c>
      <c r="N42" s="525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21">
        <v>38573</v>
      </c>
      <c r="N43" s="525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550</v>
      </c>
      <c r="J44" s="81">
        <v>16640.2</v>
      </c>
      <c r="K44" s="416"/>
      <c r="L44" s="331" t="s">
        <v>396</v>
      </c>
      <c r="M44" s="521">
        <v>20291.5</v>
      </c>
      <c r="N44" s="525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21">
        <v>65103</v>
      </c>
      <c r="N45" s="525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6">
        <v>81776.5</v>
      </c>
      <c r="N46" s="527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21">
        <v>32200</v>
      </c>
      <c r="N47" s="525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21">
        <v>0</v>
      </c>
      <c r="N48" s="525"/>
    </row>
    <row r="49" spans="2:14" customFormat="1" ht="16.5" thickBot="1" x14ac:dyDescent="0.3"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20"/>
    </row>
    <row r="50" spans="2:14" customFormat="1" ht="16.5" thickTop="1" x14ac:dyDescent="0.25"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2:14" customFormat="1" x14ac:dyDescent="0.25">
      <c r="D51" s="25"/>
      <c r="E51" s="25"/>
      <c r="F51" s="25"/>
      <c r="G51" s="25"/>
      <c r="M51" s="5"/>
      <c r="N51" s="5"/>
    </row>
    <row r="52" spans="2:14" customFormat="1" x14ac:dyDescent="0.25">
      <c r="E52" s="25"/>
      <c r="F52" s="25"/>
      <c r="M52" s="5"/>
      <c r="N52" s="5"/>
    </row>
    <row r="53" spans="2:14" customFormat="1" x14ac:dyDescent="0.25">
      <c r="E53" s="25"/>
      <c r="F53" s="25"/>
      <c r="M53" s="5"/>
      <c r="N53" s="5"/>
    </row>
    <row r="54" spans="2:14" customFormat="1" x14ac:dyDescent="0.25">
      <c r="E54" s="25"/>
      <c r="F54" s="25"/>
      <c r="M54" s="5"/>
      <c r="N54" s="5"/>
    </row>
    <row r="55" spans="2:14" customFormat="1" x14ac:dyDescent="0.25">
      <c r="E55" s="25"/>
      <c r="F55" s="25"/>
      <c r="M55" s="5"/>
      <c r="N55" s="5"/>
    </row>
    <row r="56" spans="2:14" customFormat="1" x14ac:dyDescent="0.25">
      <c r="E56" s="25"/>
      <c r="F56" s="25"/>
      <c r="M56" s="5"/>
      <c r="N56" s="5"/>
    </row>
    <row r="57" spans="2:14" customFormat="1" x14ac:dyDescent="0.25">
      <c r="E57" s="25"/>
      <c r="F57" s="25"/>
      <c r="M57" s="5"/>
      <c r="N57" s="5"/>
    </row>
    <row r="58" spans="2:14" customFormat="1" x14ac:dyDescent="0.25">
      <c r="E58" s="25"/>
      <c r="F58" s="25"/>
      <c r="M58" s="5"/>
      <c r="N58" s="5"/>
    </row>
    <row r="59" spans="2:14" customFormat="1" x14ac:dyDescent="0.25">
      <c r="C59" s="44"/>
      <c r="E59" s="336"/>
      <c r="F59" s="336"/>
      <c r="M59" s="5"/>
      <c r="N59" s="5"/>
    </row>
    <row r="60" spans="2:14" customFormat="1" x14ac:dyDescent="0.25">
      <c r="C60" s="44"/>
      <c r="E60" s="336"/>
      <c r="F60" s="336"/>
      <c r="M60" s="5"/>
      <c r="N60" s="5"/>
    </row>
    <row r="61" spans="2:14" customFormat="1" x14ac:dyDescent="0.25">
      <c r="C61" s="44"/>
      <c r="E61" s="59"/>
      <c r="F61" s="336"/>
      <c r="M61" s="5"/>
      <c r="N61" s="5"/>
    </row>
    <row r="62" spans="2:14" customFormat="1" x14ac:dyDescent="0.25">
      <c r="B62" s="572"/>
      <c r="C62" s="572"/>
      <c r="D62" s="573"/>
      <c r="E62" s="574"/>
      <c r="F62" s="336"/>
      <c r="M62" s="5"/>
      <c r="N62" s="5"/>
    </row>
    <row r="63" spans="2:14" customFormat="1" x14ac:dyDescent="0.25">
      <c r="B63" s="572"/>
      <c r="C63" s="572"/>
      <c r="D63" s="573"/>
      <c r="E63" s="574"/>
      <c r="F63" s="336"/>
      <c r="M63" s="5"/>
      <c r="N63" s="5"/>
    </row>
    <row r="64" spans="2:14" customFormat="1" x14ac:dyDescent="0.25">
      <c r="B64" s="572"/>
      <c r="C64" s="572"/>
      <c r="D64" s="575"/>
      <c r="E64" s="574"/>
      <c r="F64" s="336"/>
      <c r="M64" s="5"/>
      <c r="N64" s="5"/>
    </row>
    <row r="65" spans="2:14" customFormat="1" x14ac:dyDescent="0.25">
      <c r="B65" s="572"/>
      <c r="C65" s="572"/>
      <c r="D65" s="575"/>
      <c r="E65" s="574"/>
      <c r="M65" s="5"/>
      <c r="N65" s="5"/>
    </row>
    <row r="66" spans="2:14" customFormat="1" x14ac:dyDescent="0.25">
      <c r="B66" s="572"/>
      <c r="C66" s="572"/>
      <c r="D66" s="575"/>
      <c r="E66" s="574"/>
      <c r="M66" s="5"/>
      <c r="N66" s="5"/>
    </row>
    <row r="67" spans="2:14" customFormat="1" x14ac:dyDescent="0.25">
      <c r="B67" s="572"/>
      <c r="C67" s="572"/>
      <c r="D67" s="575"/>
      <c r="E67" s="574"/>
      <c r="M67" s="5"/>
      <c r="N67" s="5"/>
    </row>
    <row r="68" spans="2:14" customFormat="1" x14ac:dyDescent="0.25">
      <c r="B68" s="572"/>
      <c r="C68" s="572"/>
      <c r="D68" s="575"/>
      <c r="E68" s="574"/>
      <c r="M68" s="5"/>
      <c r="N68" s="5"/>
    </row>
    <row r="69" spans="2:14" customFormat="1" x14ac:dyDescent="0.25">
      <c r="B69" s="572"/>
      <c r="C69" s="572"/>
      <c r="D69" s="575"/>
      <c r="E69" s="574"/>
      <c r="M69" s="5"/>
      <c r="N69" s="5"/>
    </row>
    <row r="70" spans="2:14" customFormat="1" x14ac:dyDescent="0.25">
      <c r="B70" s="572"/>
      <c r="C70" s="572"/>
      <c r="D70" s="575"/>
      <c r="E70" s="574"/>
      <c r="M70" s="5"/>
      <c r="N70" s="5"/>
    </row>
    <row r="71" spans="2:14" customFormat="1" x14ac:dyDescent="0.25">
      <c r="B71" s="572"/>
      <c r="C71" s="572"/>
      <c r="D71" s="575"/>
      <c r="E71" s="574"/>
      <c r="M71" s="5"/>
      <c r="N71" s="5"/>
    </row>
    <row r="72" spans="2:14" customFormat="1" x14ac:dyDescent="0.25">
      <c r="B72" s="572"/>
      <c r="C72" s="572"/>
      <c r="D72" s="575"/>
      <c r="E72" s="574"/>
      <c r="M72" s="5"/>
      <c r="N72" s="5"/>
    </row>
    <row r="73" spans="2:14" customFormat="1" x14ac:dyDescent="0.25">
      <c r="B73" s="572"/>
      <c r="C73" s="572"/>
      <c r="D73" s="575"/>
      <c r="E73" s="574"/>
      <c r="M73" s="5"/>
      <c r="N73" s="5"/>
    </row>
    <row r="74" spans="2:14" customFormat="1" x14ac:dyDescent="0.25">
      <c r="B74" s="572"/>
      <c r="C74" s="572"/>
      <c r="D74" s="575"/>
      <c r="E74" s="574"/>
      <c r="M74" s="5"/>
      <c r="N74" s="5"/>
    </row>
    <row r="75" spans="2:14" customFormat="1" x14ac:dyDescent="0.25">
      <c r="B75" s="572"/>
      <c r="C75" s="572"/>
      <c r="D75" s="575"/>
      <c r="E75" s="574"/>
      <c r="M75" s="5"/>
      <c r="N75" s="5"/>
    </row>
    <row r="76" spans="2:14" customFormat="1" x14ac:dyDescent="0.25">
      <c r="B76" s="572"/>
      <c r="C76" s="572"/>
      <c r="D76" s="575"/>
      <c r="E76" s="574"/>
      <c r="M76" s="5"/>
      <c r="N76" s="5"/>
    </row>
    <row r="77" spans="2:14" customFormat="1" x14ac:dyDescent="0.25">
      <c r="B77" s="572"/>
      <c r="C77" s="572"/>
      <c r="D77" s="575"/>
      <c r="E77" s="574"/>
      <c r="M77" s="5"/>
      <c r="N77" s="5"/>
    </row>
    <row r="78" spans="2:14" customFormat="1" x14ac:dyDescent="0.25">
      <c r="B78" s="572"/>
      <c r="C78" s="572"/>
      <c r="D78" s="575"/>
      <c r="E78" s="574"/>
      <c r="M78" s="5"/>
      <c r="N78" s="5"/>
    </row>
    <row r="79" spans="2:14" customFormat="1" x14ac:dyDescent="0.25">
      <c r="B79" s="572"/>
      <c r="C79" s="572"/>
      <c r="D79" s="575"/>
      <c r="E79" s="574"/>
      <c r="M79" s="5"/>
      <c r="N79" s="5"/>
    </row>
    <row r="80" spans="2:14" x14ac:dyDescent="0.25">
      <c r="B80" s="572"/>
      <c r="C80" s="572"/>
      <c r="D80" s="575"/>
      <c r="E80" s="574"/>
    </row>
    <row r="81" spans="2:5" x14ac:dyDescent="0.25">
      <c r="B81" s="572"/>
      <c r="C81" s="572"/>
      <c r="D81" s="575"/>
      <c r="E81" s="574"/>
    </row>
    <row r="82" spans="2:5" x14ac:dyDescent="0.25">
      <c r="B82" s="576"/>
      <c r="C82" s="576"/>
      <c r="D82" s="575"/>
      <c r="E82" s="574"/>
    </row>
    <row r="83" spans="2:5" x14ac:dyDescent="0.25">
      <c r="B83" s="577"/>
      <c r="C83" s="577"/>
      <c r="D83" s="575"/>
      <c r="E83" s="574"/>
    </row>
    <row r="84" spans="2:5" x14ac:dyDescent="0.25">
      <c r="B84" s="576"/>
      <c r="C84" s="576"/>
      <c r="D84" s="575"/>
      <c r="E84" s="574"/>
    </row>
    <row r="85" spans="2:5" x14ac:dyDescent="0.25">
      <c r="B85" s="577"/>
      <c r="C85" s="577"/>
      <c r="D85" s="575"/>
      <c r="E85" s="574"/>
    </row>
    <row r="86" spans="2:5" x14ac:dyDescent="0.25">
      <c r="B86" s="577"/>
      <c r="C86" s="577"/>
      <c r="D86" s="575"/>
      <c r="E86" s="574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0" workbookViewId="0">
      <selection activeCell="L31" sqref="L31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60" t="s">
        <v>583</v>
      </c>
      <c r="D1" s="760"/>
      <c r="E1" s="760"/>
      <c r="F1" s="760"/>
      <c r="G1" s="760"/>
      <c r="H1" s="760"/>
      <c r="I1" s="760"/>
      <c r="J1" s="760"/>
      <c r="K1" s="760"/>
      <c r="L1" s="643" t="s">
        <v>158</v>
      </c>
      <c r="M1" s="336"/>
    </row>
    <row r="2" spans="1:19" ht="15.75" thickBot="1" x14ac:dyDescent="0.3">
      <c r="E2" s="549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144226.46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112" t="s">
        <v>159</v>
      </c>
    </row>
    <row r="5" spans="1:19" ht="15.75" thickTop="1" x14ac:dyDescent="0.25">
      <c r="A5" s="21"/>
      <c r="B5" s="40">
        <v>42186</v>
      </c>
      <c r="C5" s="46">
        <v>130</v>
      </c>
      <c r="D5" s="96" t="s">
        <v>22</v>
      </c>
      <c r="E5" s="28">
        <v>42186</v>
      </c>
      <c r="F5" s="52">
        <v>25448.28</v>
      </c>
      <c r="G5" s="25"/>
      <c r="H5" s="26">
        <v>42186</v>
      </c>
      <c r="I5" s="61">
        <v>400</v>
      </c>
      <c r="J5" s="80"/>
      <c r="K5" s="122"/>
      <c r="L5" s="123"/>
      <c r="M5" s="151">
        <v>24920</v>
      </c>
      <c r="N5" s="336"/>
    </row>
    <row r="6" spans="1:19" x14ac:dyDescent="0.25">
      <c r="A6" s="21"/>
      <c r="B6" s="40">
        <v>42187</v>
      </c>
      <c r="C6" s="46">
        <v>1095.93</v>
      </c>
      <c r="D6" s="30" t="s">
        <v>604</v>
      </c>
      <c r="E6" s="28">
        <v>42187</v>
      </c>
      <c r="F6" s="52">
        <v>36817.33</v>
      </c>
      <c r="G6" s="20"/>
      <c r="H6" s="29">
        <v>42187</v>
      </c>
      <c r="I6" s="62">
        <v>438.1</v>
      </c>
      <c r="J6" s="81"/>
      <c r="K6" s="73" t="s">
        <v>5</v>
      </c>
      <c r="L6" s="125">
        <v>648</v>
      </c>
      <c r="M6" s="116">
        <v>35283</v>
      </c>
      <c r="N6" s="336"/>
    </row>
    <row r="7" spans="1:19" x14ac:dyDescent="0.25">
      <c r="A7" s="21"/>
      <c r="B7" s="40">
        <v>42188</v>
      </c>
      <c r="C7" s="46">
        <v>0</v>
      </c>
      <c r="D7" s="30"/>
      <c r="E7" s="28">
        <v>42188</v>
      </c>
      <c r="F7" s="52">
        <v>51097.73</v>
      </c>
      <c r="G7" s="25"/>
      <c r="H7" s="29">
        <v>42188</v>
      </c>
      <c r="I7" s="62">
        <v>1079.5</v>
      </c>
      <c r="J7" s="81"/>
      <c r="K7" s="73" t="s">
        <v>3</v>
      </c>
      <c r="L7" s="125">
        <v>13902</v>
      </c>
      <c r="M7" s="116">
        <v>50020</v>
      </c>
      <c r="N7" s="336"/>
      <c r="R7" t="s">
        <v>462</v>
      </c>
      <c r="S7">
        <v>1600</v>
      </c>
    </row>
    <row r="8" spans="1:19" x14ac:dyDescent="0.25">
      <c r="A8" s="21"/>
      <c r="B8" s="40">
        <v>42189</v>
      </c>
      <c r="C8" s="46">
        <v>570</v>
      </c>
      <c r="D8" s="33" t="s">
        <v>83</v>
      </c>
      <c r="E8" s="28">
        <v>42189</v>
      </c>
      <c r="F8" s="52">
        <v>60844.4</v>
      </c>
      <c r="G8" s="25"/>
      <c r="H8" s="29">
        <v>42189</v>
      </c>
      <c r="I8" s="62">
        <v>500</v>
      </c>
      <c r="J8" s="81"/>
      <c r="K8" s="73" t="s">
        <v>6</v>
      </c>
      <c r="L8" s="124">
        <v>28750</v>
      </c>
      <c r="M8" s="116">
        <v>59774</v>
      </c>
      <c r="N8" s="336"/>
    </row>
    <row r="9" spans="1:19" x14ac:dyDescent="0.25">
      <c r="A9" s="21"/>
      <c r="B9" s="40">
        <v>42190</v>
      </c>
      <c r="C9" s="46">
        <v>520</v>
      </c>
      <c r="D9" s="96" t="s">
        <v>83</v>
      </c>
      <c r="E9" s="28">
        <v>42190</v>
      </c>
      <c r="F9" s="52">
        <v>65167.59</v>
      </c>
      <c r="G9" s="25"/>
      <c r="H9" s="29">
        <v>42190</v>
      </c>
      <c r="I9" s="62">
        <v>0</v>
      </c>
      <c r="J9" s="82"/>
      <c r="K9" s="73" t="s">
        <v>506</v>
      </c>
      <c r="L9" s="125">
        <f>5500+1600+2500</f>
        <v>9600</v>
      </c>
      <c r="M9" s="116">
        <v>59148</v>
      </c>
      <c r="N9" s="336"/>
      <c r="R9" t="s">
        <v>464</v>
      </c>
      <c r="S9">
        <v>2500</v>
      </c>
    </row>
    <row r="10" spans="1:19" x14ac:dyDescent="0.25">
      <c r="A10" s="21"/>
      <c r="B10" s="40">
        <v>42191</v>
      </c>
      <c r="C10" s="46">
        <v>460</v>
      </c>
      <c r="D10" s="96" t="s">
        <v>411</v>
      </c>
      <c r="E10" s="28">
        <v>42191</v>
      </c>
      <c r="F10" s="52">
        <v>36077.22</v>
      </c>
      <c r="G10" s="25"/>
      <c r="H10" s="29">
        <v>42191</v>
      </c>
      <c r="I10" s="62">
        <v>852</v>
      </c>
      <c r="J10" s="82"/>
      <c r="K10" s="73" t="s">
        <v>605</v>
      </c>
      <c r="L10" s="52">
        <f>4833+1600+2500</f>
        <v>8933</v>
      </c>
      <c r="M10" s="116">
        <v>34768</v>
      </c>
      <c r="N10" s="336"/>
    </row>
    <row r="11" spans="1:19" ht="15.75" thickBot="1" x14ac:dyDescent="0.3">
      <c r="A11" s="21"/>
      <c r="B11" s="40">
        <v>42192</v>
      </c>
      <c r="C11" s="46">
        <v>415</v>
      </c>
      <c r="D11" s="96" t="s">
        <v>22</v>
      </c>
      <c r="E11" s="28">
        <v>42192</v>
      </c>
      <c r="F11" s="52">
        <v>26581.14</v>
      </c>
      <c r="G11" s="25"/>
      <c r="H11" s="29">
        <v>42192</v>
      </c>
      <c r="I11" s="62">
        <v>0</v>
      </c>
      <c r="J11" s="82"/>
      <c r="K11" s="73" t="s">
        <v>606</v>
      </c>
      <c r="L11" s="52">
        <f>5850+1600+2500</f>
        <v>9950</v>
      </c>
      <c r="M11" s="116">
        <v>26166</v>
      </c>
      <c r="N11" s="336"/>
    </row>
    <row r="12" spans="1:19" x14ac:dyDescent="0.25">
      <c r="A12" s="21"/>
      <c r="B12" s="40">
        <v>42193</v>
      </c>
      <c r="C12" s="46">
        <v>3816.56</v>
      </c>
      <c r="D12" s="30" t="s">
        <v>701</v>
      </c>
      <c r="E12" s="28">
        <v>42193</v>
      </c>
      <c r="F12" s="667">
        <v>28228.560000000001</v>
      </c>
      <c r="G12" s="668"/>
      <c r="H12" s="669">
        <v>42193</v>
      </c>
      <c r="I12" s="670">
        <v>0</v>
      </c>
      <c r="J12" s="82"/>
      <c r="K12" s="73" t="s">
        <v>607</v>
      </c>
      <c r="L12" s="52">
        <f>5583+1600+2500</f>
        <v>9683</v>
      </c>
      <c r="M12" s="671">
        <v>24412</v>
      </c>
      <c r="N12" s="808" t="s">
        <v>702</v>
      </c>
      <c r="O12" s="809"/>
      <c r="P12" s="810"/>
    </row>
    <row r="13" spans="1:19" ht="15.75" thickBot="1" x14ac:dyDescent="0.3">
      <c r="A13" s="21"/>
      <c r="B13" s="40">
        <v>42194</v>
      </c>
      <c r="C13" s="46">
        <v>0</v>
      </c>
      <c r="D13" s="96"/>
      <c r="E13" s="28">
        <v>42194</v>
      </c>
      <c r="F13" s="52">
        <v>54228.06</v>
      </c>
      <c r="G13" s="25"/>
      <c r="H13" s="29">
        <v>42194</v>
      </c>
      <c r="I13" s="62">
        <v>0</v>
      </c>
      <c r="J13" s="82"/>
      <c r="K13" s="73"/>
      <c r="L13" s="52">
        <v>0</v>
      </c>
      <c r="M13" s="648">
        <v>54228</v>
      </c>
      <c r="N13" s="811"/>
      <c r="O13" s="812"/>
      <c r="P13" s="813"/>
    </row>
    <row r="14" spans="1:19" x14ac:dyDescent="0.25">
      <c r="A14" s="21"/>
      <c r="B14" s="40">
        <v>42195</v>
      </c>
      <c r="C14" s="46">
        <v>501</v>
      </c>
      <c r="D14" s="30" t="s">
        <v>22</v>
      </c>
      <c r="E14" s="28">
        <v>42195</v>
      </c>
      <c r="F14" s="52">
        <v>78871.820000000007</v>
      </c>
      <c r="G14" s="25"/>
      <c r="H14" s="29">
        <v>42195</v>
      </c>
      <c r="I14" s="62">
        <v>37</v>
      </c>
      <c r="J14" s="82"/>
      <c r="K14" s="165"/>
      <c r="L14" s="52">
        <v>0</v>
      </c>
      <c r="M14" s="116">
        <v>77686</v>
      </c>
      <c r="N14" s="450"/>
    </row>
    <row r="15" spans="1:19" x14ac:dyDescent="0.25">
      <c r="A15" s="21"/>
      <c r="B15" s="40">
        <v>42196</v>
      </c>
      <c r="C15" s="46">
        <v>740</v>
      </c>
      <c r="D15" s="96" t="s">
        <v>242</v>
      </c>
      <c r="E15" s="28">
        <v>42196</v>
      </c>
      <c r="F15" s="52">
        <v>60059.27</v>
      </c>
      <c r="G15" s="25"/>
      <c r="H15" s="29">
        <v>42196</v>
      </c>
      <c r="I15" s="62">
        <v>564.38</v>
      </c>
      <c r="J15" s="82"/>
      <c r="K15" s="73" t="s">
        <v>57</v>
      </c>
      <c r="L15" s="52">
        <v>4466</v>
      </c>
      <c r="M15" s="116">
        <v>58755</v>
      </c>
      <c r="N15" s="336"/>
    </row>
    <row r="16" spans="1:19" x14ac:dyDescent="0.25">
      <c r="A16" s="21"/>
      <c r="B16" s="40">
        <v>42197</v>
      </c>
      <c r="C16" s="46">
        <v>0</v>
      </c>
      <c r="D16" s="96"/>
      <c r="E16" s="28">
        <v>42197</v>
      </c>
      <c r="F16" s="52">
        <v>55468.3</v>
      </c>
      <c r="G16" s="25"/>
      <c r="H16" s="29">
        <v>42197</v>
      </c>
      <c r="I16" s="62">
        <v>25</v>
      </c>
      <c r="J16" s="82"/>
      <c r="K16" s="192"/>
      <c r="L16" s="490">
        <v>0</v>
      </c>
      <c r="M16" s="116">
        <v>50626</v>
      </c>
      <c r="N16" s="336"/>
    </row>
    <row r="17" spans="1:16" x14ac:dyDescent="0.25">
      <c r="A17" s="21"/>
      <c r="B17" s="40">
        <v>42198</v>
      </c>
      <c r="C17" s="46">
        <v>0</v>
      </c>
      <c r="D17" s="30"/>
      <c r="E17" s="28">
        <v>42198</v>
      </c>
      <c r="F17" s="52">
        <v>34269.800000000003</v>
      </c>
      <c r="G17" s="25"/>
      <c r="H17" s="29">
        <v>42198</v>
      </c>
      <c r="I17" s="62">
        <v>91</v>
      </c>
      <c r="J17" s="82"/>
      <c r="K17" s="153"/>
      <c r="L17" s="490">
        <v>0</v>
      </c>
      <c r="M17" s="116">
        <v>34179</v>
      </c>
      <c r="N17" s="336"/>
    </row>
    <row r="18" spans="1:16" x14ac:dyDescent="0.25">
      <c r="A18" s="21"/>
      <c r="B18" s="40">
        <v>42199</v>
      </c>
      <c r="C18" s="46">
        <v>339</v>
      </c>
      <c r="D18" s="30" t="s">
        <v>22</v>
      </c>
      <c r="E18" s="28">
        <v>42199</v>
      </c>
      <c r="F18" s="52">
        <v>29075.59</v>
      </c>
      <c r="G18" s="25"/>
      <c r="H18" s="29">
        <v>42199</v>
      </c>
      <c r="I18" s="62">
        <v>140</v>
      </c>
      <c r="J18" s="82"/>
      <c r="K18" s="153"/>
      <c r="L18" s="538">
        <v>0</v>
      </c>
      <c r="M18" s="116">
        <v>28596.5</v>
      </c>
      <c r="N18" s="336"/>
    </row>
    <row r="19" spans="1:16" x14ac:dyDescent="0.25">
      <c r="A19" s="21"/>
      <c r="B19" s="40">
        <v>42200</v>
      </c>
      <c r="C19" s="46">
        <v>822</v>
      </c>
      <c r="D19" s="96" t="s">
        <v>366</v>
      </c>
      <c r="E19" s="28">
        <v>42200</v>
      </c>
      <c r="F19" s="52">
        <v>27094.37</v>
      </c>
      <c r="G19" s="25"/>
      <c r="H19" s="29">
        <v>42200</v>
      </c>
      <c r="I19" s="62">
        <v>149</v>
      </c>
      <c r="J19" s="82" t="s">
        <v>608</v>
      </c>
      <c r="K19" s="286" t="s">
        <v>629</v>
      </c>
      <c r="L19" s="538">
        <v>764.67</v>
      </c>
      <c r="M19" s="116">
        <v>26123.5</v>
      </c>
      <c r="N19" s="450"/>
    </row>
    <row r="20" spans="1:16" x14ac:dyDescent="0.25">
      <c r="A20" s="21"/>
      <c r="B20" s="40">
        <v>42201</v>
      </c>
      <c r="C20" s="46">
        <f>246.5+464</f>
        <v>710.5</v>
      </c>
      <c r="D20" s="30" t="s">
        <v>448</v>
      </c>
      <c r="E20" s="28">
        <v>42201</v>
      </c>
      <c r="F20" s="52">
        <v>39904.050000000003</v>
      </c>
      <c r="G20" s="25"/>
      <c r="H20" s="29">
        <v>42201</v>
      </c>
      <c r="I20" s="63">
        <v>32.700000000000003</v>
      </c>
      <c r="J20" s="82" t="s">
        <v>609</v>
      </c>
      <c r="K20" s="486" t="s">
        <v>111</v>
      </c>
      <c r="L20" s="490">
        <v>0</v>
      </c>
      <c r="M20" s="116">
        <v>39161</v>
      </c>
      <c r="N20" s="336"/>
    </row>
    <row r="21" spans="1:16" x14ac:dyDescent="0.25">
      <c r="A21" s="21"/>
      <c r="B21" s="40">
        <v>42202</v>
      </c>
      <c r="C21" s="46">
        <v>1530.38</v>
      </c>
      <c r="D21" s="30" t="s">
        <v>610</v>
      </c>
      <c r="E21" s="28">
        <v>42202</v>
      </c>
      <c r="F21" s="52">
        <v>67726.12</v>
      </c>
      <c r="G21" s="25"/>
      <c r="H21" s="29">
        <v>42202</v>
      </c>
      <c r="I21" s="63">
        <v>27</v>
      </c>
      <c r="J21" s="82"/>
      <c r="K21" s="487"/>
      <c r="L21" s="490">
        <v>0</v>
      </c>
      <c r="M21" s="116">
        <v>66170</v>
      </c>
      <c r="N21" s="336"/>
    </row>
    <row r="22" spans="1:16" x14ac:dyDescent="0.25">
      <c r="A22" s="21"/>
      <c r="B22" s="40">
        <v>42203</v>
      </c>
      <c r="C22" s="46">
        <v>1063</v>
      </c>
      <c r="D22" s="96" t="s">
        <v>22</v>
      </c>
      <c r="E22" s="28">
        <v>42203</v>
      </c>
      <c r="F22" s="52">
        <v>64833.760000000002</v>
      </c>
      <c r="G22" s="25"/>
      <c r="H22" s="29">
        <v>42203</v>
      </c>
      <c r="I22" s="63">
        <v>830</v>
      </c>
      <c r="J22" s="149"/>
      <c r="K22" s="491"/>
      <c r="L22" s="490">
        <v>0</v>
      </c>
      <c r="M22" s="116">
        <v>62941</v>
      </c>
      <c r="N22" s="336"/>
    </row>
    <row r="23" spans="1:16" x14ac:dyDescent="0.25">
      <c r="A23" s="21"/>
      <c r="B23" s="40">
        <v>42204</v>
      </c>
      <c r="C23" s="46">
        <v>0</v>
      </c>
      <c r="D23" s="96"/>
      <c r="E23" s="28">
        <v>42204</v>
      </c>
      <c r="F23" s="52">
        <v>49679.72</v>
      </c>
      <c r="G23" s="25"/>
      <c r="H23" s="29">
        <v>42204</v>
      </c>
      <c r="I23" s="63">
        <v>559.22</v>
      </c>
      <c r="J23" s="81"/>
      <c r="K23" s="488" t="s">
        <v>627</v>
      </c>
      <c r="L23" s="490">
        <v>3596</v>
      </c>
      <c r="M23" s="116">
        <v>43270.5</v>
      </c>
      <c r="N23" s="336"/>
      <c r="O23" s="25"/>
      <c r="P23" s="25"/>
    </row>
    <row r="24" spans="1:16" x14ac:dyDescent="0.25">
      <c r="A24" s="21"/>
      <c r="B24" s="40">
        <v>42205</v>
      </c>
      <c r="C24" s="46">
        <v>0</v>
      </c>
      <c r="D24" s="96"/>
      <c r="E24" s="28">
        <v>42205</v>
      </c>
      <c r="F24" s="52">
        <v>26451.95</v>
      </c>
      <c r="G24" s="25"/>
      <c r="H24" s="29">
        <v>42205</v>
      </c>
      <c r="I24" s="63">
        <v>25</v>
      </c>
      <c r="J24" s="82"/>
      <c r="K24" s="649"/>
      <c r="L24" s="490">
        <v>0</v>
      </c>
      <c r="M24" s="116">
        <v>26427</v>
      </c>
      <c r="N24" s="336"/>
      <c r="O24" s="25"/>
      <c r="P24" s="25"/>
    </row>
    <row r="25" spans="1:16" x14ac:dyDescent="0.25">
      <c r="A25" s="21"/>
      <c r="B25" s="40">
        <v>42206</v>
      </c>
      <c r="C25" s="46">
        <v>436</v>
      </c>
      <c r="D25" s="30" t="s">
        <v>22</v>
      </c>
      <c r="E25" s="28">
        <v>42206</v>
      </c>
      <c r="F25" s="52">
        <v>31047.74</v>
      </c>
      <c r="G25" s="25"/>
      <c r="H25" s="29">
        <v>42206</v>
      </c>
      <c r="I25" s="63">
        <v>0</v>
      </c>
      <c r="J25" s="81"/>
      <c r="K25" s="489"/>
      <c r="L25" s="490">
        <v>0</v>
      </c>
      <c r="M25" s="116">
        <v>30612</v>
      </c>
      <c r="N25" s="654" t="s">
        <v>611</v>
      </c>
      <c r="O25" s="655"/>
      <c r="P25" s="25"/>
    </row>
    <row r="26" spans="1:16" x14ac:dyDescent="0.25">
      <c r="A26" s="21"/>
      <c r="B26" s="40">
        <v>42207</v>
      </c>
      <c r="C26" s="46">
        <v>1958</v>
      </c>
      <c r="D26" s="30" t="s">
        <v>618</v>
      </c>
      <c r="E26" s="28">
        <v>42207</v>
      </c>
      <c r="F26" s="52">
        <v>35861.339999999997</v>
      </c>
      <c r="G26" s="25"/>
      <c r="H26" s="29">
        <v>42207</v>
      </c>
      <c r="I26" s="63">
        <v>350</v>
      </c>
      <c r="J26" s="98"/>
      <c r="K26" s="535"/>
      <c r="L26" s="490">
        <v>0</v>
      </c>
      <c r="M26" s="116">
        <v>33553</v>
      </c>
      <c r="N26" s="369"/>
      <c r="O26" s="555"/>
      <c r="P26" s="555"/>
    </row>
    <row r="27" spans="1:16" x14ac:dyDescent="0.25">
      <c r="A27" s="21"/>
      <c r="B27" s="40">
        <v>42208</v>
      </c>
      <c r="C27" s="46">
        <v>923</v>
      </c>
      <c r="D27" s="30" t="s">
        <v>619</v>
      </c>
      <c r="E27" s="28">
        <v>42208</v>
      </c>
      <c r="F27" s="52">
        <v>40467.78</v>
      </c>
      <c r="G27" s="25"/>
      <c r="H27" s="29">
        <v>42208</v>
      </c>
      <c r="I27" s="63">
        <v>0</v>
      </c>
      <c r="J27" s="81"/>
      <c r="K27" s="488"/>
      <c r="L27" s="490">
        <v>0</v>
      </c>
      <c r="M27" s="116">
        <v>39545</v>
      </c>
      <c r="N27" s="556"/>
      <c r="O27" s="25"/>
      <c r="P27" s="25"/>
    </row>
    <row r="28" spans="1:16" x14ac:dyDescent="0.25">
      <c r="A28" s="21"/>
      <c r="B28" s="40">
        <v>42209</v>
      </c>
      <c r="C28" s="46">
        <v>480</v>
      </c>
      <c r="D28" s="30" t="s">
        <v>130</v>
      </c>
      <c r="E28" s="28">
        <v>42209</v>
      </c>
      <c r="F28" s="52">
        <v>53793.07</v>
      </c>
      <c r="G28" s="25"/>
      <c r="H28" s="29">
        <v>42209</v>
      </c>
      <c r="I28" s="63">
        <v>35.5</v>
      </c>
      <c r="J28" s="81"/>
      <c r="K28" s="131"/>
      <c r="L28" s="490">
        <v>0</v>
      </c>
      <c r="M28" s="116">
        <v>53277.5</v>
      </c>
      <c r="N28" s="336"/>
      <c r="O28" s="25"/>
      <c r="P28" s="25"/>
    </row>
    <row r="29" spans="1:16" x14ac:dyDescent="0.25">
      <c r="A29" s="21"/>
      <c r="B29" s="40">
        <v>42210</v>
      </c>
      <c r="C29" s="46">
        <v>0</v>
      </c>
      <c r="D29" s="30"/>
      <c r="E29" s="28">
        <v>42210</v>
      </c>
      <c r="F29" s="52">
        <v>68767.48</v>
      </c>
      <c r="G29" s="25"/>
      <c r="H29" s="29">
        <v>42210</v>
      </c>
      <c r="I29" s="63">
        <v>46.5</v>
      </c>
      <c r="J29" s="81"/>
      <c r="K29" s="661"/>
      <c r="L29" s="539">
        <v>0</v>
      </c>
      <c r="M29" s="659">
        <v>68721</v>
      </c>
      <c r="N29" s="336"/>
      <c r="O29" s="25"/>
      <c r="P29" s="25"/>
    </row>
    <row r="30" spans="1:16" x14ac:dyDescent="0.25">
      <c r="A30" s="21"/>
      <c r="B30" s="40">
        <v>42211</v>
      </c>
      <c r="C30" s="46">
        <v>456</v>
      </c>
      <c r="D30" s="30" t="s">
        <v>22</v>
      </c>
      <c r="E30" s="28">
        <v>42211</v>
      </c>
      <c r="F30" s="52">
        <v>45582.37</v>
      </c>
      <c r="G30" s="25"/>
      <c r="H30" s="29">
        <v>42211</v>
      </c>
      <c r="I30" s="63">
        <v>681.39</v>
      </c>
      <c r="J30" s="98"/>
      <c r="K30" s="662"/>
      <c r="L30" s="539">
        <v>0</v>
      </c>
      <c r="M30" s="659">
        <v>38862</v>
      </c>
      <c r="N30" s="336"/>
      <c r="O30" s="25"/>
      <c r="P30" s="25"/>
    </row>
    <row r="31" spans="1:16" x14ac:dyDescent="0.25">
      <c r="A31" s="21"/>
      <c r="B31" s="40">
        <v>42212</v>
      </c>
      <c r="C31" s="46">
        <v>0</v>
      </c>
      <c r="D31" s="30"/>
      <c r="E31" s="28">
        <v>42212</v>
      </c>
      <c r="F31" s="52">
        <v>29748.44</v>
      </c>
      <c r="G31" s="25"/>
      <c r="H31" s="29">
        <v>42212</v>
      </c>
      <c r="I31" s="63">
        <v>25</v>
      </c>
      <c r="J31" s="82"/>
      <c r="K31" s="663"/>
      <c r="L31" s="660">
        <v>0</v>
      </c>
      <c r="M31" s="659">
        <v>29723</v>
      </c>
      <c r="N31" s="450"/>
    </row>
    <row r="32" spans="1:16" x14ac:dyDescent="0.25">
      <c r="A32" s="21"/>
      <c r="B32" s="40">
        <v>42213</v>
      </c>
      <c r="C32" s="46">
        <v>1020</v>
      </c>
      <c r="D32" s="30" t="s">
        <v>620</v>
      </c>
      <c r="E32" s="28">
        <v>42213</v>
      </c>
      <c r="F32" s="52">
        <v>28808.91</v>
      </c>
      <c r="G32" s="25"/>
      <c r="H32" s="29">
        <v>42213</v>
      </c>
      <c r="I32" s="63">
        <v>80</v>
      </c>
      <c r="J32" s="81"/>
      <c r="K32" s="664"/>
      <c r="L32" s="660"/>
      <c r="M32" s="659">
        <v>27709</v>
      </c>
      <c r="N32" s="336"/>
    </row>
    <row r="33" spans="1:17" x14ac:dyDescent="0.25">
      <c r="A33" s="21"/>
      <c r="B33" s="40">
        <v>42214</v>
      </c>
      <c r="C33" s="46">
        <v>0</v>
      </c>
      <c r="D33" s="96"/>
      <c r="E33" s="28">
        <v>42214</v>
      </c>
      <c r="F33" s="52">
        <v>26739.19</v>
      </c>
      <c r="G33" s="25"/>
      <c r="H33" s="29">
        <v>42214</v>
      </c>
      <c r="I33" s="63">
        <v>255</v>
      </c>
      <c r="J33" s="81"/>
      <c r="K33" s="665"/>
      <c r="L33" s="805">
        <v>0</v>
      </c>
      <c r="M33" s="659">
        <v>26484</v>
      </c>
      <c r="N33" s="336"/>
    </row>
    <row r="34" spans="1:17" x14ac:dyDescent="0.25">
      <c r="A34" s="21"/>
      <c r="B34" s="40">
        <v>42215</v>
      </c>
      <c r="C34" s="46">
        <v>504</v>
      </c>
      <c r="D34" s="96" t="s">
        <v>22</v>
      </c>
      <c r="E34" s="28">
        <v>42215</v>
      </c>
      <c r="F34" s="52">
        <v>30064.5</v>
      </c>
      <c r="G34" s="25"/>
      <c r="H34" s="29">
        <v>42215</v>
      </c>
      <c r="I34" s="63">
        <v>0</v>
      </c>
      <c r="J34" s="81"/>
      <c r="K34" s="665"/>
      <c r="L34" s="805"/>
      <c r="M34" s="659">
        <v>29560.5</v>
      </c>
      <c r="N34" s="450"/>
    </row>
    <row r="35" spans="1:17" ht="15.75" thickBot="1" x14ac:dyDescent="0.3">
      <c r="A35" s="21"/>
      <c r="B35" s="40">
        <v>42216</v>
      </c>
      <c r="C35" s="46">
        <v>387</v>
      </c>
      <c r="D35" s="96" t="s">
        <v>22</v>
      </c>
      <c r="E35" s="28">
        <v>42216</v>
      </c>
      <c r="F35" s="52">
        <v>56041.29</v>
      </c>
      <c r="G35" s="25"/>
      <c r="H35" s="29">
        <v>42216</v>
      </c>
      <c r="I35" s="63">
        <v>241.5</v>
      </c>
      <c r="J35" s="81" t="s">
        <v>628</v>
      </c>
      <c r="K35" s="666"/>
      <c r="L35" s="68">
        <v>0</v>
      </c>
      <c r="M35" s="116">
        <v>36280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82">
        <f>SUM(M5:M36)</f>
        <v>1296981.5</v>
      </c>
    </row>
    <row r="38" spans="1:17" x14ac:dyDescent="0.25">
      <c r="B38" s="43" t="s">
        <v>1</v>
      </c>
      <c r="C38" s="49">
        <f>SUM(C5:C37)</f>
        <v>18877.37</v>
      </c>
      <c r="E38" s="547" t="s">
        <v>1</v>
      </c>
      <c r="F38" s="55">
        <f>SUM(F5:F37)</f>
        <v>1364847.17</v>
      </c>
      <c r="H38" s="549" t="s">
        <v>1</v>
      </c>
      <c r="I38" s="59">
        <f>SUM(I5:I37)</f>
        <v>7464.79</v>
      </c>
      <c r="J38" s="59"/>
      <c r="K38" s="18" t="s">
        <v>1</v>
      </c>
      <c r="L38" s="4">
        <f>SUM(L5:L37)</f>
        <v>90292.67</v>
      </c>
    </row>
    <row r="40" spans="1:17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548"/>
      <c r="K40" s="767">
        <f>I38+L38</f>
        <v>97757.459999999992</v>
      </c>
      <c r="L40" s="768"/>
    </row>
    <row r="41" spans="1:17" ht="15.75" x14ac:dyDescent="0.25">
      <c r="B41" s="281"/>
      <c r="C41" s="56"/>
      <c r="D41" s="759" t="s">
        <v>12</v>
      </c>
      <c r="E41" s="759"/>
      <c r="F41" s="57">
        <f>F38-K40</f>
        <v>1267089.71</v>
      </c>
      <c r="I41" s="66"/>
      <c r="J41" s="66"/>
    </row>
    <row r="42" spans="1:17" ht="15.75" x14ac:dyDescent="0.25">
      <c r="D42" s="785" t="s">
        <v>246</v>
      </c>
      <c r="E42" s="785"/>
      <c r="F42" s="57">
        <v>-1266473.58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-18877.37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-18261.240000000111</v>
      </c>
      <c r="I44" s="793" t="s">
        <v>248</v>
      </c>
      <c r="J44" s="794"/>
      <c r="K44" s="783">
        <f>F48+L46</f>
        <v>174625.7999999999</v>
      </c>
      <c r="L44" s="775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95"/>
      <c r="J45" s="796"/>
      <c r="K45" s="784"/>
      <c r="L45" s="776"/>
    </row>
    <row r="46" spans="1:17" ht="17.25" thickTop="1" thickBot="1" x14ac:dyDescent="0.3">
      <c r="C46" s="55"/>
      <c r="D46" s="758" t="s">
        <v>13</v>
      </c>
      <c r="E46" s="758"/>
      <c r="F46" s="60">
        <v>192887.04000000001</v>
      </c>
      <c r="I46" s="770"/>
      <c r="J46" s="770"/>
      <c r="K46" s="792"/>
      <c r="L46" s="34"/>
    </row>
    <row r="47" spans="1:17" ht="19.5" thickBot="1" x14ac:dyDescent="0.35">
      <c r="C47" s="55"/>
      <c r="D47" s="547"/>
      <c r="E47" s="547"/>
      <c r="F47" s="139"/>
      <c r="H47" s="19"/>
      <c r="I47" s="550" t="s">
        <v>254</v>
      </c>
      <c r="J47" s="550"/>
      <c r="K47" s="786">
        <v>-144226.46</v>
      </c>
      <c r="L47" s="787"/>
    </row>
    <row r="48" spans="1:17" ht="17.25" thickTop="1" thickBot="1" x14ac:dyDescent="0.3">
      <c r="E48" s="6" t="s">
        <v>16</v>
      </c>
      <c r="F48" s="264">
        <f>F44+F45+F46</f>
        <v>174625.7999999999</v>
      </c>
    </row>
    <row r="49" spans="2:14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K44+K47</f>
        <v>30399.339999999909</v>
      </c>
      <c r="L49" s="78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N12:P13"/>
    <mergeCell ref="L33:L34"/>
    <mergeCell ref="C1:K1"/>
    <mergeCell ref="E4:F4"/>
    <mergeCell ref="I4:L4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8"/>
  <sheetViews>
    <sheetView topLeftCell="A28" workbookViewId="0">
      <selection activeCell="P20" sqref="P20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5.85546875" style="44" bestFit="1" customWidth="1"/>
    <col min="4" max="4" width="12.42578125" bestFit="1" customWidth="1"/>
    <col min="5" max="5" width="15.140625" style="336" bestFit="1" customWidth="1"/>
    <col min="6" max="6" width="18.5703125" style="336" bestFit="1" customWidth="1"/>
    <col min="8" max="8" width="12.5703125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566</v>
      </c>
      <c r="J1" s="474" t="s">
        <v>205</v>
      </c>
      <c r="K1" s="204"/>
      <c r="L1" s="546"/>
      <c r="M1" s="425">
        <v>42189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42186</v>
      </c>
      <c r="B3" s="412" t="s">
        <v>567</v>
      </c>
      <c r="C3" s="450">
        <v>89786.18</v>
      </c>
      <c r="D3" s="534" t="s">
        <v>614</v>
      </c>
      <c r="E3" s="450">
        <f>81035.48+8750.7</f>
        <v>89786.18</v>
      </c>
      <c r="F3" s="413">
        <f t="shared" ref="F3:F40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42187</v>
      </c>
      <c r="B4" s="483" t="s">
        <v>568</v>
      </c>
      <c r="C4" s="450">
        <v>3577.8</v>
      </c>
      <c r="D4" s="534">
        <v>42210</v>
      </c>
      <c r="E4" s="450">
        <v>3577.8</v>
      </c>
      <c r="F4" s="296">
        <f t="shared" si="0"/>
        <v>0</v>
      </c>
      <c r="G4" s="25"/>
      <c r="I4" s="561">
        <v>24012</v>
      </c>
      <c r="J4" s="216">
        <v>14855.02</v>
      </c>
      <c r="K4" s="216"/>
      <c r="L4" s="331" t="s">
        <v>396</v>
      </c>
      <c r="M4" s="522">
        <v>15100</v>
      </c>
      <c r="N4" s="523">
        <v>42173</v>
      </c>
      <c r="O4" s="21">
        <v>42164</v>
      </c>
    </row>
    <row r="5" spans="1:15" ht="15.75" x14ac:dyDescent="0.25">
      <c r="A5" s="249">
        <v>42188</v>
      </c>
      <c r="B5" s="483" t="s">
        <v>571</v>
      </c>
      <c r="C5" s="450">
        <v>93349.84</v>
      </c>
      <c r="D5" s="534">
        <v>42210</v>
      </c>
      <c r="E5" s="450">
        <v>93349.84</v>
      </c>
      <c r="F5" s="296">
        <f t="shared" si="0"/>
        <v>0</v>
      </c>
      <c r="G5" s="25"/>
      <c r="I5" s="344">
        <v>24107</v>
      </c>
      <c r="J5" s="81">
        <v>77081.64</v>
      </c>
      <c r="K5" s="234"/>
      <c r="L5" s="331" t="s">
        <v>396</v>
      </c>
      <c r="M5" s="522">
        <v>23425</v>
      </c>
      <c r="N5" s="523">
        <v>42173</v>
      </c>
      <c r="O5" s="21">
        <v>42165</v>
      </c>
    </row>
    <row r="6" spans="1:15" ht="15.75" x14ac:dyDescent="0.25">
      <c r="A6" s="249">
        <v>42189</v>
      </c>
      <c r="B6" s="483" t="s">
        <v>572</v>
      </c>
      <c r="C6" s="450">
        <v>9242.6</v>
      </c>
      <c r="D6" s="534">
        <v>42210</v>
      </c>
      <c r="E6" s="450">
        <v>9242.6</v>
      </c>
      <c r="F6" s="296">
        <f>C6-E6</f>
        <v>0</v>
      </c>
      <c r="G6" s="25"/>
      <c r="I6" s="344">
        <v>24264</v>
      </c>
      <c r="J6" s="81">
        <v>14416.4</v>
      </c>
      <c r="K6" s="234"/>
      <c r="L6" s="331" t="s">
        <v>396</v>
      </c>
      <c r="M6" s="521">
        <v>200</v>
      </c>
      <c r="N6" s="525">
        <v>42180</v>
      </c>
      <c r="O6" s="21">
        <v>42165</v>
      </c>
    </row>
    <row r="7" spans="1:15" ht="15.75" x14ac:dyDescent="0.25">
      <c r="A7" s="249">
        <v>42189</v>
      </c>
      <c r="B7" s="483" t="s">
        <v>573</v>
      </c>
      <c r="C7" s="450">
        <v>437.4</v>
      </c>
      <c r="D7" s="534">
        <v>42210</v>
      </c>
      <c r="E7" s="450">
        <v>437.4</v>
      </c>
      <c r="F7" s="296">
        <f t="shared" si="0"/>
        <v>0</v>
      </c>
      <c r="G7" s="25"/>
      <c r="I7" s="344">
        <v>24349</v>
      </c>
      <c r="J7" s="81">
        <v>1145</v>
      </c>
      <c r="K7" s="234"/>
      <c r="L7" s="331" t="s">
        <v>396</v>
      </c>
      <c r="M7" s="522">
        <v>34581</v>
      </c>
      <c r="N7" s="523">
        <v>42173</v>
      </c>
      <c r="O7" s="21">
        <v>42166</v>
      </c>
    </row>
    <row r="8" spans="1:15" ht="15.75" x14ac:dyDescent="0.25">
      <c r="A8" s="249">
        <v>42190</v>
      </c>
      <c r="B8" s="483" t="s">
        <v>574</v>
      </c>
      <c r="C8" s="450">
        <v>25649.9</v>
      </c>
      <c r="D8" s="534">
        <v>42210</v>
      </c>
      <c r="E8" s="450">
        <v>25649.9</v>
      </c>
      <c r="F8" s="296">
        <f t="shared" si="0"/>
        <v>0</v>
      </c>
      <c r="G8" s="25"/>
      <c r="I8" s="344">
        <v>24381</v>
      </c>
      <c r="J8" s="81">
        <v>71111.740000000005</v>
      </c>
      <c r="K8" s="234"/>
      <c r="L8" s="331" t="s">
        <v>396</v>
      </c>
      <c r="M8" s="522">
        <v>56581.5</v>
      </c>
      <c r="N8" s="523">
        <v>42173</v>
      </c>
      <c r="O8" s="21">
        <v>42167</v>
      </c>
    </row>
    <row r="9" spans="1:15" ht="15.75" x14ac:dyDescent="0.25">
      <c r="A9" s="249">
        <v>42191</v>
      </c>
      <c r="B9" s="483" t="s">
        <v>579</v>
      </c>
      <c r="C9" s="81">
        <v>90399</v>
      </c>
      <c r="D9" s="534">
        <v>42210</v>
      </c>
      <c r="E9" s="81">
        <v>90399</v>
      </c>
      <c r="F9" s="296">
        <f t="shared" si="0"/>
        <v>0</v>
      </c>
      <c r="G9" s="25"/>
      <c r="I9" s="344">
        <v>24460</v>
      </c>
      <c r="J9" s="81">
        <v>14871.78</v>
      </c>
      <c r="K9" s="235"/>
      <c r="L9" s="331" t="s">
        <v>396</v>
      </c>
      <c r="M9" s="521">
        <v>50950</v>
      </c>
      <c r="N9" s="525">
        <v>42173</v>
      </c>
      <c r="O9" s="21">
        <v>42168</v>
      </c>
    </row>
    <row r="10" spans="1:15" ht="15.75" x14ac:dyDescent="0.25">
      <c r="A10" s="249">
        <v>42193</v>
      </c>
      <c r="B10" s="344" t="s">
        <v>580</v>
      </c>
      <c r="C10" s="81">
        <v>7742.8</v>
      </c>
      <c r="D10" s="534">
        <v>42210</v>
      </c>
      <c r="E10" s="81">
        <v>7742.8</v>
      </c>
      <c r="F10" s="296">
        <f t="shared" si="0"/>
        <v>0</v>
      </c>
      <c r="G10" s="25"/>
      <c r="I10" s="344">
        <v>24570</v>
      </c>
      <c r="J10" s="81">
        <v>70692.86</v>
      </c>
      <c r="K10" s="230"/>
      <c r="L10" s="331" t="s">
        <v>396</v>
      </c>
      <c r="M10" s="522">
        <v>34140</v>
      </c>
      <c r="N10" s="523">
        <v>42173</v>
      </c>
      <c r="O10" s="21">
        <v>42169</v>
      </c>
    </row>
    <row r="11" spans="1:15" ht="15.75" x14ac:dyDescent="0.25">
      <c r="A11" s="249">
        <v>42194</v>
      </c>
      <c r="B11" s="344" t="s">
        <v>581</v>
      </c>
      <c r="C11" s="81">
        <v>9117</v>
      </c>
      <c r="D11" s="534">
        <v>42210</v>
      </c>
      <c r="E11" s="81">
        <v>9117</v>
      </c>
      <c r="F11" s="297">
        <f t="shared" si="0"/>
        <v>0</v>
      </c>
      <c r="G11" s="25"/>
      <c r="I11" s="344">
        <v>24653</v>
      </c>
      <c r="J11" s="81">
        <v>24500.400000000001</v>
      </c>
      <c r="K11" s="230"/>
      <c r="L11" s="331" t="s">
        <v>396</v>
      </c>
      <c r="M11" s="521">
        <v>21000</v>
      </c>
      <c r="N11" s="525">
        <v>42173</v>
      </c>
      <c r="O11" s="21">
        <v>42170</v>
      </c>
    </row>
    <row r="12" spans="1:15" ht="15.75" x14ac:dyDescent="0.25">
      <c r="A12" s="249">
        <v>42195</v>
      </c>
      <c r="B12" s="344" t="s">
        <v>582</v>
      </c>
      <c r="C12" s="81">
        <v>16209.16</v>
      </c>
      <c r="D12" s="534">
        <v>42210</v>
      </c>
      <c r="E12" s="81">
        <v>16209.16</v>
      </c>
      <c r="F12" s="297">
        <f t="shared" si="0"/>
        <v>0</v>
      </c>
      <c r="G12" s="25"/>
      <c r="I12" s="344">
        <v>24840</v>
      </c>
      <c r="J12" s="81">
        <v>76689.25</v>
      </c>
      <c r="K12" s="230"/>
      <c r="L12" s="331" t="s">
        <v>396</v>
      </c>
      <c r="M12" s="522">
        <v>11665.5</v>
      </c>
      <c r="N12" s="523">
        <v>42180</v>
      </c>
      <c r="O12" s="21">
        <v>42170</v>
      </c>
    </row>
    <row r="13" spans="1:15" ht="15.75" x14ac:dyDescent="0.25">
      <c r="A13" s="249">
        <v>42195</v>
      </c>
      <c r="B13" s="344" t="s">
        <v>584</v>
      </c>
      <c r="C13" s="81">
        <v>24291.3</v>
      </c>
      <c r="D13" s="534">
        <v>42210</v>
      </c>
      <c r="E13" s="81">
        <v>24291.3</v>
      </c>
      <c r="F13" s="297">
        <f t="shared" si="0"/>
        <v>0</v>
      </c>
      <c r="G13" s="25"/>
      <c r="I13" s="344">
        <v>24841</v>
      </c>
      <c r="J13" s="81">
        <v>31984.2</v>
      </c>
      <c r="K13" s="230"/>
      <c r="L13" s="331" t="s">
        <v>396</v>
      </c>
      <c r="M13" s="521">
        <v>32275</v>
      </c>
      <c r="N13" s="525">
        <v>42180</v>
      </c>
      <c r="O13" s="21">
        <v>42171</v>
      </c>
    </row>
    <row r="14" spans="1:15" ht="15.75" x14ac:dyDescent="0.25">
      <c r="A14" s="343">
        <v>42196</v>
      </c>
      <c r="B14" s="344" t="s">
        <v>585</v>
      </c>
      <c r="C14" s="81">
        <v>57565.7</v>
      </c>
      <c r="D14" s="534">
        <v>42210</v>
      </c>
      <c r="E14" s="81">
        <v>57565.7</v>
      </c>
      <c r="F14" s="297">
        <f t="shared" si="0"/>
        <v>0</v>
      </c>
      <c r="G14" s="25"/>
      <c r="I14" s="344">
        <v>24948</v>
      </c>
      <c r="J14" s="81">
        <v>12545.66</v>
      </c>
      <c r="K14" s="416"/>
      <c r="L14" s="331" t="s">
        <v>396</v>
      </c>
      <c r="M14" s="521">
        <v>38573</v>
      </c>
      <c r="N14" s="525">
        <v>42180</v>
      </c>
      <c r="O14" s="21">
        <v>42172</v>
      </c>
    </row>
    <row r="15" spans="1:15" ht="15.75" x14ac:dyDescent="0.25">
      <c r="A15" s="343">
        <v>42196</v>
      </c>
      <c r="B15" s="344" t="s">
        <v>586</v>
      </c>
      <c r="C15" s="81">
        <v>65010</v>
      </c>
      <c r="D15" s="534">
        <v>42210</v>
      </c>
      <c r="E15" s="81">
        <v>65010</v>
      </c>
      <c r="F15" s="297">
        <f t="shared" si="0"/>
        <v>0</v>
      </c>
      <c r="G15" s="25"/>
      <c r="I15" s="344" t="s">
        <v>550</v>
      </c>
      <c r="J15" s="81">
        <v>16640.2</v>
      </c>
      <c r="K15" s="416"/>
      <c r="L15" s="331" t="s">
        <v>396</v>
      </c>
      <c r="M15" s="521">
        <v>20291.5</v>
      </c>
      <c r="N15" s="525">
        <v>42180</v>
      </c>
      <c r="O15" s="21">
        <v>42173</v>
      </c>
    </row>
    <row r="16" spans="1:15" ht="15.75" x14ac:dyDescent="0.25">
      <c r="A16" s="343">
        <v>42198</v>
      </c>
      <c r="B16" s="344" t="s">
        <v>587</v>
      </c>
      <c r="C16" s="81">
        <v>40533.42</v>
      </c>
      <c r="D16" s="534">
        <v>42210</v>
      </c>
      <c r="E16" s="81">
        <v>40533.42</v>
      </c>
      <c r="F16" s="297">
        <f t="shared" si="0"/>
        <v>0</v>
      </c>
      <c r="G16" s="25"/>
      <c r="I16" s="344" t="s">
        <v>553</v>
      </c>
      <c r="J16" s="322">
        <v>97343.32</v>
      </c>
      <c r="K16" s="230"/>
      <c r="L16" s="331" t="s">
        <v>396</v>
      </c>
      <c r="M16" s="521">
        <v>65103</v>
      </c>
      <c r="N16" s="525">
        <v>42180</v>
      </c>
      <c r="O16" s="21">
        <v>42174</v>
      </c>
    </row>
    <row r="17" spans="1:15" ht="18.75" x14ac:dyDescent="0.3">
      <c r="A17" s="343">
        <v>42199</v>
      </c>
      <c r="B17" s="344" t="s">
        <v>588</v>
      </c>
      <c r="C17" s="81">
        <v>11888</v>
      </c>
      <c r="D17" s="534">
        <v>42210</v>
      </c>
      <c r="E17" s="81">
        <v>11888</v>
      </c>
      <c r="F17" s="297">
        <f t="shared" si="0"/>
        <v>0</v>
      </c>
      <c r="G17" s="25"/>
      <c r="I17" s="344" t="s">
        <v>555</v>
      </c>
      <c r="J17" s="81">
        <v>3000</v>
      </c>
      <c r="K17" s="460"/>
      <c r="L17" s="329" t="s">
        <v>396</v>
      </c>
      <c r="M17" s="526">
        <v>81776.5</v>
      </c>
      <c r="N17" s="527">
        <v>42180</v>
      </c>
      <c r="O17" s="21">
        <v>42175</v>
      </c>
    </row>
    <row r="18" spans="1:15" ht="15.75" x14ac:dyDescent="0.25">
      <c r="A18" s="343">
        <v>42200</v>
      </c>
      <c r="B18" s="344" t="s">
        <v>589</v>
      </c>
      <c r="C18" s="81">
        <v>15100.7</v>
      </c>
      <c r="D18" s="534">
        <v>42210</v>
      </c>
      <c r="E18" s="81">
        <v>15100.7</v>
      </c>
      <c r="F18" s="297">
        <f t="shared" si="0"/>
        <v>0</v>
      </c>
      <c r="G18" s="25"/>
      <c r="I18" s="344" t="s">
        <v>554</v>
      </c>
      <c r="J18" s="81">
        <v>91966.35</v>
      </c>
      <c r="K18" s="416"/>
      <c r="L18" s="237" t="s">
        <v>396</v>
      </c>
      <c r="M18" s="521">
        <v>32200</v>
      </c>
      <c r="N18" s="525">
        <v>42180</v>
      </c>
      <c r="O18" s="21">
        <v>42176</v>
      </c>
    </row>
    <row r="19" spans="1:15" ht="15.75" x14ac:dyDescent="0.25">
      <c r="A19" s="343">
        <v>42201</v>
      </c>
      <c r="B19" s="344" t="s">
        <v>590</v>
      </c>
      <c r="C19" s="81">
        <v>120996.45</v>
      </c>
      <c r="D19" s="534">
        <v>42210</v>
      </c>
      <c r="E19" s="81">
        <v>120996.45</v>
      </c>
      <c r="F19" s="297">
        <f t="shared" si="0"/>
        <v>0</v>
      </c>
      <c r="G19" s="25"/>
      <c r="I19" s="506" t="s">
        <v>556</v>
      </c>
      <c r="J19" s="59">
        <v>32690.7</v>
      </c>
      <c r="K19" s="230"/>
      <c r="L19" s="237" t="s">
        <v>396</v>
      </c>
      <c r="M19" s="521">
        <v>20890</v>
      </c>
      <c r="N19" s="525">
        <v>42185</v>
      </c>
      <c r="O19" s="21">
        <v>42177</v>
      </c>
    </row>
    <row r="20" spans="1:15" ht="15.75" x14ac:dyDescent="0.25">
      <c r="A20" s="343">
        <v>42202</v>
      </c>
      <c r="B20" s="344" t="s">
        <v>591</v>
      </c>
      <c r="C20" s="81">
        <v>6651.4</v>
      </c>
      <c r="D20" s="534">
        <v>42210</v>
      </c>
      <c r="E20" s="81">
        <v>6651.4</v>
      </c>
      <c r="F20" s="297">
        <f t="shared" si="0"/>
        <v>0</v>
      </c>
      <c r="G20" s="25"/>
      <c r="I20" s="412" t="s">
        <v>567</v>
      </c>
      <c r="J20" s="450">
        <v>81035.48</v>
      </c>
      <c r="K20" s="216" t="s">
        <v>325</v>
      </c>
      <c r="L20" s="421" t="s">
        <v>396</v>
      </c>
      <c r="M20" s="682">
        <v>16570</v>
      </c>
      <c r="N20" s="683">
        <v>42185</v>
      </c>
      <c r="O20" s="21">
        <v>42178</v>
      </c>
    </row>
    <row r="21" spans="1:15" ht="15.75" x14ac:dyDescent="0.25">
      <c r="A21" s="343">
        <v>42203</v>
      </c>
      <c r="B21" s="344" t="s">
        <v>592</v>
      </c>
      <c r="C21" s="81">
        <v>85349.69</v>
      </c>
      <c r="D21" s="534">
        <v>42210</v>
      </c>
      <c r="E21" s="81">
        <v>85349.69</v>
      </c>
      <c r="F21" s="297">
        <f t="shared" si="0"/>
        <v>0</v>
      </c>
      <c r="G21" s="25"/>
      <c r="I21" s="483"/>
      <c r="J21" s="450"/>
      <c r="K21" s="234"/>
      <c r="L21" s="421" t="s">
        <v>396</v>
      </c>
      <c r="M21" s="528">
        <v>33181</v>
      </c>
      <c r="N21" s="527">
        <v>42185</v>
      </c>
      <c r="O21" s="21">
        <v>42179</v>
      </c>
    </row>
    <row r="22" spans="1:15" ht="15.75" x14ac:dyDescent="0.25">
      <c r="A22" s="343">
        <v>42204</v>
      </c>
      <c r="B22" s="344" t="s">
        <v>593</v>
      </c>
      <c r="C22" s="81">
        <v>20117.599999999999</v>
      </c>
      <c r="D22" s="534">
        <v>42210</v>
      </c>
      <c r="E22" s="81">
        <v>20117.599999999999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24315</v>
      </c>
      <c r="N22" s="527">
        <v>42185</v>
      </c>
      <c r="O22" s="21">
        <v>42180</v>
      </c>
    </row>
    <row r="23" spans="1:15" ht="18.75" x14ac:dyDescent="0.3">
      <c r="A23" s="359">
        <v>42204</v>
      </c>
      <c r="B23" s="578" t="s">
        <v>594</v>
      </c>
      <c r="C23" s="579">
        <v>0</v>
      </c>
      <c r="D23" s="580" t="s">
        <v>597</v>
      </c>
      <c r="E23" s="579">
        <v>0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45918</v>
      </c>
      <c r="N23" s="527">
        <v>42186</v>
      </c>
      <c r="O23" s="21">
        <v>42181</v>
      </c>
    </row>
    <row r="24" spans="1:15" ht="15.75" x14ac:dyDescent="0.25">
      <c r="A24" s="359">
        <v>42204</v>
      </c>
      <c r="B24" s="344" t="s">
        <v>595</v>
      </c>
      <c r="C24" s="322">
        <v>24174</v>
      </c>
      <c r="D24" s="534">
        <v>42210</v>
      </c>
      <c r="E24" s="322">
        <v>24174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45627</v>
      </c>
      <c r="N24" s="527">
        <v>42185</v>
      </c>
      <c r="O24" s="21">
        <v>42182</v>
      </c>
    </row>
    <row r="25" spans="1:15" ht="15.75" x14ac:dyDescent="0.25">
      <c r="A25" s="359">
        <v>42205</v>
      </c>
      <c r="B25" s="344" t="s">
        <v>596</v>
      </c>
      <c r="C25" s="81">
        <v>5443.8</v>
      </c>
      <c r="D25" s="534">
        <v>42210</v>
      </c>
      <c r="E25" s="81">
        <v>5443.8</v>
      </c>
      <c r="F25" s="297">
        <f>C25-E25</f>
        <v>0</v>
      </c>
      <c r="G25" s="25"/>
      <c r="I25" s="495"/>
      <c r="J25" s="432"/>
      <c r="K25" s="459"/>
      <c r="L25" s="421" t="s">
        <v>396</v>
      </c>
      <c r="M25" s="528">
        <v>28207</v>
      </c>
      <c r="N25" s="527">
        <v>42185</v>
      </c>
      <c r="O25" s="21">
        <v>42183</v>
      </c>
    </row>
    <row r="26" spans="1:15" ht="16.5" thickBot="1" x14ac:dyDescent="0.3">
      <c r="A26" s="359">
        <v>42206</v>
      </c>
      <c r="B26" s="344" t="s">
        <v>598</v>
      </c>
      <c r="C26" s="81">
        <v>17571.8</v>
      </c>
      <c r="D26" s="534">
        <v>42210</v>
      </c>
      <c r="E26" s="294">
        <v>17571.8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42206</v>
      </c>
      <c r="B27" s="496" t="s">
        <v>599</v>
      </c>
      <c r="C27" s="59">
        <v>43506.06</v>
      </c>
      <c r="D27" s="534">
        <v>42210</v>
      </c>
      <c r="E27" s="450">
        <v>43506.06</v>
      </c>
      <c r="F27" s="297">
        <f t="shared" si="0"/>
        <v>0</v>
      </c>
      <c r="G27" s="25"/>
      <c r="I27" s="361"/>
      <c r="J27" s="419">
        <f>SUM(J4:J26)</f>
        <v>732569.99999999988</v>
      </c>
      <c r="K27" s="208"/>
      <c r="L27" s="206"/>
      <c r="M27" s="419">
        <f>SUM(M4:M26)</f>
        <v>732570</v>
      </c>
      <c r="N27" s="276"/>
    </row>
    <row r="28" spans="1:15" x14ac:dyDescent="0.25">
      <c r="A28" s="343">
        <v>42208</v>
      </c>
      <c r="B28" s="506" t="s">
        <v>612</v>
      </c>
      <c r="C28" s="59">
        <v>39160.639999999999</v>
      </c>
      <c r="D28" s="534">
        <v>42210</v>
      </c>
      <c r="E28" s="450">
        <v>39160.639999999999</v>
      </c>
      <c r="F28" s="600">
        <f t="shared" si="0"/>
        <v>0</v>
      </c>
      <c r="G28" s="25"/>
    </row>
    <row r="29" spans="1:15" ht="15.75" customHeight="1" thickBot="1" x14ac:dyDescent="0.3">
      <c r="A29" s="343">
        <v>42208</v>
      </c>
      <c r="B29" s="496" t="s">
        <v>613</v>
      </c>
      <c r="C29" s="81">
        <v>1436.4</v>
      </c>
      <c r="D29" s="465">
        <v>42210</v>
      </c>
      <c r="E29" s="294">
        <v>1436.4</v>
      </c>
      <c r="F29" s="297">
        <f t="shared" si="0"/>
        <v>0</v>
      </c>
      <c r="G29" s="25"/>
    </row>
    <row r="30" spans="1:15" ht="15.75" customHeight="1" thickBot="1" x14ac:dyDescent="0.35">
      <c r="A30" s="545">
        <v>42209</v>
      </c>
      <c r="B30" s="496" t="s">
        <v>615</v>
      </c>
      <c r="C30" s="81">
        <v>22250.5</v>
      </c>
      <c r="D30" s="465">
        <v>42210</v>
      </c>
      <c r="E30" s="294">
        <v>22250.5</v>
      </c>
      <c r="F30" s="297">
        <f t="shared" si="0"/>
        <v>0</v>
      </c>
      <c r="G30" s="25"/>
      <c r="J30" s="474" t="s">
        <v>205</v>
      </c>
      <c r="K30" s="204"/>
      <c r="L30" s="583"/>
      <c r="M30" s="544">
        <v>42210</v>
      </c>
      <c r="N30" s="276"/>
      <c r="O30" s="73"/>
    </row>
    <row r="31" spans="1:15" ht="15.75" customHeight="1" x14ac:dyDescent="0.25">
      <c r="A31" s="343">
        <v>42210</v>
      </c>
      <c r="B31" s="496" t="s">
        <v>616</v>
      </c>
      <c r="C31" s="81">
        <v>25755.3</v>
      </c>
      <c r="D31" s="465">
        <v>42210</v>
      </c>
      <c r="E31" s="294">
        <v>25755.3</v>
      </c>
      <c r="F31" s="297">
        <f t="shared" si="0"/>
        <v>0</v>
      </c>
      <c r="G31" s="25"/>
      <c r="I31" s="205"/>
      <c r="J31" s="419"/>
      <c r="K31" s="205"/>
      <c r="L31" s="206"/>
      <c r="M31" s="419"/>
      <c r="N31" s="519"/>
      <c r="O31" s="73"/>
    </row>
    <row r="32" spans="1:15" ht="15.75" x14ac:dyDescent="0.25">
      <c r="A32" s="545">
        <v>42210</v>
      </c>
      <c r="B32" s="496" t="s">
        <v>617</v>
      </c>
      <c r="C32" s="450">
        <v>123334.15</v>
      </c>
      <c r="D32" s="604" t="s">
        <v>625</v>
      </c>
      <c r="E32" s="450">
        <f>3808.94+119525.21</f>
        <v>123334.15000000001</v>
      </c>
      <c r="F32" s="297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  <c r="O32" s="73"/>
    </row>
    <row r="33" spans="1:15" ht="16.5" customHeight="1" x14ac:dyDescent="0.25">
      <c r="A33" s="343">
        <v>42210</v>
      </c>
      <c r="B33" s="496" t="s">
        <v>621</v>
      </c>
      <c r="C33" s="81">
        <v>1480</v>
      </c>
      <c r="D33" s="465">
        <v>42216</v>
      </c>
      <c r="E33" s="294">
        <v>1480</v>
      </c>
      <c r="F33" s="297">
        <f t="shared" si="0"/>
        <v>0</v>
      </c>
      <c r="G33" s="25"/>
      <c r="I33" s="215">
        <v>23370</v>
      </c>
      <c r="J33" s="216">
        <v>25821.599999999999</v>
      </c>
      <c r="K33" s="216"/>
      <c r="L33" s="331" t="s">
        <v>396</v>
      </c>
      <c r="M33" s="522">
        <v>20000</v>
      </c>
      <c r="N33" s="523">
        <v>42185</v>
      </c>
      <c r="O33" s="364">
        <v>42184</v>
      </c>
    </row>
    <row r="34" spans="1:15" ht="16.5" customHeight="1" x14ac:dyDescent="0.25">
      <c r="A34" s="595">
        <v>42212</v>
      </c>
      <c r="B34" s="585" t="s">
        <v>622</v>
      </c>
      <c r="C34" s="81">
        <v>12709.2</v>
      </c>
      <c r="D34" s="465">
        <v>42216</v>
      </c>
      <c r="E34" s="294">
        <v>12709.2</v>
      </c>
      <c r="F34" s="596">
        <f t="shared" si="0"/>
        <v>0</v>
      </c>
      <c r="G34" s="25"/>
      <c r="I34" s="233" t="s">
        <v>567</v>
      </c>
      <c r="J34" s="234">
        <v>8750.7000000000007</v>
      </c>
      <c r="K34" s="234"/>
      <c r="L34" s="331" t="s">
        <v>396</v>
      </c>
      <c r="M34" s="522">
        <v>9252</v>
      </c>
      <c r="N34" s="523">
        <v>42194</v>
      </c>
      <c r="O34" s="364">
        <v>42184</v>
      </c>
    </row>
    <row r="35" spans="1:15" ht="15.75" x14ac:dyDescent="0.25">
      <c r="A35" s="602">
        <v>42213</v>
      </c>
      <c r="B35" s="598" t="s">
        <v>623</v>
      </c>
      <c r="C35" s="57">
        <v>5152.3999999999996</v>
      </c>
      <c r="D35" s="605">
        <v>42216</v>
      </c>
      <c r="E35" s="81">
        <v>5152.3999999999996</v>
      </c>
      <c r="F35" s="596">
        <f t="shared" si="0"/>
        <v>0</v>
      </c>
      <c r="G35" s="25"/>
      <c r="I35" s="483" t="s">
        <v>568</v>
      </c>
      <c r="J35" s="450">
        <v>3577.8</v>
      </c>
      <c r="K35" s="234"/>
      <c r="L35" s="331" t="s">
        <v>396</v>
      </c>
      <c r="M35" s="521">
        <v>33189</v>
      </c>
      <c r="N35" s="525">
        <v>42194</v>
      </c>
      <c r="O35" s="364">
        <v>42185</v>
      </c>
    </row>
    <row r="36" spans="1:15" ht="15.75" x14ac:dyDescent="0.25">
      <c r="A36" s="603">
        <v>42214</v>
      </c>
      <c r="B36" s="598" t="s">
        <v>624</v>
      </c>
      <c r="C36" s="57">
        <v>136588.79</v>
      </c>
      <c r="D36" s="605">
        <v>42216</v>
      </c>
      <c r="E36" s="81">
        <v>136588.79</v>
      </c>
      <c r="F36" s="596">
        <f t="shared" si="0"/>
        <v>0</v>
      </c>
      <c r="G36" s="25"/>
      <c r="I36" s="483" t="s">
        <v>571</v>
      </c>
      <c r="J36" s="450">
        <v>93349.84</v>
      </c>
      <c r="K36" s="234"/>
      <c r="L36" s="331" t="s">
        <v>396</v>
      </c>
      <c r="M36" s="522">
        <v>24922</v>
      </c>
      <c r="N36" s="523">
        <v>42194</v>
      </c>
      <c r="O36" s="364">
        <v>42186</v>
      </c>
    </row>
    <row r="37" spans="1:15" ht="15.75" x14ac:dyDescent="0.25">
      <c r="A37" s="340">
        <v>42216</v>
      </c>
      <c r="B37" s="606" t="s">
        <v>626</v>
      </c>
      <c r="C37" s="57">
        <v>14894.6</v>
      </c>
      <c r="D37" s="280" t="s">
        <v>653</v>
      </c>
      <c r="E37" s="81">
        <f>6901.9+7992.7</f>
        <v>14894.599999999999</v>
      </c>
      <c r="F37" s="596">
        <f t="shared" si="0"/>
        <v>0</v>
      </c>
      <c r="G37" s="25"/>
      <c r="I37" s="483" t="s">
        <v>572</v>
      </c>
      <c r="J37" s="450">
        <v>9242.6</v>
      </c>
      <c r="K37" s="234"/>
      <c r="L37" s="331" t="s">
        <v>396</v>
      </c>
      <c r="M37" s="522">
        <v>35283</v>
      </c>
      <c r="N37" s="523">
        <v>42194</v>
      </c>
      <c r="O37" s="364">
        <v>42187</v>
      </c>
    </row>
    <row r="38" spans="1:15" ht="15.75" x14ac:dyDescent="0.25">
      <c r="A38" s="334"/>
      <c r="B38" s="597"/>
      <c r="C38" s="57"/>
      <c r="D38" s="291"/>
      <c r="E38" s="81"/>
      <c r="F38" s="596">
        <f t="shared" si="0"/>
        <v>0</v>
      </c>
      <c r="G38" s="25"/>
      <c r="I38" s="483" t="s">
        <v>573</v>
      </c>
      <c r="J38" s="450">
        <v>437.4</v>
      </c>
      <c r="K38" s="235"/>
      <c r="L38" s="331" t="s">
        <v>396</v>
      </c>
      <c r="M38" s="521">
        <v>50020</v>
      </c>
      <c r="N38" s="525">
        <v>42194</v>
      </c>
      <c r="O38" s="364">
        <v>42188</v>
      </c>
    </row>
    <row r="39" spans="1:15" ht="15.75" x14ac:dyDescent="0.25">
      <c r="A39" s="334"/>
      <c r="B39" s="597"/>
      <c r="C39" s="57"/>
      <c r="D39" s="291"/>
      <c r="E39" s="81"/>
      <c r="F39" s="596">
        <f t="shared" si="0"/>
        <v>0</v>
      </c>
      <c r="G39" s="25"/>
      <c r="I39" s="483" t="s">
        <v>574</v>
      </c>
      <c r="J39" s="450">
        <v>25649.9</v>
      </c>
      <c r="K39" s="230"/>
      <c r="L39" s="331" t="s">
        <v>396</v>
      </c>
      <c r="M39" s="522">
        <v>59774</v>
      </c>
      <c r="N39" s="523">
        <v>42194</v>
      </c>
      <c r="O39" s="364">
        <v>42189</v>
      </c>
    </row>
    <row r="40" spans="1:15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G40" s="25"/>
      <c r="I40" s="483" t="s">
        <v>579</v>
      </c>
      <c r="J40" s="81">
        <v>90399</v>
      </c>
      <c r="K40" s="230"/>
      <c r="L40" s="331" t="s">
        <v>396</v>
      </c>
      <c r="M40" s="521">
        <v>59148</v>
      </c>
      <c r="N40" s="525">
        <v>42194</v>
      </c>
      <c r="O40" s="364">
        <v>42190</v>
      </c>
    </row>
    <row r="41" spans="1:15" ht="16.5" thickTop="1" x14ac:dyDescent="0.25">
      <c r="B41" s="5"/>
      <c r="C41" s="59">
        <f>SUM(C3:C40)</f>
        <v>1266473.5799999998</v>
      </c>
      <c r="D41" s="178"/>
      <c r="E41" s="336">
        <f>SUM(E3:E40)</f>
        <v>1266473.5799999998</v>
      </c>
      <c r="F41" s="336">
        <f>SUM(F3:F40)</f>
        <v>0</v>
      </c>
      <c r="G41" s="25"/>
      <c r="I41" s="344" t="s">
        <v>580</v>
      </c>
      <c r="J41" s="81">
        <v>7742.8</v>
      </c>
      <c r="K41" s="230"/>
      <c r="L41" s="331" t="s">
        <v>396</v>
      </c>
      <c r="M41" s="522">
        <v>35003</v>
      </c>
      <c r="N41" s="523">
        <v>42194</v>
      </c>
      <c r="O41" s="364">
        <v>42191</v>
      </c>
    </row>
    <row r="42" spans="1:15" ht="15.75" x14ac:dyDescent="0.25">
      <c r="C42" s="59"/>
      <c r="D42" s="25"/>
      <c r="G42" s="25"/>
      <c r="I42" s="344" t="s">
        <v>581</v>
      </c>
      <c r="J42" s="81">
        <v>9117</v>
      </c>
      <c r="K42" s="230"/>
      <c r="L42" s="331" t="s">
        <v>396</v>
      </c>
      <c r="M42" s="521">
        <v>26166</v>
      </c>
      <c r="N42" s="525">
        <v>42194</v>
      </c>
      <c r="O42" s="364">
        <v>42192</v>
      </c>
    </row>
    <row r="43" spans="1:15" ht="15.75" x14ac:dyDescent="0.25">
      <c r="B43" t="s">
        <v>101</v>
      </c>
      <c r="D43" s="25"/>
      <c r="E43" s="25"/>
      <c r="F43" s="25"/>
      <c r="G43" s="25"/>
      <c r="I43" s="344" t="s">
        <v>582</v>
      </c>
      <c r="J43" s="81">
        <v>16209.16</v>
      </c>
      <c r="K43" s="416"/>
      <c r="L43" s="331" t="s">
        <v>396</v>
      </c>
      <c r="M43" s="521">
        <v>54228</v>
      </c>
      <c r="N43" s="525">
        <v>42196</v>
      </c>
      <c r="O43" s="364">
        <v>42194</v>
      </c>
    </row>
    <row r="44" spans="1:15" ht="15.75" x14ac:dyDescent="0.25">
      <c r="B44" s="565">
        <v>0</v>
      </c>
      <c r="C44" s="566" t="s">
        <v>570</v>
      </c>
      <c r="D44" s="581"/>
      <c r="E44" s="25"/>
      <c r="F44" s="25"/>
      <c r="G44" s="25"/>
      <c r="I44" s="344" t="s">
        <v>584</v>
      </c>
      <c r="J44" s="81">
        <v>24291.3</v>
      </c>
      <c r="K44" s="416"/>
      <c r="L44" s="331" t="s">
        <v>396</v>
      </c>
      <c r="M44" s="521">
        <v>77685</v>
      </c>
      <c r="N44" s="525">
        <v>42196</v>
      </c>
      <c r="O44" s="364">
        <v>42195</v>
      </c>
    </row>
    <row r="45" spans="1:15" ht="15.75" x14ac:dyDescent="0.25">
      <c r="D45" s="25"/>
      <c r="E45" s="25"/>
      <c r="F45" s="25"/>
      <c r="G45" s="25"/>
      <c r="I45" s="344" t="s">
        <v>585</v>
      </c>
      <c r="J45" s="81">
        <v>57565.7</v>
      </c>
      <c r="K45" s="230"/>
      <c r="L45" s="331" t="s">
        <v>396</v>
      </c>
      <c r="M45" s="521">
        <v>58755</v>
      </c>
      <c r="N45" s="525">
        <v>42198</v>
      </c>
      <c r="O45" s="364">
        <v>42196</v>
      </c>
    </row>
    <row r="46" spans="1:15" ht="18.75" x14ac:dyDescent="0.3">
      <c r="D46" s="25"/>
      <c r="E46" s="25"/>
      <c r="F46" s="25"/>
      <c r="G46" s="25"/>
      <c r="I46" s="344" t="s">
        <v>586</v>
      </c>
      <c r="J46" s="81">
        <v>65010</v>
      </c>
      <c r="K46" s="460"/>
      <c r="L46" s="329" t="s">
        <v>396</v>
      </c>
      <c r="M46" s="526">
        <v>50626</v>
      </c>
      <c r="N46" s="527">
        <v>42198</v>
      </c>
      <c r="O46" s="364">
        <v>42197</v>
      </c>
    </row>
    <row r="47" spans="1:15" ht="15.75" x14ac:dyDescent="0.25">
      <c r="D47" s="25"/>
      <c r="E47" s="25"/>
      <c r="F47" s="25"/>
      <c r="G47" s="25"/>
      <c r="I47" s="344" t="s">
        <v>587</v>
      </c>
      <c r="J47" s="81">
        <v>40533.42</v>
      </c>
      <c r="K47" s="416"/>
      <c r="L47" s="237" t="s">
        <v>396</v>
      </c>
      <c r="M47" s="521">
        <v>34179</v>
      </c>
      <c r="N47" s="525">
        <v>42200</v>
      </c>
      <c r="O47" s="364">
        <v>42198</v>
      </c>
    </row>
    <row r="48" spans="1:15" ht="15.75" x14ac:dyDescent="0.25">
      <c r="D48" s="25"/>
      <c r="E48" s="25"/>
      <c r="F48" s="25"/>
      <c r="G48" s="25"/>
      <c r="I48" s="344" t="s">
        <v>588</v>
      </c>
      <c r="J48" s="81">
        <v>11898</v>
      </c>
      <c r="K48" s="230"/>
      <c r="L48" s="237" t="s">
        <v>396</v>
      </c>
      <c r="M48" s="521">
        <v>28596.5</v>
      </c>
      <c r="N48" s="525">
        <v>42200</v>
      </c>
      <c r="O48" s="364">
        <v>42199</v>
      </c>
    </row>
    <row r="49" spans="1:15" ht="15.75" x14ac:dyDescent="0.25">
      <c r="A49"/>
      <c r="C49"/>
      <c r="D49" s="25"/>
      <c r="E49" s="25"/>
      <c r="F49" s="25"/>
      <c r="G49" s="25"/>
      <c r="I49" s="344" t="s">
        <v>589</v>
      </c>
      <c r="J49" s="81">
        <v>15100.7</v>
      </c>
      <c r="K49" s="216"/>
      <c r="L49" s="421" t="s">
        <v>396</v>
      </c>
      <c r="M49" s="528">
        <v>26123.5</v>
      </c>
      <c r="N49" s="527">
        <v>42201</v>
      </c>
      <c r="O49" s="364">
        <v>42200</v>
      </c>
    </row>
    <row r="50" spans="1:15" ht="15.75" x14ac:dyDescent="0.25">
      <c r="A50"/>
      <c r="C50"/>
      <c r="D50" s="25"/>
      <c r="E50" s="25"/>
      <c r="F50" s="25"/>
      <c r="G50" s="25"/>
      <c r="I50" s="344" t="s">
        <v>590</v>
      </c>
      <c r="J50" s="81">
        <v>120996.45</v>
      </c>
      <c r="K50" s="234"/>
      <c r="L50" s="421" t="s">
        <v>396</v>
      </c>
      <c r="M50" s="528">
        <v>39161</v>
      </c>
      <c r="N50" s="527">
        <v>42207</v>
      </c>
      <c r="O50" s="364">
        <v>42201</v>
      </c>
    </row>
    <row r="51" spans="1:15" ht="15.75" x14ac:dyDescent="0.25">
      <c r="A51"/>
      <c r="C51"/>
      <c r="D51" s="25"/>
      <c r="E51" s="25"/>
      <c r="F51" s="25"/>
      <c r="G51" s="25"/>
      <c r="I51" s="344" t="s">
        <v>591</v>
      </c>
      <c r="J51" s="81">
        <v>6651.4</v>
      </c>
      <c r="K51" s="459"/>
      <c r="L51" s="421" t="s">
        <v>396</v>
      </c>
      <c r="M51" s="528">
        <v>66170</v>
      </c>
      <c r="N51" s="527">
        <v>42207</v>
      </c>
      <c r="O51" s="364">
        <v>42202</v>
      </c>
    </row>
    <row r="52" spans="1:15" ht="18.75" x14ac:dyDescent="0.3">
      <c r="A52"/>
      <c r="C52"/>
      <c r="E52" s="25"/>
      <c r="F52" s="25"/>
      <c r="I52" s="344" t="s">
        <v>592</v>
      </c>
      <c r="J52" s="81">
        <v>85349.69</v>
      </c>
      <c r="K52" s="460"/>
      <c r="L52" s="421" t="s">
        <v>396</v>
      </c>
      <c r="M52" s="526">
        <v>62941</v>
      </c>
      <c r="N52" s="527">
        <v>42207</v>
      </c>
      <c r="O52" s="364">
        <v>42203</v>
      </c>
    </row>
    <row r="53" spans="1:15" ht="15.75" x14ac:dyDescent="0.25">
      <c r="A53"/>
      <c r="C53"/>
      <c r="E53" s="25"/>
      <c r="F53" s="25"/>
      <c r="I53" s="344" t="s">
        <v>593</v>
      </c>
      <c r="J53" s="81">
        <v>20117.599999999999</v>
      </c>
      <c r="K53" s="459"/>
      <c r="L53" s="421" t="s">
        <v>396</v>
      </c>
      <c r="M53" s="528">
        <v>43270.5</v>
      </c>
      <c r="N53" s="527">
        <v>42207</v>
      </c>
      <c r="O53" s="364">
        <v>42204</v>
      </c>
    </row>
    <row r="54" spans="1:15" ht="15.75" x14ac:dyDescent="0.25">
      <c r="A54"/>
      <c r="C54"/>
      <c r="E54" s="25"/>
      <c r="F54" s="25"/>
      <c r="I54" s="344" t="s">
        <v>595</v>
      </c>
      <c r="J54" s="322">
        <v>24174</v>
      </c>
      <c r="K54" s="459"/>
      <c r="L54" s="421" t="s">
        <v>396</v>
      </c>
      <c r="M54" s="528">
        <v>26427</v>
      </c>
      <c r="N54" s="527">
        <v>42207</v>
      </c>
      <c r="O54" s="364">
        <v>42205</v>
      </c>
    </row>
    <row r="55" spans="1:15" ht="15.75" x14ac:dyDescent="0.25">
      <c r="A55"/>
      <c r="C55"/>
      <c r="E55" s="25"/>
      <c r="F55" s="25"/>
      <c r="I55" s="344" t="s">
        <v>596</v>
      </c>
      <c r="J55" s="81">
        <v>5443.8</v>
      </c>
      <c r="K55" s="216"/>
      <c r="L55" s="331" t="s">
        <v>396</v>
      </c>
      <c r="M55" s="332">
        <v>0</v>
      </c>
      <c r="N55" s="525"/>
      <c r="O55" s="364"/>
    </row>
    <row r="56" spans="1:15" ht="15.75" x14ac:dyDescent="0.25">
      <c r="A56"/>
      <c r="C56"/>
      <c r="E56" s="25"/>
      <c r="F56" s="25"/>
      <c r="I56" s="344" t="s">
        <v>598</v>
      </c>
      <c r="J56" s="81">
        <v>17571.8</v>
      </c>
      <c r="K56" s="216"/>
      <c r="L56" s="331"/>
      <c r="M56" s="332">
        <v>0</v>
      </c>
      <c r="N56" s="525"/>
      <c r="O56" s="364"/>
    </row>
    <row r="57" spans="1:15" ht="15.75" x14ac:dyDescent="0.25">
      <c r="A57"/>
      <c r="C57"/>
      <c r="E57" s="25"/>
      <c r="F57" s="25"/>
      <c r="I57" s="496" t="s">
        <v>599</v>
      </c>
      <c r="J57" s="59">
        <v>43506.06</v>
      </c>
      <c r="K57" s="216"/>
      <c r="L57" s="331"/>
      <c r="M57" s="332">
        <v>0</v>
      </c>
      <c r="N57" s="525"/>
      <c r="O57" s="364"/>
    </row>
    <row r="58" spans="1:15" ht="15.75" x14ac:dyDescent="0.25">
      <c r="A58"/>
      <c r="C58"/>
      <c r="E58" s="25"/>
      <c r="F58" s="25"/>
      <c r="I58" s="585" t="s">
        <v>612</v>
      </c>
      <c r="J58" s="59">
        <v>39160.639999999999</v>
      </c>
      <c r="K58" s="586"/>
      <c r="L58" s="587"/>
      <c r="M58" s="588">
        <v>0</v>
      </c>
      <c r="N58" s="589"/>
      <c r="O58" s="364"/>
    </row>
    <row r="59" spans="1:15" ht="15.75" x14ac:dyDescent="0.25">
      <c r="A59"/>
      <c r="C59"/>
      <c r="E59" s="25"/>
      <c r="F59" s="25"/>
      <c r="I59" s="585" t="s">
        <v>613</v>
      </c>
      <c r="J59" s="59">
        <v>1436.4</v>
      </c>
      <c r="K59" s="586"/>
      <c r="L59" s="587"/>
      <c r="M59" s="588">
        <v>0</v>
      </c>
      <c r="N59" s="589"/>
      <c r="O59" s="364"/>
    </row>
    <row r="60" spans="1:15" ht="15.75" x14ac:dyDescent="0.25">
      <c r="A60"/>
      <c r="C60"/>
      <c r="E60" s="25"/>
      <c r="F60" s="25"/>
      <c r="I60" s="585" t="s">
        <v>615</v>
      </c>
      <c r="J60" s="59">
        <v>22250.5</v>
      </c>
      <c r="K60" s="586"/>
      <c r="L60" s="587"/>
      <c r="M60" s="588">
        <v>0</v>
      </c>
      <c r="N60" s="589"/>
      <c r="O60" s="364"/>
    </row>
    <row r="61" spans="1:15" ht="15.75" x14ac:dyDescent="0.25">
      <c r="A61"/>
      <c r="C61"/>
      <c r="E61" s="25"/>
      <c r="F61" s="25"/>
      <c r="I61" s="502" t="s">
        <v>616</v>
      </c>
      <c r="J61" s="234">
        <v>25755.3</v>
      </c>
      <c r="K61" s="216"/>
      <c r="L61" s="331"/>
      <c r="M61" s="332">
        <v>0</v>
      </c>
      <c r="N61" s="334"/>
      <c r="O61" s="364"/>
    </row>
    <row r="62" spans="1:15" ht="15.75" thickBot="1" x14ac:dyDescent="0.3">
      <c r="A62"/>
      <c r="C62"/>
      <c r="E62" s="25"/>
      <c r="F62" s="25"/>
      <c r="I62" s="592" t="s">
        <v>617</v>
      </c>
      <c r="J62" s="593">
        <v>3808.94</v>
      </c>
      <c r="K62" s="590"/>
      <c r="L62" s="590"/>
      <c r="M62" s="591"/>
      <c r="N62" s="591"/>
      <c r="O62" s="364"/>
    </row>
    <row r="63" spans="1:15" ht="16.5" thickTop="1" x14ac:dyDescent="0.25">
      <c r="A63"/>
      <c r="C63"/>
      <c r="E63" s="25"/>
      <c r="F63" s="25"/>
      <c r="I63" s="361"/>
      <c r="J63" s="419">
        <f>SUM(J33:J62)</f>
        <v>920919.5</v>
      </c>
      <c r="K63" s="208"/>
      <c r="L63" s="206"/>
      <c r="M63" s="419">
        <f>SUM(M33:M61)</f>
        <v>920919.5</v>
      </c>
      <c r="N63" s="276"/>
      <c r="O63" s="364"/>
    </row>
    <row r="64" spans="1:15" ht="15.75" x14ac:dyDescent="0.25">
      <c r="A64"/>
      <c r="C64"/>
      <c r="E64" s="25"/>
      <c r="F64" s="25"/>
      <c r="I64" s="444"/>
      <c r="J64" s="81"/>
      <c r="K64" s="358"/>
      <c r="L64" s="362"/>
      <c r="M64" s="559"/>
      <c r="N64" s="560"/>
      <c r="O64" s="364"/>
    </row>
    <row r="65" spans="1:16" ht="16.5" thickBot="1" x14ac:dyDescent="0.3">
      <c r="A65"/>
      <c r="I65" s="444"/>
      <c r="J65" s="81"/>
      <c r="K65" s="358"/>
      <c r="L65" s="362"/>
      <c r="M65" s="557"/>
      <c r="N65" s="558"/>
      <c r="O65" s="364"/>
    </row>
    <row r="66" spans="1:16" ht="19.5" thickBot="1" x14ac:dyDescent="0.35">
      <c r="A66"/>
      <c r="J66" s="474" t="s">
        <v>205</v>
      </c>
      <c r="K66" s="204"/>
      <c r="L66" s="594"/>
      <c r="M66" s="601">
        <v>42216</v>
      </c>
      <c r="N66" s="276"/>
      <c r="O66" s="364"/>
    </row>
    <row r="67" spans="1:16" ht="15.75" x14ac:dyDescent="0.25">
      <c r="A67"/>
      <c r="I67" s="205"/>
      <c r="J67" s="419"/>
      <c r="K67" s="205"/>
      <c r="L67" s="206"/>
      <c r="M67" s="419"/>
      <c r="N67" s="519"/>
      <c r="O67" s="364"/>
    </row>
    <row r="68" spans="1:16" ht="15.75" x14ac:dyDescent="0.25">
      <c r="A68"/>
      <c r="I68" s="212" t="s">
        <v>202</v>
      </c>
      <c r="J68" s="419" t="s">
        <v>195</v>
      </c>
      <c r="K68" s="205"/>
      <c r="L68" s="206" t="s">
        <v>203</v>
      </c>
      <c r="M68" s="419" t="s">
        <v>204</v>
      </c>
      <c r="N68" s="519"/>
      <c r="O68" s="364"/>
    </row>
    <row r="69" spans="1:16" ht="15.75" x14ac:dyDescent="0.25">
      <c r="A69"/>
      <c r="I69" s="561" t="s">
        <v>617</v>
      </c>
      <c r="J69" s="216">
        <v>119525.21</v>
      </c>
      <c r="K69" s="216"/>
      <c r="L69" s="331" t="s">
        <v>396</v>
      </c>
      <c r="M69" s="521">
        <v>30612</v>
      </c>
      <c r="N69" s="525">
        <v>42207</v>
      </c>
      <c r="O69" s="364">
        <v>42206</v>
      </c>
    </row>
    <row r="70" spans="1:16" ht="15.75" x14ac:dyDescent="0.25">
      <c r="A70"/>
      <c r="I70" s="344" t="s">
        <v>621</v>
      </c>
      <c r="J70" s="81">
        <v>1480</v>
      </c>
      <c r="K70" s="234"/>
      <c r="L70" s="331" t="s">
        <v>396</v>
      </c>
      <c r="M70" s="522">
        <v>33553</v>
      </c>
      <c r="N70" s="523">
        <v>42214</v>
      </c>
      <c r="O70" s="364">
        <v>42207</v>
      </c>
    </row>
    <row r="71" spans="1:16" ht="15.75" x14ac:dyDescent="0.25">
      <c r="A71"/>
      <c r="C71"/>
      <c r="E71"/>
      <c r="F71"/>
      <c r="I71" s="344" t="s">
        <v>622</v>
      </c>
      <c r="J71" s="81">
        <v>12709.2</v>
      </c>
      <c r="K71" s="234"/>
      <c r="L71" s="331" t="s">
        <v>396</v>
      </c>
      <c r="M71" s="522"/>
      <c r="N71" s="523"/>
      <c r="O71" s="364">
        <v>42208</v>
      </c>
      <c r="P71">
        <v>39545</v>
      </c>
    </row>
    <row r="72" spans="1:16" ht="15.75" x14ac:dyDescent="0.25">
      <c r="A72"/>
      <c r="C72"/>
      <c r="E72"/>
      <c r="F72"/>
      <c r="I72" s="344" t="s">
        <v>623</v>
      </c>
      <c r="J72" s="81">
        <v>5152.3999999999996</v>
      </c>
      <c r="K72" s="234"/>
      <c r="L72" s="331" t="s">
        <v>396</v>
      </c>
      <c r="M72" s="521">
        <v>53277.5</v>
      </c>
      <c r="N72" s="525">
        <v>42214</v>
      </c>
      <c r="O72" s="364">
        <v>42209</v>
      </c>
    </row>
    <row r="73" spans="1:16" ht="15.75" x14ac:dyDescent="0.25">
      <c r="A73"/>
      <c r="C73"/>
      <c r="E73"/>
      <c r="F73"/>
      <c r="H73" s="59">
        <v>108127.79</v>
      </c>
      <c r="I73" s="344" t="s">
        <v>624</v>
      </c>
      <c r="J73" s="81">
        <v>136588.79</v>
      </c>
      <c r="K73" s="234"/>
      <c r="L73" s="331" t="s">
        <v>396</v>
      </c>
      <c r="M73" s="522">
        <v>68721</v>
      </c>
      <c r="N73" s="523">
        <v>42214</v>
      </c>
      <c r="O73" s="364">
        <v>42210</v>
      </c>
    </row>
    <row r="74" spans="1:16" ht="15.75" x14ac:dyDescent="0.25">
      <c r="A74"/>
      <c r="C74"/>
      <c r="E74"/>
      <c r="F74"/>
      <c r="I74" s="344" t="s">
        <v>626</v>
      </c>
      <c r="J74" s="81">
        <v>6901.9</v>
      </c>
      <c r="K74" s="235" t="s">
        <v>325</v>
      </c>
      <c r="L74" s="331" t="s">
        <v>396</v>
      </c>
      <c r="M74" s="522">
        <v>38862</v>
      </c>
      <c r="N74" s="523">
        <v>42214</v>
      </c>
      <c r="O74" s="364">
        <v>42211</v>
      </c>
    </row>
    <row r="75" spans="1:16" ht="15.75" x14ac:dyDescent="0.25">
      <c r="A75"/>
      <c r="C75"/>
      <c r="E75"/>
      <c r="F75"/>
      <c r="I75" s="344"/>
      <c r="J75" s="81"/>
      <c r="K75" s="230"/>
      <c r="L75" s="331" t="s">
        <v>396</v>
      </c>
      <c r="M75" s="521">
        <v>29623</v>
      </c>
      <c r="N75" s="525">
        <v>42214</v>
      </c>
      <c r="O75" s="364">
        <v>42212</v>
      </c>
      <c r="P75" s="44"/>
    </row>
    <row r="76" spans="1:16" ht="15.75" x14ac:dyDescent="0.25">
      <c r="A76"/>
      <c r="C76"/>
      <c r="E76"/>
      <c r="F76"/>
      <c r="I76" s="344"/>
      <c r="J76" s="81"/>
      <c r="K76" s="230"/>
      <c r="L76" s="331" t="s">
        <v>396</v>
      </c>
      <c r="M76" s="522">
        <v>27709</v>
      </c>
      <c r="N76" s="523">
        <v>42214</v>
      </c>
      <c r="O76" s="364">
        <v>42213</v>
      </c>
      <c r="P76" s="44"/>
    </row>
    <row r="77" spans="1:16" ht="16.5" thickBot="1" x14ac:dyDescent="0.3">
      <c r="I77" s="361"/>
      <c r="J77" s="226">
        <v>0</v>
      </c>
      <c r="K77" s="226"/>
      <c r="L77" s="227"/>
      <c r="M77" s="121">
        <v>0</v>
      </c>
      <c r="N77" s="520"/>
    </row>
    <row r="78" spans="1:16" ht="16.5" thickTop="1" x14ac:dyDescent="0.25">
      <c r="I78" s="361"/>
      <c r="J78" s="419">
        <f>SUM(J69:J77)</f>
        <v>282357.5</v>
      </c>
      <c r="K78" s="208"/>
      <c r="L78" s="206"/>
      <c r="M78" s="419">
        <f>SUM(M69:M77)</f>
        <v>282357.5</v>
      </c>
      <c r="N78" s="276"/>
    </row>
  </sheetData>
  <sortState ref="I69:J74">
    <sortCondition ref="I69:I74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57"/>
  <sheetViews>
    <sheetView workbookViewId="0">
      <pane ySplit="4" topLeftCell="A17" activePane="bottomLeft" state="frozen"/>
      <selection pane="bottomLeft" activeCell="N33" sqref="N3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8" ht="23.25" x14ac:dyDescent="0.35">
      <c r="C1" s="760" t="s">
        <v>697</v>
      </c>
      <c r="D1" s="760"/>
      <c r="E1" s="760"/>
      <c r="F1" s="760"/>
      <c r="G1" s="760"/>
      <c r="H1" s="760"/>
      <c r="I1" s="760"/>
      <c r="J1" s="760"/>
      <c r="K1" s="760"/>
      <c r="L1" s="643" t="s">
        <v>158</v>
      </c>
      <c r="M1" s="336"/>
    </row>
    <row r="2" spans="1:18" ht="15.75" thickBot="1" x14ac:dyDescent="0.3">
      <c r="E2" s="609"/>
      <c r="F2" s="51"/>
    </row>
    <row r="3" spans="1:18" ht="15.75" thickBot="1" x14ac:dyDescent="0.3">
      <c r="C3" s="45" t="s">
        <v>0</v>
      </c>
      <c r="D3" s="3"/>
    </row>
    <row r="4" spans="1:18" ht="20.25" thickTop="1" thickBot="1" x14ac:dyDescent="0.35">
      <c r="A4" s="415" t="s">
        <v>2</v>
      </c>
      <c r="B4" s="414"/>
      <c r="C4" s="97">
        <v>192887.04000000001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112" t="s">
        <v>159</v>
      </c>
    </row>
    <row r="5" spans="1:18" ht="15.75" thickTop="1" x14ac:dyDescent="0.25">
      <c r="A5" s="21"/>
      <c r="B5" s="40">
        <v>42217</v>
      </c>
      <c r="C5" s="46">
        <v>1195</v>
      </c>
      <c r="D5" s="30" t="s">
        <v>639</v>
      </c>
      <c r="E5" s="28">
        <v>42217</v>
      </c>
      <c r="F5" s="52">
        <v>62108.98</v>
      </c>
      <c r="G5" s="25"/>
      <c r="H5" s="26">
        <v>42217</v>
      </c>
      <c r="I5" s="61">
        <v>20</v>
      </c>
      <c r="J5" s="80"/>
      <c r="K5" s="122"/>
      <c r="L5" s="122"/>
      <c r="M5" s="494">
        <v>60894</v>
      </c>
      <c r="N5" s="336"/>
    </row>
    <row r="6" spans="1:18" x14ac:dyDescent="0.25">
      <c r="A6" s="21"/>
      <c r="B6" s="40">
        <v>42218</v>
      </c>
      <c r="C6" s="46">
        <v>0</v>
      </c>
      <c r="D6" s="30"/>
      <c r="E6" s="28">
        <v>42218</v>
      </c>
      <c r="F6" s="52">
        <v>65499.44</v>
      </c>
      <c r="G6" s="20"/>
      <c r="H6" s="29">
        <v>42218</v>
      </c>
      <c r="I6" s="62">
        <v>0</v>
      </c>
      <c r="J6" s="81"/>
      <c r="K6" s="73" t="s">
        <v>5</v>
      </c>
      <c r="L6" s="202">
        <v>638</v>
      </c>
      <c r="M6" s="494">
        <v>60874.5</v>
      </c>
      <c r="N6" s="336"/>
    </row>
    <row r="7" spans="1:18" x14ac:dyDescent="0.25">
      <c r="A7" s="21"/>
      <c r="B7" s="40">
        <v>42219</v>
      </c>
      <c r="C7" s="46">
        <v>688.52</v>
      </c>
      <c r="D7" s="30" t="s">
        <v>366</v>
      </c>
      <c r="E7" s="28">
        <v>42219</v>
      </c>
      <c r="F7" s="52">
        <v>36740.07</v>
      </c>
      <c r="G7" s="25"/>
      <c r="H7" s="29">
        <v>42219</v>
      </c>
      <c r="I7" s="62">
        <v>0</v>
      </c>
      <c r="J7" s="81"/>
      <c r="K7" s="73" t="s">
        <v>3</v>
      </c>
      <c r="L7" s="202">
        <v>0</v>
      </c>
      <c r="M7" s="494">
        <v>33550</v>
      </c>
      <c r="N7" s="336"/>
    </row>
    <row r="8" spans="1:18" x14ac:dyDescent="0.25">
      <c r="A8" s="21"/>
      <c r="B8" s="40">
        <v>42220</v>
      </c>
      <c r="C8" s="46">
        <v>401</v>
      </c>
      <c r="D8" s="33" t="s">
        <v>22</v>
      </c>
      <c r="E8" s="28">
        <v>42220</v>
      </c>
      <c r="F8" s="52">
        <v>24273</v>
      </c>
      <c r="G8" s="25"/>
      <c r="H8" s="29">
        <v>42220</v>
      </c>
      <c r="I8" s="62">
        <v>300</v>
      </c>
      <c r="J8" s="81" t="s">
        <v>646</v>
      </c>
      <c r="K8" s="73" t="s">
        <v>6</v>
      </c>
      <c r="L8" s="20">
        <v>28750</v>
      </c>
      <c r="M8" s="494">
        <v>22322</v>
      </c>
      <c r="N8" s="336"/>
      <c r="Q8" t="s">
        <v>462</v>
      </c>
      <c r="R8">
        <v>1600</v>
      </c>
    </row>
    <row r="9" spans="1:18" x14ac:dyDescent="0.25">
      <c r="A9" s="21"/>
      <c r="B9" s="40">
        <v>42221</v>
      </c>
      <c r="C9" s="46">
        <v>1747</v>
      </c>
      <c r="D9" s="96" t="s">
        <v>648</v>
      </c>
      <c r="E9" s="28">
        <v>42221</v>
      </c>
      <c r="F9" s="52">
        <v>40185</v>
      </c>
      <c r="G9" s="25"/>
      <c r="H9" s="29">
        <v>42221</v>
      </c>
      <c r="I9" s="62">
        <v>80</v>
      </c>
      <c r="J9" s="82"/>
      <c r="K9" s="73" t="s">
        <v>642</v>
      </c>
      <c r="L9" s="202">
        <f>4025+1600+2500</f>
        <v>8125</v>
      </c>
      <c r="M9" s="494">
        <v>38358</v>
      </c>
      <c r="N9" s="336"/>
    </row>
    <row r="10" spans="1:18" x14ac:dyDescent="0.25">
      <c r="A10" s="21"/>
      <c r="B10" s="40">
        <v>42222</v>
      </c>
      <c r="C10" s="46">
        <v>0</v>
      </c>
      <c r="D10" s="96"/>
      <c r="E10" s="28">
        <v>42222</v>
      </c>
      <c r="F10" s="52">
        <v>36191.19</v>
      </c>
      <c r="G10" s="25"/>
      <c r="H10" s="29">
        <v>42222</v>
      </c>
      <c r="I10" s="62">
        <v>350</v>
      </c>
      <c r="J10" s="82"/>
      <c r="K10" s="73" t="s">
        <v>643</v>
      </c>
      <c r="L10" s="81">
        <f>1200+3716.71+1600+2500</f>
        <v>9016.7099999999991</v>
      </c>
      <c r="M10" s="494">
        <v>35841</v>
      </c>
      <c r="N10" s="336"/>
      <c r="Q10" t="s">
        <v>464</v>
      </c>
      <c r="R10">
        <v>2500</v>
      </c>
    </row>
    <row r="11" spans="1:18" x14ac:dyDescent="0.25">
      <c r="A11" s="21"/>
      <c r="B11" s="40">
        <v>42223</v>
      </c>
      <c r="C11" s="46">
        <v>623</v>
      </c>
      <c r="D11" s="96" t="s">
        <v>83</v>
      </c>
      <c r="E11" s="28">
        <v>42223</v>
      </c>
      <c r="F11" s="52">
        <v>62339.46</v>
      </c>
      <c r="G11" s="25"/>
      <c r="H11" s="29">
        <v>42223</v>
      </c>
      <c r="I11" s="62">
        <v>3639</v>
      </c>
      <c r="J11" s="82" t="s">
        <v>649</v>
      </c>
      <c r="K11" s="73" t="s">
        <v>644</v>
      </c>
      <c r="L11" s="81">
        <f>5850+1600+2500</f>
        <v>9950</v>
      </c>
      <c r="M11" s="494">
        <v>58077</v>
      </c>
      <c r="N11" s="336"/>
    </row>
    <row r="12" spans="1:18" x14ac:dyDescent="0.25">
      <c r="A12" s="21"/>
      <c r="B12" s="40">
        <v>42224</v>
      </c>
      <c r="C12" s="46">
        <v>554</v>
      </c>
      <c r="D12" s="30" t="s">
        <v>22</v>
      </c>
      <c r="E12" s="28">
        <v>42224</v>
      </c>
      <c r="F12" s="52">
        <v>62027.92</v>
      </c>
      <c r="G12" s="25"/>
      <c r="H12" s="29">
        <v>42224</v>
      </c>
      <c r="I12" s="62">
        <v>520</v>
      </c>
      <c r="J12" s="82" t="s">
        <v>650</v>
      </c>
      <c r="K12" s="73" t="s">
        <v>645</v>
      </c>
      <c r="L12" s="81">
        <f>5850+1600+2500</f>
        <v>9950</v>
      </c>
      <c r="M12" s="494">
        <v>60950</v>
      </c>
      <c r="N12" s="336"/>
    </row>
    <row r="13" spans="1:18" x14ac:dyDescent="0.25">
      <c r="A13" s="21"/>
      <c r="B13" s="40">
        <v>42225</v>
      </c>
      <c r="C13" s="46">
        <v>1524.04</v>
      </c>
      <c r="D13" s="96" t="s">
        <v>651</v>
      </c>
      <c r="E13" s="28">
        <v>42225</v>
      </c>
      <c r="F13" s="52">
        <v>53850.7</v>
      </c>
      <c r="G13" s="25"/>
      <c r="H13" s="29">
        <v>42225</v>
      </c>
      <c r="I13" s="62">
        <v>0</v>
      </c>
      <c r="J13" s="82"/>
      <c r="K13" s="73" t="s">
        <v>686</v>
      </c>
      <c r="L13" s="81">
        <f>5850+1600+2500</f>
        <v>9950</v>
      </c>
      <c r="M13" s="494">
        <v>52326.5</v>
      </c>
      <c r="N13" s="450"/>
    </row>
    <row r="14" spans="1:18" x14ac:dyDescent="0.25">
      <c r="A14" s="21"/>
      <c r="B14" s="40">
        <v>42226</v>
      </c>
      <c r="C14" s="46">
        <v>967.5</v>
      </c>
      <c r="D14" s="30" t="s">
        <v>316</v>
      </c>
      <c r="E14" s="28">
        <v>42226</v>
      </c>
      <c r="F14" s="52">
        <v>35984.19</v>
      </c>
      <c r="G14" s="25"/>
      <c r="H14" s="29">
        <v>42226</v>
      </c>
      <c r="I14" s="62">
        <v>12</v>
      </c>
      <c r="J14" s="82"/>
      <c r="K14" s="646" t="s">
        <v>647</v>
      </c>
      <c r="L14" s="81">
        <v>1250</v>
      </c>
      <c r="M14" s="494">
        <v>30088</v>
      </c>
      <c r="N14" s="450"/>
    </row>
    <row r="15" spans="1:18" x14ac:dyDescent="0.25">
      <c r="A15" s="21"/>
      <c r="B15" s="40">
        <v>42227</v>
      </c>
      <c r="C15" s="46">
        <v>568</v>
      </c>
      <c r="D15" s="96" t="s">
        <v>22</v>
      </c>
      <c r="E15" s="28">
        <v>42227</v>
      </c>
      <c r="F15" s="52">
        <v>35654.07</v>
      </c>
      <c r="G15" s="25"/>
      <c r="H15" s="29">
        <v>42227</v>
      </c>
      <c r="I15" s="62">
        <v>0</v>
      </c>
      <c r="J15" s="82"/>
      <c r="K15" s="73" t="s">
        <v>57</v>
      </c>
      <c r="L15" s="81">
        <v>0</v>
      </c>
      <c r="M15" s="494">
        <v>34448.5</v>
      </c>
      <c r="N15" s="336"/>
    </row>
    <row r="16" spans="1:18" x14ac:dyDescent="0.25">
      <c r="A16" s="21"/>
      <c r="B16" s="40">
        <v>42228</v>
      </c>
      <c r="C16" s="46">
        <v>2744</v>
      </c>
      <c r="D16" s="96" t="s">
        <v>661</v>
      </c>
      <c r="E16" s="28">
        <v>42228</v>
      </c>
      <c r="F16" s="52">
        <v>44452.73</v>
      </c>
      <c r="G16" s="25"/>
      <c r="H16" s="29">
        <v>42228</v>
      </c>
      <c r="I16" s="62">
        <f>122+110</f>
        <v>232</v>
      </c>
      <c r="J16" s="82" t="s">
        <v>660</v>
      </c>
      <c r="K16" s="192" t="s">
        <v>61</v>
      </c>
      <c r="L16" s="538">
        <v>0</v>
      </c>
      <c r="M16" s="494">
        <v>40677</v>
      </c>
      <c r="N16" s="336"/>
    </row>
    <row r="17" spans="1:18" x14ac:dyDescent="0.25">
      <c r="A17" s="21"/>
      <c r="B17" s="40">
        <v>42229</v>
      </c>
      <c r="C17" s="46">
        <v>1553.65</v>
      </c>
      <c r="D17" s="30" t="s">
        <v>129</v>
      </c>
      <c r="E17" s="28">
        <v>42229</v>
      </c>
      <c r="F17" s="52">
        <v>37873.11</v>
      </c>
      <c r="G17" s="25"/>
      <c r="H17" s="29">
        <v>42229</v>
      </c>
      <c r="I17" s="62">
        <v>0</v>
      </c>
      <c r="J17" s="82"/>
      <c r="K17" s="73" t="s">
        <v>699</v>
      </c>
      <c r="L17" s="81">
        <v>2700</v>
      </c>
      <c r="M17" s="494">
        <v>36320</v>
      </c>
      <c r="N17" s="336"/>
    </row>
    <row r="18" spans="1:18" x14ac:dyDescent="0.25">
      <c r="A18" s="21"/>
      <c r="B18" s="40">
        <v>42230</v>
      </c>
      <c r="C18" s="46">
        <v>10</v>
      </c>
      <c r="D18" s="30" t="s">
        <v>672</v>
      </c>
      <c r="E18" s="28">
        <v>42230</v>
      </c>
      <c r="F18" s="52">
        <v>67979.839999999997</v>
      </c>
      <c r="G18" s="25"/>
      <c r="H18" s="29">
        <v>42230</v>
      </c>
      <c r="I18" s="62">
        <v>518.97</v>
      </c>
      <c r="J18" s="82"/>
      <c r="K18" s="165" t="s">
        <v>700</v>
      </c>
      <c r="L18" s="81">
        <v>1000</v>
      </c>
      <c r="M18" s="494">
        <v>66900</v>
      </c>
      <c r="N18" s="450"/>
      <c r="O18" s="614"/>
      <c r="P18" s="25"/>
    </row>
    <row r="19" spans="1:18" x14ac:dyDescent="0.25">
      <c r="A19" s="21"/>
      <c r="B19" s="40">
        <v>42231</v>
      </c>
      <c r="C19" s="46">
        <v>549</v>
      </c>
      <c r="D19" s="96" t="s">
        <v>83</v>
      </c>
      <c r="E19" s="28">
        <v>42231</v>
      </c>
      <c r="F19" s="52">
        <v>66489.289999999994</v>
      </c>
      <c r="G19" s="25"/>
      <c r="H19" s="29">
        <v>42231</v>
      </c>
      <c r="I19" s="62">
        <v>20</v>
      </c>
      <c r="J19" s="82" t="s">
        <v>608</v>
      </c>
      <c r="K19" s="286" t="s">
        <v>109</v>
      </c>
      <c r="L19" s="538">
        <v>0</v>
      </c>
      <c r="M19" s="494">
        <v>63220</v>
      </c>
      <c r="N19" s="450"/>
      <c r="O19" s="25"/>
      <c r="P19" s="25"/>
    </row>
    <row r="20" spans="1:18" x14ac:dyDescent="0.25">
      <c r="A20" s="21"/>
      <c r="B20" s="40">
        <v>42232</v>
      </c>
      <c r="C20" s="46">
        <v>0</v>
      </c>
      <c r="D20" s="30"/>
      <c r="E20" s="28">
        <v>42232</v>
      </c>
      <c r="F20" s="52">
        <v>59470.83</v>
      </c>
      <c r="G20" s="25"/>
      <c r="H20" s="29">
        <v>42232</v>
      </c>
      <c r="I20" s="63">
        <v>0</v>
      </c>
      <c r="J20" s="82" t="s">
        <v>609</v>
      </c>
      <c r="K20" s="486"/>
      <c r="L20" s="538">
        <v>0</v>
      </c>
      <c r="M20" s="494">
        <v>53621</v>
      </c>
      <c r="N20" s="336"/>
    </row>
    <row r="21" spans="1:18" x14ac:dyDescent="0.25">
      <c r="A21" s="21"/>
      <c r="B21" s="40">
        <v>42233</v>
      </c>
      <c r="C21" s="46">
        <v>1185.8399999999999</v>
      </c>
      <c r="D21" s="30" t="s">
        <v>366</v>
      </c>
      <c r="E21" s="28">
        <v>42233</v>
      </c>
      <c r="F21" s="52">
        <v>34004.559999999998</v>
      </c>
      <c r="G21" s="25"/>
      <c r="H21" s="29">
        <v>42233</v>
      </c>
      <c r="I21" s="63">
        <v>0</v>
      </c>
      <c r="J21" s="82"/>
      <c r="L21" s="538">
        <v>0</v>
      </c>
      <c r="M21" s="494">
        <v>32818.720000000001</v>
      </c>
      <c r="N21" s="336"/>
    </row>
    <row r="22" spans="1:18" x14ac:dyDescent="0.25">
      <c r="A22" s="21"/>
      <c r="B22" s="40">
        <v>42234</v>
      </c>
      <c r="C22" s="46">
        <v>465</v>
      </c>
      <c r="D22" s="96" t="s">
        <v>83</v>
      </c>
      <c r="E22" s="28">
        <v>42234</v>
      </c>
      <c r="F22" s="52">
        <v>39129.521000000001</v>
      </c>
      <c r="G22" s="25"/>
      <c r="H22" s="29">
        <v>42234</v>
      </c>
      <c r="I22" s="63">
        <v>0</v>
      </c>
      <c r="J22" s="149"/>
      <c r="K22" s="645" t="s">
        <v>662</v>
      </c>
      <c r="L22" s="538">
        <v>800</v>
      </c>
      <c r="M22" s="494">
        <v>38665</v>
      </c>
      <c r="N22" s="336"/>
    </row>
    <row r="23" spans="1:18" x14ac:dyDescent="0.25">
      <c r="A23" s="21"/>
      <c r="B23" s="40">
        <v>42235</v>
      </c>
      <c r="C23" s="46">
        <v>730</v>
      </c>
      <c r="D23" s="96" t="s">
        <v>242</v>
      </c>
      <c r="E23" s="28">
        <v>42235</v>
      </c>
      <c r="F23" s="52">
        <v>35066.870000000003</v>
      </c>
      <c r="G23" s="25"/>
      <c r="H23" s="29">
        <v>42235</v>
      </c>
      <c r="I23" s="63">
        <v>0</v>
      </c>
      <c r="J23" s="81" t="s">
        <v>17</v>
      </c>
      <c r="K23" s="488"/>
      <c r="L23" s="538">
        <v>0</v>
      </c>
      <c r="M23" s="494">
        <v>34337</v>
      </c>
      <c r="N23" s="336"/>
      <c r="O23" s="25"/>
      <c r="P23" s="25"/>
    </row>
    <row r="24" spans="1:18" x14ac:dyDescent="0.25">
      <c r="A24" s="21"/>
      <c r="B24" s="40">
        <v>42236</v>
      </c>
      <c r="C24" s="46">
        <v>0</v>
      </c>
      <c r="D24" s="96"/>
      <c r="E24" s="28">
        <v>42236</v>
      </c>
      <c r="F24" s="52">
        <v>37227.64</v>
      </c>
      <c r="G24" s="25"/>
      <c r="H24" s="29">
        <v>42236</v>
      </c>
      <c r="I24" s="63">
        <v>0</v>
      </c>
      <c r="J24" s="82"/>
      <c r="K24" s="624" t="s">
        <v>732</v>
      </c>
      <c r="L24" s="538">
        <v>600</v>
      </c>
      <c r="M24" s="494">
        <v>37227</v>
      </c>
      <c r="N24" s="336"/>
      <c r="O24" s="25"/>
      <c r="P24" s="25"/>
    </row>
    <row r="25" spans="1:18" x14ac:dyDescent="0.25">
      <c r="A25" s="21"/>
      <c r="B25" s="40">
        <v>42237</v>
      </c>
      <c r="C25" s="46">
        <v>998</v>
      </c>
      <c r="D25" s="30" t="s">
        <v>366</v>
      </c>
      <c r="E25" s="28">
        <v>42237</v>
      </c>
      <c r="F25" s="52">
        <v>56606.87</v>
      </c>
      <c r="G25" s="25"/>
      <c r="H25" s="29">
        <v>42237</v>
      </c>
      <c r="I25" s="63">
        <v>0</v>
      </c>
      <c r="J25" s="81"/>
      <c r="K25" s="552" t="s">
        <v>698</v>
      </c>
      <c r="L25" s="538">
        <v>2500</v>
      </c>
      <c r="M25" s="494">
        <v>53209</v>
      </c>
      <c r="N25" s="450"/>
      <c r="O25" s="25"/>
      <c r="P25" s="25"/>
    </row>
    <row r="26" spans="1:18" x14ac:dyDescent="0.25">
      <c r="A26" s="21"/>
      <c r="B26" s="40">
        <v>42238</v>
      </c>
      <c r="C26" s="46">
        <v>220</v>
      </c>
      <c r="D26" s="30" t="s">
        <v>534</v>
      </c>
      <c r="E26" s="28">
        <v>42238</v>
      </c>
      <c r="F26" s="52">
        <v>69328.3</v>
      </c>
      <c r="G26" s="25"/>
      <c r="H26" s="29">
        <v>42238</v>
      </c>
      <c r="I26" s="63">
        <v>390</v>
      </c>
      <c r="J26" s="98"/>
      <c r="K26" s="644" t="s">
        <v>682</v>
      </c>
      <c r="L26" s="538">
        <v>2400</v>
      </c>
      <c r="M26" s="494">
        <v>67718</v>
      </c>
      <c r="N26" s="450"/>
      <c r="O26" s="614"/>
      <c r="P26" s="555"/>
    </row>
    <row r="27" spans="1:18" x14ac:dyDescent="0.25">
      <c r="A27" s="21"/>
      <c r="B27" s="40">
        <v>42239</v>
      </c>
      <c r="C27" s="46">
        <v>448</v>
      </c>
      <c r="D27" s="30" t="s">
        <v>83</v>
      </c>
      <c r="E27" s="28">
        <v>42239</v>
      </c>
      <c r="F27" s="52">
        <v>61827.14</v>
      </c>
      <c r="G27" s="25"/>
      <c r="H27" s="29">
        <v>42239</v>
      </c>
      <c r="I27" s="63">
        <v>558.95000000000005</v>
      </c>
      <c r="J27" s="81"/>
      <c r="K27" s="647" t="s">
        <v>685</v>
      </c>
      <c r="L27" s="538">
        <v>2500</v>
      </c>
      <c r="M27" s="494">
        <v>54970.19</v>
      </c>
      <c r="N27" s="450"/>
      <c r="O27" s="25"/>
      <c r="P27" s="25"/>
    </row>
    <row r="28" spans="1:18" x14ac:dyDescent="0.25">
      <c r="A28" s="21"/>
      <c r="B28" s="40">
        <v>42240</v>
      </c>
      <c r="C28" s="46">
        <v>0</v>
      </c>
      <c r="D28" s="30"/>
      <c r="E28" s="28">
        <v>42240</v>
      </c>
      <c r="F28" s="52">
        <v>39261.19</v>
      </c>
      <c r="G28" s="25"/>
      <c r="H28" s="29">
        <v>42240</v>
      </c>
      <c r="I28" s="63">
        <v>0</v>
      </c>
      <c r="J28" s="81"/>
      <c r="K28" s="131"/>
      <c r="L28" s="538">
        <v>0</v>
      </c>
      <c r="M28" s="494">
        <v>39261</v>
      </c>
      <c r="N28" s="336"/>
      <c r="O28" s="25"/>
      <c r="P28" s="25"/>
    </row>
    <row r="29" spans="1:18" x14ac:dyDescent="0.25">
      <c r="A29" s="21"/>
      <c r="B29" s="40">
        <v>42241</v>
      </c>
      <c r="C29" s="46">
        <v>397.66</v>
      </c>
      <c r="D29" s="30" t="s">
        <v>22</v>
      </c>
      <c r="E29" s="28">
        <v>42241</v>
      </c>
      <c r="F29" s="52">
        <v>28812.93</v>
      </c>
      <c r="G29" s="25"/>
      <c r="H29" s="29">
        <v>42241</v>
      </c>
      <c r="I29" s="63">
        <v>0</v>
      </c>
      <c r="J29" s="81"/>
      <c r="K29" s="132"/>
      <c r="L29" s="639">
        <v>0</v>
      </c>
      <c r="M29" s="494">
        <v>28415</v>
      </c>
      <c r="N29" s="336"/>
      <c r="O29" s="25"/>
      <c r="P29" s="25"/>
      <c r="Q29" s="25"/>
    </row>
    <row r="30" spans="1:18" ht="15.75" thickBot="1" x14ac:dyDescent="0.3">
      <c r="A30" s="21"/>
      <c r="B30" s="40">
        <v>42242</v>
      </c>
      <c r="C30" s="46">
        <v>896</v>
      </c>
      <c r="D30" s="30" t="s">
        <v>683</v>
      </c>
      <c r="E30" s="28">
        <v>42242</v>
      </c>
      <c r="F30" s="52">
        <v>23951.54</v>
      </c>
      <c r="G30" s="25"/>
      <c r="H30" s="29">
        <v>42242</v>
      </c>
      <c r="I30" s="63">
        <v>420</v>
      </c>
      <c r="J30" s="98"/>
      <c r="K30" s="131"/>
      <c r="L30" s="639">
        <v>0</v>
      </c>
      <c r="M30" s="494">
        <v>22635.5</v>
      </c>
      <c r="N30" s="336"/>
      <c r="O30" s="25"/>
      <c r="P30" s="25"/>
      <c r="Q30" s="25"/>
    </row>
    <row r="31" spans="1:18" x14ac:dyDescent="0.25">
      <c r="A31" s="21"/>
      <c r="B31" s="40">
        <v>42243</v>
      </c>
      <c r="C31" s="658">
        <v>1516.54</v>
      </c>
      <c r="D31" s="30" t="s">
        <v>684</v>
      </c>
      <c r="E31" s="28">
        <v>42243</v>
      </c>
      <c r="F31" s="52">
        <v>29122.04</v>
      </c>
      <c r="G31" s="25"/>
      <c r="H31" s="29">
        <v>42243</v>
      </c>
      <c r="I31" s="63">
        <v>125</v>
      </c>
      <c r="J31" s="82"/>
      <c r="K31" s="552"/>
      <c r="L31" s="816">
        <v>0</v>
      </c>
      <c r="M31" s="494">
        <v>24980.5</v>
      </c>
      <c r="N31" s="656" t="s">
        <v>696</v>
      </c>
      <c r="O31" s="657"/>
      <c r="P31" s="657"/>
      <c r="Q31" s="640"/>
      <c r="R31" s="638"/>
    </row>
    <row r="32" spans="1:18" ht="15.75" thickBot="1" x14ac:dyDescent="0.3">
      <c r="A32" s="21"/>
      <c r="B32" s="40">
        <v>42244</v>
      </c>
      <c r="C32" s="46">
        <v>370</v>
      </c>
      <c r="D32" s="30" t="s">
        <v>83</v>
      </c>
      <c r="E32" s="28">
        <v>42244</v>
      </c>
      <c r="F32" s="52">
        <v>62765</v>
      </c>
      <c r="G32" s="25"/>
      <c r="H32" s="29">
        <v>42244</v>
      </c>
      <c r="I32" s="63">
        <v>0</v>
      </c>
      <c r="J32" s="81"/>
      <c r="K32" s="489"/>
      <c r="L32" s="817"/>
      <c r="M32" s="494">
        <v>62395</v>
      </c>
      <c r="N32" s="336"/>
      <c r="Q32" s="25"/>
    </row>
    <row r="33" spans="1:17" x14ac:dyDescent="0.25">
      <c r="A33" s="21"/>
      <c r="B33" s="40">
        <v>42245</v>
      </c>
      <c r="C33" s="46">
        <v>3670</v>
      </c>
      <c r="D33" s="96" t="s">
        <v>242</v>
      </c>
      <c r="E33" s="28">
        <v>42245</v>
      </c>
      <c r="F33" s="52">
        <v>64326.12</v>
      </c>
      <c r="G33" s="25"/>
      <c r="H33" s="29">
        <v>42245</v>
      </c>
      <c r="I33" s="63">
        <v>110</v>
      </c>
      <c r="J33" s="81"/>
      <c r="K33" s="553"/>
      <c r="L33" s="814">
        <v>0</v>
      </c>
      <c r="M33" s="494">
        <v>60546</v>
      </c>
      <c r="N33" s="687">
        <v>12000</v>
      </c>
      <c r="O33" s="688" t="s">
        <v>695</v>
      </c>
      <c r="P33" s="689"/>
      <c r="Q33" s="641"/>
    </row>
    <row r="34" spans="1:17" ht="15.75" thickBot="1" x14ac:dyDescent="0.3">
      <c r="A34" s="21"/>
      <c r="B34" s="40">
        <v>42246</v>
      </c>
      <c r="C34" s="46">
        <v>1635</v>
      </c>
      <c r="D34" s="30" t="s">
        <v>687</v>
      </c>
      <c r="E34" s="28">
        <v>42246</v>
      </c>
      <c r="F34" s="52">
        <v>63607.4</v>
      </c>
      <c r="G34" s="25"/>
      <c r="H34" s="29">
        <v>42246</v>
      </c>
      <c r="I34" s="63">
        <v>400</v>
      </c>
      <c r="J34" s="81"/>
      <c r="K34" s="554"/>
      <c r="L34" s="815"/>
      <c r="M34" s="494">
        <v>55725</v>
      </c>
      <c r="N34" s="450"/>
      <c r="Q34" s="25"/>
    </row>
    <row r="35" spans="1:17" ht="15.75" thickBot="1" x14ac:dyDescent="0.3">
      <c r="A35" s="21"/>
      <c r="B35" s="40">
        <v>42247</v>
      </c>
      <c r="C35" s="46">
        <v>0</v>
      </c>
      <c r="D35" s="96"/>
      <c r="E35" s="28">
        <v>42247</v>
      </c>
      <c r="F35" s="52">
        <v>32635.200000000001</v>
      </c>
      <c r="G35" s="25"/>
      <c r="H35" s="29">
        <v>42247</v>
      </c>
      <c r="I35" s="63">
        <v>0</v>
      </c>
      <c r="J35" s="81" t="s">
        <v>628</v>
      </c>
      <c r="K35" s="488"/>
      <c r="L35" s="68">
        <v>0</v>
      </c>
      <c r="M35" s="116">
        <v>0</v>
      </c>
      <c r="Q35" s="25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4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11">
        <f>SUM(M5:M36)</f>
        <v>1361370.41</v>
      </c>
      <c r="Q37" s="25"/>
    </row>
    <row r="38" spans="1:17" x14ac:dyDescent="0.25">
      <c r="B38" s="43" t="s">
        <v>1</v>
      </c>
      <c r="C38" s="49">
        <f>SUM(C5:C37)</f>
        <v>25656.750000000004</v>
      </c>
      <c r="E38" s="607" t="s">
        <v>1</v>
      </c>
      <c r="F38" s="55">
        <f>SUM(F5:F37)</f>
        <v>1468792.1409999998</v>
      </c>
      <c r="H38" s="609" t="s">
        <v>1</v>
      </c>
      <c r="I38" s="59">
        <f>SUM(I5:I37)</f>
        <v>7695.92</v>
      </c>
      <c r="J38" s="59"/>
      <c r="K38" s="18" t="s">
        <v>1</v>
      </c>
      <c r="L38" s="4">
        <f>SUM(L5:L37)</f>
        <v>90129.709999999992</v>
      </c>
    </row>
    <row r="40" spans="1:17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608"/>
      <c r="K40" s="767">
        <f>I38+L38</f>
        <v>97825.62999999999</v>
      </c>
      <c r="L40" s="768"/>
    </row>
    <row r="41" spans="1:17" ht="15.75" x14ac:dyDescent="0.25">
      <c r="B41" s="281"/>
      <c r="C41" s="56"/>
      <c r="D41" s="759" t="s">
        <v>12</v>
      </c>
      <c r="E41" s="759"/>
      <c r="F41" s="57">
        <f>F38-K40</f>
        <v>1370966.5109999999</v>
      </c>
      <c r="I41" s="66"/>
      <c r="J41" s="66"/>
    </row>
    <row r="42" spans="1:17" ht="15.75" x14ac:dyDescent="0.25">
      <c r="D42" s="785" t="s">
        <v>246</v>
      </c>
      <c r="E42" s="785"/>
      <c r="F42" s="57">
        <v>-1239378.92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-25656.750000000004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105930.84100000001</v>
      </c>
      <c r="I44" s="793" t="s">
        <v>248</v>
      </c>
      <c r="J44" s="794"/>
      <c r="K44" s="783">
        <f>F48+L46</f>
        <v>245862.28100000002</v>
      </c>
      <c r="L44" s="775"/>
    </row>
    <row r="45" spans="1:17" ht="15.75" thickBot="1" x14ac:dyDescent="0.3">
      <c r="D45" s="265" t="s">
        <v>253</v>
      </c>
      <c r="E45" s="5" t="s">
        <v>247</v>
      </c>
      <c r="F45" s="59">
        <v>27065</v>
      </c>
      <c r="I45" s="795"/>
      <c r="J45" s="796"/>
      <c r="K45" s="784"/>
      <c r="L45" s="776"/>
    </row>
    <row r="46" spans="1:17" ht="17.25" thickTop="1" thickBot="1" x14ac:dyDescent="0.3">
      <c r="C46" s="55"/>
      <c r="D46" s="758" t="s">
        <v>13</v>
      </c>
      <c r="E46" s="758"/>
      <c r="F46" s="60">
        <v>112866.44</v>
      </c>
      <c r="I46" s="770"/>
      <c r="J46" s="770"/>
      <c r="K46" s="792"/>
      <c r="L46" s="34"/>
    </row>
    <row r="47" spans="1:17" ht="19.5" thickBot="1" x14ac:dyDescent="0.35">
      <c r="C47" s="55"/>
      <c r="D47" s="607"/>
      <c r="E47" s="607"/>
      <c r="F47" s="139"/>
      <c r="H47" s="19"/>
      <c r="I47" s="610" t="s">
        <v>254</v>
      </c>
      <c r="J47" s="610"/>
      <c r="K47" s="786">
        <v>-192887.04000000001</v>
      </c>
      <c r="L47" s="787"/>
    </row>
    <row r="48" spans="1:17" ht="17.25" thickTop="1" thickBot="1" x14ac:dyDescent="0.3">
      <c r="E48" s="6" t="s">
        <v>16</v>
      </c>
      <c r="F48" s="264">
        <f>F44+F45+F46</f>
        <v>245862.28100000002</v>
      </c>
    </row>
    <row r="49" spans="2:14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K44+K47</f>
        <v>52975.241000000009</v>
      </c>
      <c r="L49" s="78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L33:L34"/>
    <mergeCell ref="C1:K1"/>
    <mergeCell ref="E4:F4"/>
    <mergeCell ref="I4:L4"/>
    <mergeCell ref="L31:L32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6"/>
  <sheetViews>
    <sheetView topLeftCell="A22" workbookViewId="0">
      <selection activeCell="E31" sqref="E31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24" bestFit="1" customWidth="1"/>
    <col min="13" max="13" width="20.140625" bestFit="1" customWidth="1"/>
  </cols>
  <sheetData>
    <row r="1" spans="1:15" ht="19.5" thickBot="1" x14ac:dyDescent="0.35">
      <c r="B1" s="621" t="s">
        <v>630</v>
      </c>
      <c r="C1" s="622"/>
      <c r="D1" s="584"/>
      <c r="E1" s="622"/>
      <c r="J1" s="474" t="s">
        <v>205</v>
      </c>
      <c r="K1" s="204"/>
      <c r="L1" s="613"/>
      <c r="M1" s="425">
        <v>42228</v>
      </c>
      <c r="N1" s="276"/>
    </row>
    <row r="2" spans="1:15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42217</v>
      </c>
      <c r="B3" s="412" t="s">
        <v>631</v>
      </c>
      <c r="C3" s="450">
        <v>67672.399999999994</v>
      </c>
      <c r="D3" s="534">
        <v>42228</v>
      </c>
      <c r="E3" s="450">
        <v>67672.399999999994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42219</v>
      </c>
      <c r="B4" s="483" t="s">
        <v>632</v>
      </c>
      <c r="C4" s="450">
        <v>6669.8</v>
      </c>
      <c r="D4" s="534">
        <v>42228</v>
      </c>
      <c r="E4" s="450">
        <v>6669.8</v>
      </c>
      <c r="F4" s="296">
        <f t="shared" si="0"/>
        <v>0</v>
      </c>
      <c r="I4" s="561" t="s">
        <v>626</v>
      </c>
      <c r="J4" s="216">
        <v>7992.7</v>
      </c>
      <c r="K4" s="216"/>
      <c r="L4" s="331" t="s">
        <v>652</v>
      </c>
      <c r="M4" s="522">
        <v>39545</v>
      </c>
      <c r="N4" s="523">
        <v>42214</v>
      </c>
      <c r="O4" s="21">
        <v>42208</v>
      </c>
    </row>
    <row r="5" spans="1:15" ht="15.75" x14ac:dyDescent="0.25">
      <c r="A5" s="249">
        <v>42220</v>
      </c>
      <c r="B5" s="483" t="s">
        <v>633</v>
      </c>
      <c r="C5" s="450">
        <v>26831.5</v>
      </c>
      <c r="D5" s="534">
        <v>42228</v>
      </c>
      <c r="E5" s="450">
        <v>26831.5</v>
      </c>
      <c r="F5" s="296">
        <f t="shared" si="0"/>
        <v>0</v>
      </c>
      <c r="H5" s="625">
        <v>74907</v>
      </c>
      <c r="I5" s="344" t="s">
        <v>631</v>
      </c>
      <c r="J5" s="81">
        <v>67672.399999999994</v>
      </c>
      <c r="K5" s="234"/>
      <c r="L5" s="331" t="s">
        <v>652</v>
      </c>
      <c r="M5" s="522">
        <v>26484</v>
      </c>
      <c r="N5" s="523">
        <v>42221</v>
      </c>
      <c r="O5" s="21">
        <v>42214</v>
      </c>
    </row>
    <row r="6" spans="1:15" ht="15.75" x14ac:dyDescent="0.25">
      <c r="A6" s="249">
        <v>42220</v>
      </c>
      <c r="B6" s="483" t="s">
        <v>634</v>
      </c>
      <c r="C6" s="450">
        <v>81636.52</v>
      </c>
      <c r="D6" s="534">
        <v>42228</v>
      </c>
      <c r="E6" s="450">
        <v>81636.52</v>
      </c>
      <c r="F6" s="296">
        <f>C6-E6</f>
        <v>0</v>
      </c>
      <c r="I6" s="344" t="s">
        <v>632</v>
      </c>
      <c r="J6" s="81">
        <v>6669.8</v>
      </c>
      <c r="K6" s="234"/>
      <c r="L6" s="331" t="s">
        <v>652</v>
      </c>
      <c r="M6" s="521">
        <v>29560.5</v>
      </c>
      <c r="N6" s="525">
        <v>42221</v>
      </c>
      <c r="O6" s="21">
        <v>42215</v>
      </c>
    </row>
    <row r="7" spans="1:15" ht="15.75" x14ac:dyDescent="0.25">
      <c r="A7" s="249">
        <v>42221</v>
      </c>
      <c r="B7" s="483" t="s">
        <v>635</v>
      </c>
      <c r="C7" s="450">
        <v>19313.599999999999</v>
      </c>
      <c r="D7" s="534">
        <v>42228</v>
      </c>
      <c r="E7" s="450">
        <v>19313.599999999999</v>
      </c>
      <c r="F7" s="296">
        <f t="shared" si="0"/>
        <v>0</v>
      </c>
      <c r="I7" s="344" t="s">
        <v>633</v>
      </c>
      <c r="J7" s="81">
        <v>26831.5</v>
      </c>
      <c r="K7" s="234"/>
      <c r="L7" s="331" t="s">
        <v>652</v>
      </c>
      <c r="M7" s="522">
        <v>36280</v>
      </c>
      <c r="N7" s="523">
        <v>42221</v>
      </c>
      <c r="O7" s="21">
        <v>42216</v>
      </c>
    </row>
    <row r="8" spans="1:15" ht="15.75" x14ac:dyDescent="0.25">
      <c r="A8" s="249">
        <v>42222</v>
      </c>
      <c r="B8" s="483" t="s">
        <v>636</v>
      </c>
      <c r="C8" s="450">
        <v>4167.3999999999996</v>
      </c>
      <c r="D8" s="534">
        <v>42228</v>
      </c>
      <c r="E8" s="450">
        <v>4167.3999999999996</v>
      </c>
      <c r="F8" s="296">
        <f t="shared" si="0"/>
        <v>0</v>
      </c>
      <c r="I8" s="344" t="s">
        <v>634</v>
      </c>
      <c r="J8" s="81">
        <v>81636.52</v>
      </c>
      <c r="K8" s="234"/>
      <c r="L8" s="331" t="s">
        <v>652</v>
      </c>
      <c r="M8" s="522">
        <v>60894</v>
      </c>
      <c r="N8" s="523">
        <v>42221</v>
      </c>
      <c r="O8" s="21">
        <v>42217</v>
      </c>
    </row>
    <row r="9" spans="1:15" ht="15.75" x14ac:dyDescent="0.25">
      <c r="A9" s="249">
        <v>42222</v>
      </c>
      <c r="B9" s="483" t="s">
        <v>637</v>
      </c>
      <c r="C9" s="81">
        <v>11370.56</v>
      </c>
      <c r="D9" s="534">
        <v>42228</v>
      </c>
      <c r="E9" s="81">
        <v>11370.56</v>
      </c>
      <c r="F9" s="296">
        <f t="shared" si="0"/>
        <v>0</v>
      </c>
      <c r="I9" s="344" t="s">
        <v>635</v>
      </c>
      <c r="J9" s="81">
        <v>19313.599999999999</v>
      </c>
      <c r="K9" s="235"/>
      <c r="L9" s="331" t="s">
        <v>652</v>
      </c>
      <c r="M9" s="521">
        <v>60874.5</v>
      </c>
      <c r="N9" s="525">
        <v>42221</v>
      </c>
      <c r="O9" s="21">
        <v>42218</v>
      </c>
    </row>
    <row r="10" spans="1:15" ht="15.75" x14ac:dyDescent="0.25">
      <c r="A10" s="249">
        <v>42224</v>
      </c>
      <c r="B10" s="344" t="s">
        <v>638</v>
      </c>
      <c r="C10" s="81">
        <v>98464.320000000007</v>
      </c>
      <c r="D10" s="534">
        <v>42228</v>
      </c>
      <c r="E10" s="81">
        <v>98464.320000000007</v>
      </c>
      <c r="F10" s="296">
        <f t="shared" si="0"/>
        <v>0</v>
      </c>
      <c r="I10" s="344" t="s">
        <v>636</v>
      </c>
      <c r="J10" s="81">
        <v>4167.3999999999996</v>
      </c>
      <c r="K10" s="230"/>
      <c r="L10" s="331" t="s">
        <v>652</v>
      </c>
      <c r="M10" s="522">
        <v>33550</v>
      </c>
      <c r="N10" s="523">
        <v>42221</v>
      </c>
      <c r="O10" s="21">
        <v>42219</v>
      </c>
    </row>
    <row r="11" spans="1:15" ht="15.75" x14ac:dyDescent="0.25">
      <c r="A11" s="249">
        <v>42223</v>
      </c>
      <c r="B11" s="344" t="s">
        <v>654</v>
      </c>
      <c r="C11" s="81">
        <v>5132.96</v>
      </c>
      <c r="D11" s="534">
        <v>42228</v>
      </c>
      <c r="E11" s="81">
        <v>5132.96</v>
      </c>
      <c r="F11" s="297">
        <f t="shared" si="0"/>
        <v>0</v>
      </c>
      <c r="I11" s="344" t="s">
        <v>637</v>
      </c>
      <c r="J11" s="81">
        <v>11370.56</v>
      </c>
      <c r="K11" s="230"/>
      <c r="L11" s="331" t="s">
        <v>652</v>
      </c>
      <c r="M11" s="521">
        <v>22322</v>
      </c>
      <c r="N11" s="525">
        <v>42221</v>
      </c>
      <c r="O11" s="21">
        <v>42220</v>
      </c>
    </row>
    <row r="12" spans="1:15" ht="15.75" x14ac:dyDescent="0.25">
      <c r="A12" s="249">
        <v>42225</v>
      </c>
      <c r="B12" s="344" t="s">
        <v>655</v>
      </c>
      <c r="C12" s="81">
        <v>21628.3</v>
      </c>
      <c r="D12" s="617" t="s">
        <v>675</v>
      </c>
      <c r="E12" s="81">
        <f>18616.24+3012.06</f>
        <v>21628.300000000003</v>
      </c>
      <c r="F12" s="297">
        <f t="shared" si="0"/>
        <v>0</v>
      </c>
      <c r="I12" s="344" t="s">
        <v>638</v>
      </c>
      <c r="J12" s="81">
        <v>98464.320000000007</v>
      </c>
      <c r="K12" s="416"/>
      <c r="L12" s="331" t="s">
        <v>652</v>
      </c>
      <c r="M12" s="522">
        <v>38358</v>
      </c>
      <c r="N12" s="523">
        <v>42222</v>
      </c>
      <c r="O12" s="21">
        <v>42221</v>
      </c>
    </row>
    <row r="13" spans="1:15" ht="15.75" x14ac:dyDescent="0.25">
      <c r="A13" s="359">
        <v>42227</v>
      </c>
      <c r="B13" s="344" t="s">
        <v>656</v>
      </c>
      <c r="C13" s="81">
        <v>126877.4</v>
      </c>
      <c r="D13" s="534">
        <v>42242</v>
      </c>
      <c r="E13" s="81">
        <v>126877.4</v>
      </c>
      <c r="F13" s="297">
        <f>C13-E13</f>
        <v>0</v>
      </c>
      <c r="I13" s="626" t="s">
        <v>654</v>
      </c>
      <c r="J13" s="432">
        <v>5132.96</v>
      </c>
      <c r="K13" s="459"/>
      <c r="L13" s="331" t="s">
        <v>652</v>
      </c>
      <c r="M13" s="528"/>
      <c r="N13" s="527"/>
    </row>
    <row r="14" spans="1:15" ht="15.75" x14ac:dyDescent="0.25">
      <c r="A14" s="359">
        <v>42229</v>
      </c>
      <c r="B14" s="496" t="s">
        <v>663</v>
      </c>
      <c r="C14" s="450">
        <v>24040.9</v>
      </c>
      <c r="D14" s="534">
        <v>42242</v>
      </c>
      <c r="E14" s="450">
        <v>24040.9</v>
      </c>
      <c r="F14" s="297">
        <f t="shared" si="0"/>
        <v>0</v>
      </c>
      <c r="I14" s="627" t="s">
        <v>655</v>
      </c>
      <c r="J14" s="324">
        <v>18616.240000000002</v>
      </c>
      <c r="K14" s="230"/>
      <c r="L14" s="331" t="s">
        <v>652</v>
      </c>
      <c r="M14" s="230"/>
      <c r="N14" s="230"/>
    </row>
    <row r="15" spans="1:15" ht="15.75" x14ac:dyDescent="0.25">
      <c r="A15" s="343">
        <v>42230</v>
      </c>
      <c r="B15" s="344" t="s">
        <v>657</v>
      </c>
      <c r="C15" s="81">
        <v>110494.27</v>
      </c>
      <c r="D15" s="534">
        <v>42242</v>
      </c>
      <c r="E15" s="81">
        <v>110494.27</v>
      </c>
      <c r="F15" s="297">
        <f t="shared" si="0"/>
        <v>0</v>
      </c>
      <c r="I15" s="329"/>
      <c r="J15" s="230"/>
      <c r="K15" s="230"/>
      <c r="L15" s="230"/>
      <c r="M15" s="230"/>
      <c r="N15" s="230"/>
    </row>
    <row r="16" spans="1:15" ht="15.75" x14ac:dyDescent="0.25">
      <c r="A16" s="343">
        <v>42231</v>
      </c>
      <c r="B16" s="496" t="s">
        <v>664</v>
      </c>
      <c r="C16" s="450">
        <v>53622.3</v>
      </c>
      <c r="D16" s="534">
        <v>42242</v>
      </c>
      <c r="E16" s="450">
        <v>53622.3</v>
      </c>
      <c r="F16" s="297">
        <f t="shared" si="0"/>
        <v>0</v>
      </c>
      <c r="I16" s="329"/>
      <c r="J16" s="332"/>
      <c r="K16" s="220"/>
      <c r="L16" s="217"/>
      <c r="M16" s="332"/>
      <c r="N16" s="334"/>
    </row>
    <row r="17" spans="1:15" ht="16.5" thickBot="1" x14ac:dyDescent="0.3">
      <c r="A17" s="343">
        <v>42232</v>
      </c>
      <c r="B17" s="496" t="s">
        <v>658</v>
      </c>
      <c r="C17" s="450">
        <v>2618.8000000000002</v>
      </c>
      <c r="D17" s="534">
        <v>42242</v>
      </c>
      <c r="E17" s="450">
        <v>2618.8000000000002</v>
      </c>
      <c r="F17" s="297">
        <f t="shared" si="0"/>
        <v>0</v>
      </c>
      <c r="I17" s="361"/>
      <c r="J17" s="226">
        <v>0</v>
      </c>
      <c r="K17" s="226"/>
      <c r="L17" s="227"/>
      <c r="M17" s="121">
        <v>0</v>
      </c>
      <c r="N17" s="520"/>
    </row>
    <row r="18" spans="1:15" ht="16.5" thickTop="1" x14ac:dyDescent="0.25">
      <c r="A18" s="343">
        <v>42233</v>
      </c>
      <c r="B18" s="496" t="s">
        <v>659</v>
      </c>
      <c r="C18" s="450">
        <v>6285.76</v>
      </c>
      <c r="D18" s="534">
        <v>42242</v>
      </c>
      <c r="E18" s="450">
        <v>6285.76</v>
      </c>
      <c r="F18" s="297">
        <f t="shared" si="0"/>
        <v>0</v>
      </c>
      <c r="I18" s="361"/>
      <c r="J18" s="419">
        <f>SUM(J4:J17)</f>
        <v>347868</v>
      </c>
      <c r="K18" s="208"/>
      <c r="L18" s="206"/>
      <c r="M18" s="419">
        <f>SUM(M4:M17)</f>
        <v>347868</v>
      </c>
      <c r="N18" s="276"/>
    </row>
    <row r="19" spans="1:15" ht="15.75" x14ac:dyDescent="0.25">
      <c r="A19" s="343">
        <v>42234</v>
      </c>
      <c r="B19" s="496" t="s">
        <v>665</v>
      </c>
      <c r="C19" s="450">
        <v>91728.5</v>
      </c>
      <c r="D19" s="534">
        <v>42242</v>
      </c>
      <c r="E19" s="450">
        <v>91728.5</v>
      </c>
      <c r="F19" s="297">
        <f t="shared" si="0"/>
        <v>0</v>
      </c>
      <c r="I19" s="361"/>
      <c r="J19" s="419"/>
      <c r="K19" s="208"/>
      <c r="L19" s="206"/>
      <c r="M19" s="419"/>
      <c r="N19" s="276"/>
    </row>
    <row r="20" spans="1:15" ht="15.75" x14ac:dyDescent="0.25">
      <c r="A20" s="343">
        <v>42235</v>
      </c>
      <c r="B20" s="496" t="s">
        <v>666</v>
      </c>
      <c r="C20" s="450">
        <v>30739</v>
      </c>
      <c r="D20" s="534">
        <v>42242</v>
      </c>
      <c r="E20" s="450">
        <v>30739</v>
      </c>
      <c r="F20" s="297">
        <f t="shared" si="0"/>
        <v>0</v>
      </c>
      <c r="I20" s="361"/>
      <c r="J20" s="419"/>
      <c r="K20" s="208"/>
      <c r="L20" s="206"/>
      <c r="M20" s="419"/>
      <c r="N20" s="276"/>
    </row>
    <row r="21" spans="1:15" ht="16.5" thickBot="1" x14ac:dyDescent="0.3">
      <c r="A21" s="343">
        <v>42237</v>
      </c>
      <c r="B21" s="496" t="s">
        <v>667</v>
      </c>
      <c r="C21" s="450">
        <v>10320.6</v>
      </c>
      <c r="D21" s="534">
        <v>42242</v>
      </c>
      <c r="E21" s="450">
        <v>10320.6</v>
      </c>
      <c r="F21" s="297">
        <f t="shared" si="0"/>
        <v>0</v>
      </c>
      <c r="I21" s="361"/>
      <c r="J21" s="419"/>
      <c r="K21" s="208"/>
      <c r="L21" s="206"/>
      <c r="M21" s="419"/>
      <c r="N21" s="276"/>
    </row>
    <row r="22" spans="1:15" ht="19.5" thickBot="1" x14ac:dyDescent="0.35">
      <c r="A22" s="343">
        <v>42238</v>
      </c>
      <c r="B22" s="496" t="s">
        <v>668</v>
      </c>
      <c r="C22" s="450">
        <v>50039.9</v>
      </c>
      <c r="D22" s="534">
        <v>42242</v>
      </c>
      <c r="E22" s="450">
        <v>50039.9</v>
      </c>
      <c r="F22" s="297">
        <f t="shared" si="0"/>
        <v>0</v>
      </c>
      <c r="J22" s="474" t="s">
        <v>205</v>
      </c>
      <c r="K22" s="204"/>
      <c r="L22" s="628"/>
      <c r="M22" s="601">
        <v>42242</v>
      </c>
      <c r="N22" s="276"/>
    </row>
    <row r="23" spans="1:15" ht="15.75" x14ac:dyDescent="0.25">
      <c r="A23" s="343">
        <v>42238</v>
      </c>
      <c r="B23" s="496" t="s">
        <v>669</v>
      </c>
      <c r="C23" s="450">
        <v>64479.15</v>
      </c>
      <c r="D23" s="534">
        <v>42242</v>
      </c>
      <c r="E23" s="450">
        <v>64479.15</v>
      </c>
      <c r="F23" s="297">
        <f t="shared" si="0"/>
        <v>0</v>
      </c>
      <c r="I23" s="205"/>
      <c r="J23" s="419"/>
      <c r="K23" s="205"/>
      <c r="L23" s="206"/>
      <c r="M23" s="419"/>
      <c r="N23" s="519"/>
    </row>
    <row r="24" spans="1:15" ht="15.75" x14ac:dyDescent="0.25">
      <c r="A24" s="343">
        <v>42239</v>
      </c>
      <c r="B24" s="496" t="s">
        <v>670</v>
      </c>
      <c r="C24" s="450">
        <v>4825</v>
      </c>
      <c r="D24" s="534">
        <v>42242</v>
      </c>
      <c r="E24" s="450">
        <v>4825</v>
      </c>
      <c r="F24" s="297">
        <f t="shared" si="0"/>
        <v>0</v>
      </c>
      <c r="I24" s="212" t="s">
        <v>202</v>
      </c>
      <c r="J24" s="419" t="s">
        <v>195</v>
      </c>
      <c r="K24" s="205"/>
      <c r="L24" s="206" t="s">
        <v>203</v>
      </c>
      <c r="M24" s="419" t="s">
        <v>204</v>
      </c>
      <c r="N24" s="519"/>
    </row>
    <row r="25" spans="1:15" ht="15.75" x14ac:dyDescent="0.25">
      <c r="A25" s="343">
        <v>42240</v>
      </c>
      <c r="B25" s="496" t="s">
        <v>671</v>
      </c>
      <c r="C25" s="450">
        <v>81274.66</v>
      </c>
      <c r="D25" s="562" t="s">
        <v>681</v>
      </c>
      <c r="E25" s="369">
        <f>59195.49+22079.17</f>
        <v>81274.66</v>
      </c>
      <c r="F25" s="297">
        <f t="shared" si="0"/>
        <v>0</v>
      </c>
      <c r="I25" s="561" t="s">
        <v>655</v>
      </c>
      <c r="J25" s="216">
        <v>3012.06</v>
      </c>
      <c r="K25" s="216"/>
      <c r="L25" s="331" t="s">
        <v>674</v>
      </c>
      <c r="M25" s="522">
        <v>35841</v>
      </c>
      <c r="N25" s="523">
        <v>42223</v>
      </c>
      <c r="O25" s="21">
        <v>42222</v>
      </c>
    </row>
    <row r="26" spans="1:15" ht="15.75" x14ac:dyDescent="0.25">
      <c r="A26" s="343">
        <v>42242</v>
      </c>
      <c r="B26" s="496" t="s">
        <v>676</v>
      </c>
      <c r="C26" s="450">
        <v>4679.3999999999996</v>
      </c>
      <c r="D26" s="562">
        <v>42248</v>
      </c>
      <c r="E26" s="369">
        <v>4679.3999999999996</v>
      </c>
      <c r="F26" s="297">
        <f t="shared" si="0"/>
        <v>0</v>
      </c>
      <c r="I26" s="344" t="s">
        <v>656</v>
      </c>
      <c r="J26" s="81">
        <v>126877.4</v>
      </c>
      <c r="K26" s="234"/>
      <c r="L26" s="331" t="s">
        <v>674</v>
      </c>
      <c r="M26" s="522">
        <v>58077</v>
      </c>
      <c r="N26" s="523">
        <v>42226</v>
      </c>
      <c r="O26" s="21">
        <v>42223</v>
      </c>
    </row>
    <row r="27" spans="1:15" ht="15.75" x14ac:dyDescent="0.25">
      <c r="A27" s="343">
        <v>42243</v>
      </c>
      <c r="B27" s="496" t="s">
        <v>677</v>
      </c>
      <c r="C27" s="450">
        <v>94413.92</v>
      </c>
      <c r="D27" s="562">
        <v>42248</v>
      </c>
      <c r="E27" s="369">
        <v>94413.92</v>
      </c>
      <c r="F27" s="297">
        <f t="shared" si="0"/>
        <v>0</v>
      </c>
      <c r="I27" s="496" t="s">
        <v>663</v>
      </c>
      <c r="J27" s="450">
        <v>24040.9</v>
      </c>
      <c r="K27" s="234"/>
      <c r="L27" s="331" t="s">
        <v>674</v>
      </c>
      <c r="M27" s="521">
        <v>60950</v>
      </c>
      <c r="N27" s="525">
        <v>42226</v>
      </c>
      <c r="O27" s="21">
        <v>42224</v>
      </c>
    </row>
    <row r="28" spans="1:15" ht="15.75" x14ac:dyDescent="0.25">
      <c r="A28" s="343">
        <v>42244</v>
      </c>
      <c r="B28" s="496" t="s">
        <v>678</v>
      </c>
      <c r="C28" s="450">
        <v>31110</v>
      </c>
      <c r="D28" s="562">
        <v>42248</v>
      </c>
      <c r="E28" s="369">
        <v>31110</v>
      </c>
      <c r="F28" s="297">
        <f t="shared" si="0"/>
        <v>0</v>
      </c>
      <c r="I28" s="344" t="s">
        <v>657</v>
      </c>
      <c r="J28" s="81">
        <v>110494.27</v>
      </c>
      <c r="K28" s="234"/>
      <c r="L28" s="331" t="s">
        <v>674</v>
      </c>
      <c r="M28" s="522">
        <v>52326.5</v>
      </c>
      <c r="N28" s="523">
        <v>42226</v>
      </c>
      <c r="O28" s="21">
        <v>42225</v>
      </c>
    </row>
    <row r="29" spans="1:15" ht="15.75" x14ac:dyDescent="0.25">
      <c r="A29" s="343">
        <v>42237</v>
      </c>
      <c r="B29" s="496" t="s">
        <v>692</v>
      </c>
      <c r="C29" s="81">
        <v>14235.6</v>
      </c>
      <c r="D29" s="480">
        <v>42264</v>
      </c>
      <c r="E29" s="366">
        <v>14235.6</v>
      </c>
      <c r="F29" s="297">
        <f>C29-E29</f>
        <v>0</v>
      </c>
      <c r="I29" s="496" t="s">
        <v>664</v>
      </c>
      <c r="J29" s="450">
        <v>53622.3</v>
      </c>
      <c r="K29" s="234"/>
      <c r="L29" s="331" t="s">
        <v>674</v>
      </c>
      <c r="M29" s="522">
        <v>30088</v>
      </c>
      <c r="N29" s="523">
        <v>42227</v>
      </c>
      <c r="O29" s="21">
        <v>42226</v>
      </c>
    </row>
    <row r="30" spans="1:15" ht="15.75" x14ac:dyDescent="0.25">
      <c r="A30" s="545">
        <v>42243</v>
      </c>
      <c r="B30" s="496" t="s">
        <v>693</v>
      </c>
      <c r="C30" s="450">
        <v>12313</v>
      </c>
      <c r="D30" s="564">
        <v>42264</v>
      </c>
      <c r="E30" s="369">
        <v>12313</v>
      </c>
      <c r="F30" s="297">
        <f>C30-E30</f>
        <v>0</v>
      </c>
      <c r="I30" s="496" t="s">
        <v>658</v>
      </c>
      <c r="J30" s="450">
        <v>2618.8000000000002</v>
      </c>
      <c r="K30" s="235"/>
      <c r="L30" s="331" t="s">
        <v>674</v>
      </c>
      <c r="M30" s="521">
        <v>34448.5</v>
      </c>
      <c r="N30" s="525">
        <v>42229</v>
      </c>
      <c r="O30" s="21">
        <v>42227</v>
      </c>
    </row>
    <row r="31" spans="1:15" ht="15.75" x14ac:dyDescent="0.25">
      <c r="A31" s="343">
        <v>42245</v>
      </c>
      <c r="B31" s="496" t="s">
        <v>679</v>
      </c>
      <c r="C31" s="81">
        <v>71445.399999999994</v>
      </c>
      <c r="D31" s="681" t="s">
        <v>731</v>
      </c>
      <c r="E31" s="366">
        <f>60702.01+10743.39</f>
        <v>71445.399999999994</v>
      </c>
      <c r="F31" s="297">
        <f>C31-E31</f>
        <v>0</v>
      </c>
      <c r="I31" s="496" t="s">
        <v>659</v>
      </c>
      <c r="J31" s="450">
        <v>6285.76</v>
      </c>
      <c r="K31" s="230"/>
      <c r="L31" s="331" t="s">
        <v>674</v>
      </c>
      <c r="M31" s="522">
        <v>40677</v>
      </c>
      <c r="N31" s="523">
        <v>42230</v>
      </c>
      <c r="O31" s="21">
        <v>42228</v>
      </c>
    </row>
    <row r="32" spans="1:15" ht="15.75" x14ac:dyDescent="0.25">
      <c r="A32" s="545">
        <v>42246</v>
      </c>
      <c r="B32" s="496" t="s">
        <v>680</v>
      </c>
      <c r="C32" s="81">
        <v>10948</v>
      </c>
      <c r="D32" s="480">
        <v>42264</v>
      </c>
      <c r="E32" s="366">
        <v>10948</v>
      </c>
      <c r="F32" s="297">
        <f>C32-E32</f>
        <v>0</v>
      </c>
      <c r="I32" s="496" t="s">
        <v>665</v>
      </c>
      <c r="J32" s="450">
        <v>91728.5</v>
      </c>
      <c r="K32" s="230"/>
      <c r="L32" s="331" t="s">
        <v>674</v>
      </c>
      <c r="M32" s="521">
        <v>36320.129999999997</v>
      </c>
      <c r="N32" s="525">
        <v>42230</v>
      </c>
      <c r="O32" s="21">
        <v>42229</v>
      </c>
    </row>
    <row r="33" spans="1:15" ht="15.75" x14ac:dyDescent="0.25">
      <c r="A33" s="343"/>
      <c r="B33" s="496"/>
      <c r="C33" s="81"/>
      <c r="D33" s="465"/>
      <c r="E33" s="294"/>
      <c r="F33" s="297">
        <f t="shared" si="0"/>
        <v>0</v>
      </c>
      <c r="I33" s="496" t="s">
        <v>666</v>
      </c>
      <c r="J33" s="450">
        <v>30739</v>
      </c>
      <c r="K33" s="416"/>
      <c r="L33" s="331" t="s">
        <v>674</v>
      </c>
      <c r="M33" s="522">
        <v>66900</v>
      </c>
      <c r="N33" s="523">
        <v>42241</v>
      </c>
      <c r="O33" s="21">
        <v>42230</v>
      </c>
    </row>
    <row r="34" spans="1:15" ht="15.75" x14ac:dyDescent="0.25">
      <c r="A34" s="595"/>
      <c r="B34" s="585"/>
      <c r="C34" s="81"/>
      <c r="D34" s="465"/>
      <c r="E34" s="294"/>
      <c r="F34" s="596">
        <f t="shared" si="0"/>
        <v>0</v>
      </c>
      <c r="I34" s="496" t="s">
        <v>667</v>
      </c>
      <c r="J34" s="450">
        <v>10320.6</v>
      </c>
      <c r="K34" s="459"/>
      <c r="L34" s="331" t="s">
        <v>674</v>
      </c>
      <c r="M34" s="528">
        <v>63210</v>
      </c>
      <c r="N34" s="527">
        <v>42241</v>
      </c>
      <c r="O34" s="21">
        <v>42231</v>
      </c>
    </row>
    <row r="35" spans="1:15" ht="15.75" x14ac:dyDescent="0.25">
      <c r="A35" s="602"/>
      <c r="B35" s="618"/>
      <c r="C35" s="81"/>
      <c r="D35" s="287"/>
      <c r="E35" s="81"/>
      <c r="F35" s="596">
        <f t="shared" si="0"/>
        <v>0</v>
      </c>
      <c r="I35" s="496" t="s">
        <v>668</v>
      </c>
      <c r="J35" s="450">
        <v>50039.9</v>
      </c>
      <c r="K35" s="230"/>
      <c r="L35" s="331" t="s">
        <v>674</v>
      </c>
      <c r="M35" s="521">
        <v>53621</v>
      </c>
      <c r="N35" s="525">
        <v>42241</v>
      </c>
      <c r="O35" s="21">
        <v>42232</v>
      </c>
    </row>
    <row r="36" spans="1:15" ht="15.75" x14ac:dyDescent="0.25">
      <c r="A36" s="602"/>
      <c r="B36" s="618"/>
      <c r="C36" s="81"/>
      <c r="D36" s="287"/>
      <c r="E36" s="81"/>
      <c r="F36" s="596">
        <f t="shared" si="0"/>
        <v>0</v>
      </c>
      <c r="I36" s="496" t="s">
        <v>669</v>
      </c>
      <c r="J36" s="450">
        <v>64479.15</v>
      </c>
      <c r="K36" s="230"/>
      <c r="L36" s="331" t="s">
        <v>674</v>
      </c>
      <c r="M36" s="521">
        <v>32818</v>
      </c>
      <c r="N36" s="525">
        <v>42241</v>
      </c>
      <c r="O36" s="21">
        <v>42233</v>
      </c>
    </row>
    <row r="37" spans="1:15" ht="15.75" x14ac:dyDescent="0.25">
      <c r="A37" s="249"/>
      <c r="B37" s="619"/>
      <c r="C37" s="81"/>
      <c r="D37" s="287"/>
      <c r="E37" s="81"/>
      <c r="F37" s="596">
        <f t="shared" si="0"/>
        <v>0</v>
      </c>
      <c r="I37" s="585" t="s">
        <v>670</v>
      </c>
      <c r="J37" s="450">
        <v>4825</v>
      </c>
      <c r="K37" s="629"/>
      <c r="L37" s="587" t="s">
        <v>674</v>
      </c>
      <c r="M37" s="630">
        <v>38665</v>
      </c>
      <c r="N37" s="589">
        <v>42241</v>
      </c>
      <c r="O37" s="21">
        <v>42234</v>
      </c>
    </row>
    <row r="38" spans="1:15" ht="15.75" x14ac:dyDescent="0.25">
      <c r="A38" s="473"/>
      <c r="B38" s="620"/>
      <c r="C38" s="81"/>
      <c r="D38" s="286"/>
      <c r="E38" s="81"/>
      <c r="F38" s="596">
        <f t="shared" si="0"/>
        <v>0</v>
      </c>
      <c r="I38" s="496" t="s">
        <v>671</v>
      </c>
      <c r="J38" s="432">
        <v>59195.49</v>
      </c>
      <c r="K38" s="216" t="s">
        <v>236</v>
      </c>
      <c r="L38" s="587" t="s">
        <v>674</v>
      </c>
      <c r="M38" s="324">
        <v>34337</v>
      </c>
      <c r="N38" s="525">
        <v>42241</v>
      </c>
      <c r="O38" s="21" t="s">
        <v>17</v>
      </c>
    </row>
    <row r="39" spans="1:15" ht="15.75" x14ac:dyDescent="0.25">
      <c r="A39" s="473"/>
      <c r="B39" s="620"/>
      <c r="C39" s="81"/>
      <c r="D39" s="286"/>
      <c r="E39" s="81"/>
      <c r="F39" s="596">
        <f t="shared" si="0"/>
        <v>0</v>
      </c>
      <c r="I39" s="329"/>
      <c r="J39" s="230"/>
      <c r="K39" s="230"/>
      <c r="L39" s="587"/>
      <c r="M39" s="232">
        <v>0</v>
      </c>
      <c r="N39" s="33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I40" s="230"/>
      <c r="J40" s="230"/>
      <c r="K40" s="230"/>
      <c r="L40" s="230"/>
      <c r="M40" s="232">
        <v>0</v>
      </c>
      <c r="N40" s="230"/>
    </row>
    <row r="41" spans="1:15" ht="16.5" thickTop="1" x14ac:dyDescent="0.25">
      <c r="B41" s="614"/>
      <c r="C41" s="450">
        <f>SUM(C3:C40)</f>
        <v>1239378.9200000002</v>
      </c>
      <c r="D41" s="178"/>
      <c r="E41" s="336">
        <f>SUM(E3:E40)</f>
        <v>1239378.9200000002</v>
      </c>
      <c r="F41" s="336">
        <f>SUM(F3:F40)</f>
        <v>0</v>
      </c>
      <c r="J41" s="419">
        <f>SUM(J25:J38)</f>
        <v>638279.13</v>
      </c>
      <c r="K41" s="208"/>
      <c r="L41" s="206"/>
      <c r="M41" s="419">
        <f>SUM(M25:M40)</f>
        <v>638279.13</v>
      </c>
    </row>
    <row r="42" spans="1:15" x14ac:dyDescent="0.25">
      <c r="C42" s="450"/>
    </row>
    <row r="43" spans="1:15" ht="15.75" thickBot="1" x14ac:dyDescent="0.3">
      <c r="B43" s="25" t="s">
        <v>101</v>
      </c>
      <c r="E43" s="25"/>
      <c r="F43" s="25"/>
    </row>
    <row r="44" spans="1:15" ht="19.5" thickBot="1" x14ac:dyDescent="0.35">
      <c r="B44" s="450"/>
      <c r="C44" s="534"/>
      <c r="D44" s="196"/>
      <c r="E44" s="25"/>
      <c r="F44" s="25"/>
      <c r="J44" s="474" t="s">
        <v>205</v>
      </c>
      <c r="K44" s="204"/>
      <c r="L44" s="631"/>
      <c r="M44" s="479">
        <v>42248</v>
      </c>
      <c r="N44" s="276"/>
    </row>
    <row r="45" spans="1:15" ht="15.75" x14ac:dyDescent="0.25">
      <c r="E45" s="25"/>
      <c r="F45" s="25"/>
      <c r="I45" s="205"/>
      <c r="J45" s="419"/>
      <c r="K45" s="205"/>
      <c r="L45" s="206"/>
      <c r="M45" s="419"/>
      <c r="N45" s="519"/>
    </row>
    <row r="46" spans="1:15" ht="15.75" x14ac:dyDescent="0.25">
      <c r="E46" s="25"/>
      <c r="F46" s="25"/>
      <c r="I46" s="212" t="s">
        <v>202</v>
      </c>
      <c r="J46" s="419" t="s">
        <v>195</v>
      </c>
      <c r="K46" s="205"/>
      <c r="L46" s="206" t="s">
        <v>203</v>
      </c>
      <c r="M46" s="419" t="s">
        <v>204</v>
      </c>
      <c r="N46" s="519"/>
    </row>
    <row r="47" spans="1:15" ht="15.75" x14ac:dyDescent="0.25">
      <c r="E47" s="25"/>
      <c r="F47" s="25"/>
      <c r="I47" s="561" t="s">
        <v>671</v>
      </c>
      <c r="J47" s="216">
        <v>22079.17</v>
      </c>
      <c r="K47" s="216" t="s">
        <v>17</v>
      </c>
      <c r="L47" s="331" t="s">
        <v>674</v>
      </c>
      <c r="M47" s="522">
        <v>37227.5</v>
      </c>
      <c r="N47" s="523">
        <v>42241</v>
      </c>
      <c r="O47" s="21">
        <v>42236</v>
      </c>
    </row>
    <row r="48" spans="1:15" ht="15.75" x14ac:dyDescent="0.25">
      <c r="E48" s="25"/>
      <c r="F48" s="25"/>
      <c r="I48" s="496" t="s">
        <v>676</v>
      </c>
      <c r="J48" s="450">
        <v>4679.3999999999996</v>
      </c>
      <c r="K48" s="234"/>
      <c r="L48" s="331" t="s">
        <v>674</v>
      </c>
      <c r="M48" s="522">
        <v>53209</v>
      </c>
      <c r="N48" s="523">
        <v>42247</v>
      </c>
      <c r="O48" s="21">
        <v>42237</v>
      </c>
    </row>
    <row r="49" spans="1:15" ht="15.75" x14ac:dyDescent="0.25">
      <c r="A49" s="25"/>
      <c r="C49" s="25"/>
      <c r="E49" s="25"/>
      <c r="F49" s="25"/>
      <c r="I49" s="496" t="s">
        <v>677</v>
      </c>
      <c r="J49" s="450">
        <v>94413.92</v>
      </c>
      <c r="K49" s="234"/>
      <c r="L49" s="331" t="s">
        <v>674</v>
      </c>
      <c r="M49" s="522">
        <v>24718</v>
      </c>
      <c r="N49" s="523">
        <v>42241</v>
      </c>
      <c r="O49" s="21">
        <v>42238</v>
      </c>
    </row>
    <row r="50" spans="1:15" ht="15.75" x14ac:dyDescent="0.25">
      <c r="A50" s="25"/>
      <c r="C50" s="25"/>
      <c r="E50" s="25"/>
      <c r="F50" s="25"/>
      <c r="I50" s="496" t="s">
        <v>678</v>
      </c>
      <c r="J50" s="450">
        <v>31110</v>
      </c>
      <c r="K50" s="234"/>
      <c r="L50" s="331" t="s">
        <v>674</v>
      </c>
      <c r="M50" s="521">
        <v>43000</v>
      </c>
      <c r="N50" s="525">
        <v>42247</v>
      </c>
      <c r="O50" s="21">
        <v>42238</v>
      </c>
    </row>
    <row r="51" spans="1:15" ht="15.75" x14ac:dyDescent="0.25">
      <c r="A51" s="25"/>
      <c r="C51" s="25"/>
      <c r="E51" s="25"/>
      <c r="F51" s="25"/>
      <c r="I51" s="496" t="s">
        <v>679</v>
      </c>
      <c r="J51" s="81">
        <v>60702.01</v>
      </c>
      <c r="K51" s="234" t="s">
        <v>236</v>
      </c>
      <c r="L51" s="331" t="s">
        <v>674</v>
      </c>
      <c r="M51" s="521">
        <v>54830</v>
      </c>
      <c r="N51" s="525">
        <v>42241</v>
      </c>
      <c r="O51" s="21">
        <v>42239</v>
      </c>
    </row>
    <row r="52" spans="1:15" x14ac:dyDescent="0.25">
      <c r="A52" s="25"/>
      <c r="C52" s="25"/>
      <c r="E52" s="25"/>
      <c r="F52" s="25"/>
      <c r="I52" s="230"/>
      <c r="J52" s="230"/>
      <c r="K52" s="230"/>
      <c r="L52" s="230"/>
      <c r="M52" s="232">
        <v>0</v>
      </c>
      <c r="N52" s="230"/>
    </row>
    <row r="53" spans="1:15" ht="15.75" x14ac:dyDescent="0.25">
      <c r="A53" s="25"/>
      <c r="C53" s="25"/>
      <c r="E53" s="25"/>
      <c r="F53" s="25"/>
      <c r="J53" s="419">
        <f>SUM(J47:J51)</f>
        <v>212984.5</v>
      </c>
      <c r="K53" s="208"/>
      <c r="L53" s="206"/>
      <c r="M53" s="419">
        <f>SUM(M47:M52)</f>
        <v>212984.5</v>
      </c>
    </row>
    <row r="54" spans="1:15" x14ac:dyDescent="0.25">
      <c r="A54" s="25"/>
      <c r="C54" s="25"/>
      <c r="E54" s="25"/>
      <c r="F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  <c r="C61" s="25"/>
      <c r="E61" s="25"/>
      <c r="F61" s="25"/>
    </row>
    <row r="62" spans="1:15" x14ac:dyDescent="0.25">
      <c r="A62" s="25"/>
      <c r="C62" s="25"/>
      <c r="E62" s="25"/>
      <c r="F62" s="25"/>
    </row>
    <row r="63" spans="1:15" x14ac:dyDescent="0.25">
      <c r="A63" s="25"/>
      <c r="C63" s="25"/>
      <c r="E63" s="25"/>
      <c r="F63" s="25"/>
      <c r="H63" s="59">
        <v>108127.79</v>
      </c>
    </row>
    <row r="64" spans="1:15" x14ac:dyDescent="0.25">
      <c r="A64" s="25"/>
      <c r="C64" s="25"/>
      <c r="E64" s="25"/>
      <c r="F64" s="25"/>
    </row>
    <row r="65" spans="1:6" customFormat="1" x14ac:dyDescent="0.25">
      <c r="A65" s="25"/>
      <c r="B65" s="25"/>
      <c r="C65" s="25"/>
      <c r="D65" s="25"/>
      <c r="E65" s="25"/>
      <c r="F65" s="25"/>
    </row>
    <row r="66" spans="1:6" customFormat="1" x14ac:dyDescent="0.25">
      <c r="A66" s="25"/>
      <c r="B66" s="25"/>
      <c r="C66" s="25"/>
      <c r="D66" s="25"/>
      <c r="E66" s="25"/>
      <c r="F66" s="25"/>
    </row>
  </sheetData>
  <sortState ref="A29:F32">
    <sortCondition ref="B29:B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760" t="s">
        <v>60</v>
      </c>
      <c r="D1" s="760"/>
      <c r="E1" s="760"/>
      <c r="F1" s="760"/>
      <c r="G1" s="760"/>
      <c r="H1" s="760"/>
      <c r="I1" s="760"/>
      <c r="J1" s="760"/>
      <c r="K1" s="760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765" t="s">
        <v>11</v>
      </c>
      <c r="I40" s="766"/>
      <c r="J40" s="84"/>
      <c r="K40" s="767">
        <f>I38+L38</f>
        <v>81370.039999999994</v>
      </c>
      <c r="L40" s="768"/>
      <c r="M40" s="72"/>
    </row>
    <row r="41" spans="1:13" ht="15.75" x14ac:dyDescent="0.25">
      <c r="D41" s="759" t="s">
        <v>12</v>
      </c>
      <c r="E41" s="759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769"/>
      <c r="J43" s="769"/>
      <c r="K43" s="769"/>
      <c r="L43" s="2"/>
    </row>
    <row r="44" spans="1:13" ht="16.5" thickBot="1" x14ac:dyDescent="0.3">
      <c r="D44" s="758" t="s">
        <v>13</v>
      </c>
      <c r="E44" s="758"/>
      <c r="F44" s="60">
        <v>109094</v>
      </c>
      <c r="I44" s="770"/>
      <c r="J44" s="770"/>
      <c r="K44" s="770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771" t="s">
        <v>18</v>
      </c>
      <c r="J45" s="772"/>
      <c r="K45" s="772"/>
      <c r="L45" s="775">
        <f>F45+L44</f>
        <v>109785.37999999989</v>
      </c>
    </row>
    <row r="46" spans="1:13" ht="15.75" thickBot="1" x14ac:dyDescent="0.3">
      <c r="D46" s="757"/>
      <c r="E46" s="757"/>
      <c r="F46" s="56"/>
      <c r="I46" s="773"/>
      <c r="J46" s="774"/>
      <c r="K46" s="774"/>
      <c r="L46" s="776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2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60" t="s">
        <v>688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</row>
    <row r="2" spans="1:19" ht="15.75" thickBot="1" x14ac:dyDescent="0.3">
      <c r="E2" s="634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112866.44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112" t="s">
        <v>159</v>
      </c>
    </row>
    <row r="5" spans="1:19" ht="15.75" thickTop="1" x14ac:dyDescent="0.25">
      <c r="A5" s="21"/>
      <c r="B5" s="40">
        <v>42248</v>
      </c>
      <c r="C5" s="46">
        <v>0</v>
      </c>
      <c r="D5" s="30"/>
      <c r="E5" s="28">
        <v>42248</v>
      </c>
      <c r="F5" s="52">
        <v>42729</v>
      </c>
      <c r="G5" s="25"/>
      <c r="H5" s="26">
        <v>42248</v>
      </c>
      <c r="I5" s="61">
        <v>400</v>
      </c>
      <c r="J5" s="80"/>
      <c r="K5" s="122"/>
      <c r="L5" s="123"/>
      <c r="M5" s="151">
        <v>42329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42249</v>
      </c>
      <c r="C6" s="46">
        <v>553</v>
      </c>
      <c r="D6" s="70" t="s">
        <v>22</v>
      </c>
      <c r="E6" s="28">
        <v>42249</v>
      </c>
      <c r="F6" s="52">
        <v>27313.9</v>
      </c>
      <c r="G6" s="20"/>
      <c r="H6" s="29">
        <v>42249</v>
      </c>
      <c r="I6" s="62">
        <v>0</v>
      </c>
      <c r="J6" s="81"/>
      <c r="K6" s="73" t="s">
        <v>5</v>
      </c>
      <c r="L6" s="125">
        <v>545</v>
      </c>
      <c r="M6" s="116">
        <v>26761</v>
      </c>
      <c r="N6" s="336"/>
      <c r="O6" s="25"/>
    </row>
    <row r="7" spans="1:19" x14ac:dyDescent="0.25">
      <c r="A7" s="21"/>
      <c r="B7" s="40">
        <v>42250</v>
      </c>
      <c r="C7" s="46">
        <v>10</v>
      </c>
      <c r="D7" s="30" t="s">
        <v>720</v>
      </c>
      <c r="E7" s="28">
        <v>42250</v>
      </c>
      <c r="F7" s="52">
        <v>37353.519999999997</v>
      </c>
      <c r="G7" s="25"/>
      <c r="H7" s="29">
        <v>42250</v>
      </c>
      <c r="I7" s="62">
        <v>462.2</v>
      </c>
      <c r="J7" s="81"/>
      <c r="K7" s="694" t="s">
        <v>752</v>
      </c>
      <c r="L7" s="125">
        <v>14179</v>
      </c>
      <c r="M7" s="116">
        <v>36881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42251</v>
      </c>
      <c r="C8" s="46">
        <v>5820.48</v>
      </c>
      <c r="D8" s="33" t="s">
        <v>721</v>
      </c>
      <c r="E8" s="28">
        <v>42251</v>
      </c>
      <c r="F8" s="52">
        <v>65580.5</v>
      </c>
      <c r="G8" s="25"/>
      <c r="H8" s="29">
        <v>42251</v>
      </c>
      <c r="I8" s="62">
        <v>35</v>
      </c>
      <c r="J8" s="81"/>
      <c r="K8" s="73" t="s">
        <v>6</v>
      </c>
      <c r="L8" s="124">
        <v>28750</v>
      </c>
      <c r="M8" s="701">
        <v>53420</v>
      </c>
      <c r="N8" s="565">
        <v>6305</v>
      </c>
      <c r="O8" s="673"/>
    </row>
    <row r="9" spans="1:19" x14ac:dyDescent="0.25">
      <c r="A9" s="21"/>
      <c r="B9" s="40">
        <v>42252</v>
      </c>
      <c r="C9" s="46">
        <v>187</v>
      </c>
      <c r="D9" s="96" t="s">
        <v>411</v>
      </c>
      <c r="E9" s="28">
        <v>42252</v>
      </c>
      <c r="F9" s="52">
        <v>92382.77</v>
      </c>
      <c r="G9" s="25"/>
      <c r="H9" s="29">
        <v>42252</v>
      </c>
      <c r="I9" s="62">
        <v>130</v>
      </c>
      <c r="J9" s="82"/>
      <c r="K9" s="73" t="s">
        <v>722</v>
      </c>
      <c r="L9" s="125">
        <f>6250+1600+2500</f>
        <v>10350</v>
      </c>
      <c r="M9" s="116">
        <v>92973</v>
      </c>
      <c r="N9" s="336"/>
      <c r="O9" s="25"/>
    </row>
    <row r="10" spans="1:19" x14ac:dyDescent="0.25">
      <c r="A10" s="21"/>
      <c r="B10" s="40">
        <v>42253</v>
      </c>
      <c r="C10" s="46">
        <v>0</v>
      </c>
      <c r="D10" s="96"/>
      <c r="E10" s="28">
        <v>42253</v>
      </c>
      <c r="F10" s="52">
        <v>64814.64</v>
      </c>
      <c r="G10" s="25"/>
      <c r="H10" s="29">
        <v>42253</v>
      </c>
      <c r="I10" s="62">
        <v>0</v>
      </c>
      <c r="J10" s="82"/>
      <c r="K10" s="73" t="s">
        <v>723</v>
      </c>
      <c r="L10" s="52">
        <f>5441.5+1600+2500</f>
        <v>9541.5</v>
      </c>
      <c r="M10" s="116">
        <v>58564.5</v>
      </c>
      <c r="N10" s="336"/>
      <c r="O10" s="25"/>
    </row>
    <row r="11" spans="1:19" x14ac:dyDescent="0.25">
      <c r="A11" s="21"/>
      <c r="B11" s="40">
        <v>42254</v>
      </c>
      <c r="C11" s="46">
        <v>388</v>
      </c>
      <c r="D11" s="96" t="s">
        <v>209</v>
      </c>
      <c r="E11" s="28">
        <v>42254</v>
      </c>
      <c r="F11" s="52">
        <v>24239.05</v>
      </c>
      <c r="G11" s="25"/>
      <c r="H11" s="29">
        <v>42254</v>
      </c>
      <c r="I11" s="62">
        <v>0</v>
      </c>
      <c r="J11" s="82"/>
      <c r="K11" s="73" t="s">
        <v>724</v>
      </c>
      <c r="L11" s="52">
        <f>7248+1600+2500</f>
        <v>11348</v>
      </c>
      <c r="M11" s="116">
        <v>23851</v>
      </c>
      <c r="N11" s="336"/>
      <c r="O11" s="25"/>
    </row>
    <row r="12" spans="1:19" x14ac:dyDescent="0.25">
      <c r="A12" s="21"/>
      <c r="B12" s="40">
        <v>42255</v>
      </c>
      <c r="C12" s="46">
        <v>240</v>
      </c>
      <c r="D12" s="30" t="s">
        <v>411</v>
      </c>
      <c r="E12" s="28">
        <v>42255</v>
      </c>
      <c r="F12" s="52">
        <v>32624.880000000001</v>
      </c>
      <c r="G12" s="25"/>
      <c r="H12" s="29">
        <v>42255</v>
      </c>
      <c r="I12" s="62">
        <v>0</v>
      </c>
      <c r="J12" s="82"/>
      <c r="K12" s="73" t="s">
        <v>725</v>
      </c>
      <c r="L12" s="52">
        <v>5850</v>
      </c>
      <c r="M12" s="116">
        <v>32385</v>
      </c>
      <c r="N12" s="336"/>
      <c r="O12" s="25"/>
    </row>
    <row r="13" spans="1:19" x14ac:dyDescent="0.25">
      <c r="A13" s="21"/>
      <c r="B13" s="40">
        <v>42256</v>
      </c>
      <c r="C13" s="46">
        <v>0</v>
      </c>
      <c r="D13" s="96"/>
      <c r="E13" s="28">
        <v>42256</v>
      </c>
      <c r="F13" s="52">
        <v>28108</v>
      </c>
      <c r="G13" s="25"/>
      <c r="H13" s="29">
        <v>42256</v>
      </c>
      <c r="I13" s="62">
        <v>0</v>
      </c>
      <c r="J13" s="82"/>
      <c r="K13" s="73"/>
      <c r="L13" s="52">
        <v>0</v>
      </c>
      <c r="M13" s="116">
        <v>28108</v>
      </c>
      <c r="N13" s="450"/>
      <c r="O13" s="25"/>
    </row>
    <row r="14" spans="1:19" x14ac:dyDescent="0.25">
      <c r="A14" s="21"/>
      <c r="B14" s="40">
        <v>42257</v>
      </c>
      <c r="C14" s="46">
        <v>770.58</v>
      </c>
      <c r="D14" s="30" t="s">
        <v>366</v>
      </c>
      <c r="E14" s="28">
        <v>42257</v>
      </c>
      <c r="F14" s="52">
        <v>37884.15</v>
      </c>
      <c r="G14" s="25"/>
      <c r="H14" s="29">
        <v>42257</v>
      </c>
      <c r="I14" s="62">
        <v>0</v>
      </c>
      <c r="J14" s="82"/>
      <c r="K14" s="165"/>
      <c r="L14" s="52">
        <v>0</v>
      </c>
      <c r="M14" s="116">
        <v>37113.5</v>
      </c>
      <c r="N14" s="450"/>
      <c r="O14" s="25"/>
    </row>
    <row r="15" spans="1:19" x14ac:dyDescent="0.25">
      <c r="A15" s="21"/>
      <c r="B15" s="40">
        <v>42258</v>
      </c>
      <c r="C15" s="46">
        <v>852</v>
      </c>
      <c r="D15" s="30" t="s">
        <v>727</v>
      </c>
      <c r="E15" s="28">
        <v>42258</v>
      </c>
      <c r="F15" s="52">
        <v>48722.41</v>
      </c>
      <c r="G15" s="25"/>
      <c r="H15" s="29">
        <v>42258</v>
      </c>
      <c r="I15" s="62">
        <v>420</v>
      </c>
      <c r="J15" s="82"/>
      <c r="K15" s="73" t="s">
        <v>57</v>
      </c>
      <c r="L15" s="52">
        <v>0</v>
      </c>
      <c r="M15" s="116">
        <v>46650</v>
      </c>
      <c r="N15" s="336"/>
      <c r="O15" s="25"/>
    </row>
    <row r="16" spans="1:19" x14ac:dyDescent="0.25">
      <c r="A16" s="21"/>
      <c r="B16" s="40">
        <v>42259</v>
      </c>
      <c r="C16" s="46">
        <v>875</v>
      </c>
      <c r="D16" s="96" t="s">
        <v>366</v>
      </c>
      <c r="E16" s="28">
        <v>42259</v>
      </c>
      <c r="F16" s="52">
        <v>57435.69</v>
      </c>
      <c r="G16" s="25"/>
      <c r="H16" s="29">
        <v>42259</v>
      </c>
      <c r="I16" s="62">
        <v>570.44000000000005</v>
      </c>
      <c r="J16" s="82"/>
      <c r="K16" s="192" t="s">
        <v>61</v>
      </c>
      <c r="L16" s="490">
        <v>0</v>
      </c>
      <c r="M16" s="116">
        <v>66940</v>
      </c>
      <c r="N16" s="336"/>
      <c r="O16" s="25"/>
    </row>
    <row r="17" spans="1:17" x14ac:dyDescent="0.25">
      <c r="A17" s="21"/>
      <c r="B17" s="40">
        <v>42260</v>
      </c>
      <c r="C17" s="46">
        <v>693</v>
      </c>
      <c r="D17" s="30" t="s">
        <v>22</v>
      </c>
      <c r="E17" s="28">
        <v>42260</v>
      </c>
      <c r="F17" s="52">
        <v>44340.86</v>
      </c>
      <c r="G17" s="25"/>
      <c r="H17" s="29">
        <v>42260</v>
      </c>
      <c r="I17" s="62">
        <v>100</v>
      </c>
      <c r="J17" s="82"/>
      <c r="K17" s="73" t="s">
        <v>299</v>
      </c>
      <c r="L17" s="52">
        <v>0</v>
      </c>
      <c r="M17" s="116">
        <v>44341</v>
      </c>
      <c r="N17" s="336"/>
      <c r="O17" s="25"/>
    </row>
    <row r="18" spans="1:17" x14ac:dyDescent="0.25">
      <c r="A18" s="21"/>
      <c r="B18" s="40">
        <v>42261</v>
      </c>
      <c r="C18" s="46">
        <v>630</v>
      </c>
      <c r="D18" s="30" t="s">
        <v>22</v>
      </c>
      <c r="E18" s="28">
        <v>42261</v>
      </c>
      <c r="F18" s="52">
        <v>47504.87</v>
      </c>
      <c r="G18" s="25"/>
      <c r="H18" s="29">
        <v>42261</v>
      </c>
      <c r="I18" s="62">
        <v>0</v>
      </c>
      <c r="J18" s="82"/>
      <c r="K18" s="165" t="s">
        <v>673</v>
      </c>
      <c r="L18" s="52">
        <v>0</v>
      </c>
      <c r="M18" s="116">
        <v>46875</v>
      </c>
      <c r="N18" s="450"/>
      <c r="O18" s="614"/>
      <c r="P18" s="25"/>
    </row>
    <row r="19" spans="1:17" x14ac:dyDescent="0.25">
      <c r="A19" s="21"/>
      <c r="B19" s="40">
        <v>42262</v>
      </c>
      <c r="C19" s="46">
        <v>605</v>
      </c>
      <c r="D19" s="96"/>
      <c r="E19" s="28">
        <v>42262</v>
      </c>
      <c r="F19" s="52">
        <v>73783.679999999993</v>
      </c>
      <c r="G19" s="25"/>
      <c r="H19" s="29">
        <v>42262</v>
      </c>
      <c r="I19" s="62">
        <v>0</v>
      </c>
      <c r="J19" s="82"/>
      <c r="K19" s="286" t="s">
        <v>629</v>
      </c>
      <c r="L19" s="538">
        <v>0</v>
      </c>
      <c r="M19" s="116">
        <v>72633.5</v>
      </c>
      <c r="N19" s="450"/>
      <c r="O19" s="25"/>
      <c r="P19" s="25"/>
    </row>
    <row r="20" spans="1:17" x14ac:dyDescent="0.25">
      <c r="A20" s="21"/>
      <c r="B20" s="40">
        <v>42263</v>
      </c>
      <c r="C20" s="46">
        <v>0</v>
      </c>
      <c r="D20" s="30"/>
      <c r="E20" s="28">
        <v>42263</v>
      </c>
      <c r="F20" s="52">
        <v>17345.580000000002</v>
      </c>
      <c r="G20" s="25"/>
      <c r="H20" s="29">
        <v>42263</v>
      </c>
      <c r="I20" s="63">
        <v>0</v>
      </c>
      <c r="J20" s="82"/>
      <c r="K20" s="486" t="s">
        <v>111</v>
      </c>
      <c r="L20" s="490">
        <v>0</v>
      </c>
      <c r="M20" s="116">
        <v>17346</v>
      </c>
      <c r="N20" s="336"/>
      <c r="O20" s="25"/>
    </row>
    <row r="21" spans="1:17" x14ac:dyDescent="0.25">
      <c r="A21" s="21"/>
      <c r="B21" s="40">
        <v>42264</v>
      </c>
      <c r="C21" s="46">
        <v>450.56</v>
      </c>
      <c r="D21" s="30" t="s">
        <v>22</v>
      </c>
      <c r="E21" s="28">
        <v>42264</v>
      </c>
      <c r="F21" s="52">
        <v>35035.699999999997</v>
      </c>
      <c r="G21" s="25"/>
      <c r="H21" s="29">
        <v>42264</v>
      </c>
      <c r="I21" s="63">
        <v>74</v>
      </c>
      <c r="J21" s="82"/>
      <c r="K21" s="487" t="s">
        <v>647</v>
      </c>
      <c r="L21" s="490">
        <v>0</v>
      </c>
      <c r="M21" s="116">
        <v>34511</v>
      </c>
      <c r="N21" s="336"/>
      <c r="O21" s="25"/>
    </row>
    <row r="22" spans="1:17" x14ac:dyDescent="0.25">
      <c r="A22" s="21"/>
      <c r="B22" s="40">
        <v>42265</v>
      </c>
      <c r="C22" s="46">
        <v>258</v>
      </c>
      <c r="D22" s="96" t="s">
        <v>411</v>
      </c>
      <c r="E22" s="28">
        <v>42265</v>
      </c>
      <c r="F22" s="52">
        <v>53226.03</v>
      </c>
      <c r="G22" s="25"/>
      <c r="H22" s="29">
        <v>42265</v>
      </c>
      <c r="I22" s="63">
        <v>0</v>
      </c>
      <c r="J22" s="149"/>
      <c r="K22" s="674" t="s">
        <v>728</v>
      </c>
      <c r="L22" s="490">
        <v>800</v>
      </c>
      <c r="M22" s="116">
        <v>52968</v>
      </c>
      <c r="N22" s="336"/>
      <c r="O22" s="25"/>
    </row>
    <row r="23" spans="1:17" x14ac:dyDescent="0.25">
      <c r="A23" s="21"/>
      <c r="B23" s="40">
        <v>42266</v>
      </c>
      <c r="C23" s="46"/>
      <c r="D23" s="96"/>
      <c r="E23" s="28">
        <v>42266</v>
      </c>
      <c r="F23" s="52">
        <v>76520.02</v>
      </c>
      <c r="G23" s="25"/>
      <c r="H23" s="29">
        <v>42266</v>
      </c>
      <c r="I23" s="63">
        <v>160</v>
      </c>
      <c r="J23" s="81"/>
      <c r="K23" s="675">
        <v>42258</v>
      </c>
      <c r="L23" s="490">
        <v>0</v>
      </c>
      <c r="M23" s="701">
        <v>75765</v>
      </c>
      <c r="N23" s="336"/>
      <c r="O23" s="25"/>
      <c r="P23" s="25"/>
    </row>
    <row r="24" spans="1:17" x14ac:dyDescent="0.25">
      <c r="A24" s="21"/>
      <c r="B24" s="40">
        <v>42267</v>
      </c>
      <c r="C24" s="46">
        <v>0</v>
      </c>
      <c r="D24" s="96"/>
      <c r="E24" s="28">
        <v>42267</v>
      </c>
      <c r="F24" s="52">
        <v>41630.51</v>
      </c>
      <c r="G24" s="25"/>
      <c r="H24" s="29">
        <v>42267</v>
      </c>
      <c r="I24" s="63">
        <v>457.5</v>
      </c>
      <c r="J24" s="82"/>
      <c r="K24" s="637" t="s">
        <v>760</v>
      </c>
      <c r="L24" s="490">
        <v>850</v>
      </c>
      <c r="M24" s="701">
        <v>24640</v>
      </c>
      <c r="N24" s="625">
        <v>9285</v>
      </c>
      <c r="O24" s="25"/>
      <c r="P24" s="25"/>
    </row>
    <row r="25" spans="1:17" x14ac:dyDescent="0.25">
      <c r="A25" s="21"/>
      <c r="B25" s="40">
        <v>42268</v>
      </c>
      <c r="C25" s="46">
        <v>14</v>
      </c>
      <c r="D25" s="30" t="s">
        <v>672</v>
      </c>
      <c r="E25" s="28">
        <v>42268</v>
      </c>
      <c r="F25" s="52">
        <v>31522.43</v>
      </c>
      <c r="G25" s="25"/>
      <c r="H25" s="29">
        <v>42268</v>
      </c>
      <c r="I25" s="63">
        <v>0</v>
      </c>
      <c r="J25" s="81"/>
      <c r="K25" s="487">
        <v>42273</v>
      </c>
      <c r="L25" s="490">
        <v>0</v>
      </c>
      <c r="M25" s="116">
        <v>31508.5</v>
      </c>
      <c r="N25" s="450"/>
      <c r="O25" s="25"/>
      <c r="P25" s="25"/>
    </row>
    <row r="26" spans="1:17" x14ac:dyDescent="0.25">
      <c r="A26" s="21"/>
      <c r="B26" s="40">
        <v>42269</v>
      </c>
      <c r="C26" s="46">
        <v>557</v>
      </c>
      <c r="D26" s="30" t="s">
        <v>83</v>
      </c>
      <c r="E26" s="28">
        <v>42269</v>
      </c>
      <c r="F26" s="52">
        <v>32743.74</v>
      </c>
      <c r="G26" s="25"/>
      <c r="H26" s="29">
        <v>42269</v>
      </c>
      <c r="I26" s="63">
        <v>0</v>
      </c>
      <c r="J26" s="98"/>
      <c r="K26" s="535"/>
      <c r="L26" s="490">
        <v>0</v>
      </c>
      <c r="M26" s="116">
        <v>32187</v>
      </c>
      <c r="N26" s="450"/>
      <c r="O26" s="614"/>
      <c r="P26" s="555"/>
    </row>
    <row r="27" spans="1:17" x14ac:dyDescent="0.25">
      <c r="A27" s="21"/>
      <c r="B27" s="40">
        <v>42270</v>
      </c>
      <c r="C27" s="46">
        <v>0</v>
      </c>
      <c r="D27" s="30"/>
      <c r="E27" s="28">
        <v>42270</v>
      </c>
      <c r="F27" s="52">
        <v>36895.589999999997</v>
      </c>
      <c r="G27" s="25"/>
      <c r="H27" s="29">
        <v>42270</v>
      </c>
      <c r="I27" s="63">
        <v>0</v>
      </c>
      <c r="J27" s="81"/>
      <c r="K27" s="488"/>
      <c r="L27" s="490">
        <v>0</v>
      </c>
      <c r="M27" s="116">
        <f>36395+500</f>
        <v>36895</v>
      </c>
      <c r="N27" s="450"/>
      <c r="O27" s="25"/>
      <c r="P27" s="25"/>
    </row>
    <row r="28" spans="1:17" x14ac:dyDescent="0.25">
      <c r="A28" s="21"/>
      <c r="B28" s="40">
        <v>42271</v>
      </c>
      <c r="C28" s="46">
        <v>0</v>
      </c>
      <c r="D28" s="30"/>
      <c r="E28" s="28">
        <v>42271</v>
      </c>
      <c r="F28" s="52">
        <v>26745.15</v>
      </c>
      <c r="G28" s="25"/>
      <c r="H28" s="29">
        <v>42271</v>
      </c>
      <c r="I28" s="63">
        <v>35</v>
      </c>
      <c r="J28" s="81"/>
      <c r="K28" s="131"/>
      <c r="L28" s="490">
        <v>0</v>
      </c>
      <c r="M28" s="116">
        <v>26710</v>
      </c>
      <c r="N28" s="336"/>
      <c r="O28" s="25"/>
      <c r="P28" s="25"/>
    </row>
    <row r="29" spans="1:17" x14ac:dyDescent="0.25">
      <c r="A29" s="21"/>
      <c r="B29" s="40">
        <v>42272</v>
      </c>
      <c r="C29" s="46">
        <v>1446</v>
      </c>
      <c r="D29" s="30" t="s">
        <v>744</v>
      </c>
      <c r="E29" s="28">
        <v>42272</v>
      </c>
      <c r="F29" s="52">
        <v>55689.09</v>
      </c>
      <c r="G29" s="25"/>
      <c r="H29" s="29">
        <v>42272</v>
      </c>
      <c r="I29" s="63">
        <v>0</v>
      </c>
      <c r="J29" s="81"/>
      <c r="K29" s="132"/>
      <c r="L29" s="539">
        <v>0</v>
      </c>
      <c r="M29" s="116">
        <v>54243</v>
      </c>
      <c r="N29" s="336"/>
      <c r="O29" s="25"/>
      <c r="P29" s="25"/>
    </row>
    <row r="30" spans="1:17" ht="15.75" thickBot="1" x14ac:dyDescent="0.3">
      <c r="A30" s="21"/>
      <c r="B30" s="40">
        <v>42273</v>
      </c>
      <c r="C30" s="46">
        <v>232.68</v>
      </c>
      <c r="D30" s="30" t="s">
        <v>411</v>
      </c>
      <c r="E30" s="28">
        <v>42273</v>
      </c>
      <c r="F30" s="52">
        <v>76649.5</v>
      </c>
      <c r="G30" s="25"/>
      <c r="H30" s="29">
        <v>42273</v>
      </c>
      <c r="I30" s="63">
        <v>20</v>
      </c>
      <c r="J30" s="98"/>
      <c r="K30" s="131"/>
      <c r="L30" s="539">
        <v>0</v>
      </c>
      <c r="M30" s="116">
        <v>75547</v>
      </c>
      <c r="N30" s="336"/>
      <c r="O30" s="25"/>
      <c r="P30" s="25"/>
    </row>
    <row r="31" spans="1:17" x14ac:dyDescent="0.25">
      <c r="A31" s="21"/>
      <c r="B31" s="40">
        <v>42274</v>
      </c>
      <c r="C31" s="46">
        <v>793</v>
      </c>
      <c r="D31" s="30" t="s">
        <v>22</v>
      </c>
      <c r="E31" s="28">
        <v>42274</v>
      </c>
      <c r="F31" s="52">
        <v>52232.26</v>
      </c>
      <c r="G31" s="25"/>
      <c r="H31" s="29">
        <v>42274</v>
      </c>
      <c r="I31" s="63">
        <v>242.5</v>
      </c>
      <c r="J31" s="82"/>
      <c r="K31" s="552"/>
      <c r="L31" s="802">
        <v>0</v>
      </c>
      <c r="M31" s="116">
        <v>29040</v>
      </c>
      <c r="N31" s="565">
        <v>16307</v>
      </c>
      <c r="O31" s="25"/>
      <c r="P31" s="25"/>
      <c r="Q31" s="25"/>
    </row>
    <row r="32" spans="1:17" ht="15.75" thickBot="1" x14ac:dyDescent="0.3">
      <c r="A32" s="21"/>
      <c r="B32" s="40">
        <v>42275</v>
      </c>
      <c r="C32" s="46">
        <v>0</v>
      </c>
      <c r="D32" s="30"/>
      <c r="E32" s="28">
        <v>42275</v>
      </c>
      <c r="F32" s="52">
        <v>45192.25</v>
      </c>
      <c r="G32" s="25"/>
      <c r="H32" s="29">
        <v>42275</v>
      </c>
      <c r="I32" s="63">
        <v>0</v>
      </c>
      <c r="J32" s="81"/>
      <c r="K32" s="489"/>
      <c r="L32" s="803"/>
      <c r="M32" s="116">
        <v>31013</v>
      </c>
      <c r="N32" s="336"/>
      <c r="O32" s="25"/>
    </row>
    <row r="33" spans="1:17" x14ac:dyDescent="0.25">
      <c r="A33" s="21"/>
      <c r="B33" s="40">
        <v>42276</v>
      </c>
      <c r="C33" s="46">
        <v>30</v>
      </c>
      <c r="D33" s="96" t="s">
        <v>672</v>
      </c>
      <c r="E33" s="28">
        <v>42276</v>
      </c>
      <c r="F33" s="52">
        <v>32542</v>
      </c>
      <c r="G33" s="25"/>
      <c r="H33" s="29">
        <v>42276</v>
      </c>
      <c r="I33" s="63">
        <v>0</v>
      </c>
      <c r="J33" s="81"/>
      <c r="K33" s="553"/>
      <c r="L33" s="804">
        <v>0</v>
      </c>
      <c r="M33" s="116">
        <v>32512</v>
      </c>
      <c r="N33" s="450"/>
      <c r="O33" s="25"/>
    </row>
    <row r="34" spans="1:17" ht="15.75" thickBot="1" x14ac:dyDescent="0.3">
      <c r="A34" s="21"/>
      <c r="B34" s="40">
        <v>42277</v>
      </c>
      <c r="C34" s="46">
        <v>620</v>
      </c>
      <c r="D34" s="30" t="s">
        <v>22</v>
      </c>
      <c r="E34" s="28">
        <v>42277</v>
      </c>
      <c r="F34" s="52">
        <v>29975.68</v>
      </c>
      <c r="G34" s="25"/>
      <c r="H34" s="29">
        <v>42277</v>
      </c>
      <c r="I34" s="63">
        <v>0</v>
      </c>
      <c r="J34" s="81"/>
      <c r="K34" s="554"/>
      <c r="L34" s="805"/>
      <c r="M34" s="116">
        <v>29355.5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36">
        <f>SUM(M5:M36)</f>
        <v>1294066.5</v>
      </c>
    </row>
    <row r="38" spans="1:17" x14ac:dyDescent="0.25">
      <c r="B38" s="43" t="s">
        <v>1</v>
      </c>
      <c r="C38" s="49">
        <f>SUM(C5:C37)</f>
        <v>16025.3</v>
      </c>
      <c r="E38" s="632" t="s">
        <v>1</v>
      </c>
      <c r="F38" s="55">
        <f>SUM(F5:F37)</f>
        <v>1368763.45</v>
      </c>
      <c r="H38" s="634" t="s">
        <v>1</v>
      </c>
      <c r="I38" s="59">
        <f>SUM(I5:I37)</f>
        <v>3106.6400000000003</v>
      </c>
      <c r="J38" s="59"/>
      <c r="K38" s="18" t="s">
        <v>1</v>
      </c>
      <c r="L38" s="4">
        <f>SUM(L5:L37)</f>
        <v>82213.5</v>
      </c>
    </row>
    <row r="40" spans="1:17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633"/>
      <c r="K40" s="767">
        <f>I38+L38</f>
        <v>85320.14</v>
      </c>
      <c r="L40" s="768"/>
    </row>
    <row r="41" spans="1:17" ht="15.75" x14ac:dyDescent="0.25">
      <c r="B41" s="281"/>
      <c r="C41" s="56"/>
      <c r="D41" s="759" t="s">
        <v>12</v>
      </c>
      <c r="E41" s="759"/>
      <c r="F41" s="57">
        <f>F38-K40</f>
        <v>1283443.31</v>
      </c>
      <c r="I41" s="66"/>
      <c r="J41" s="66"/>
    </row>
    <row r="42" spans="1:17" ht="15.75" x14ac:dyDescent="0.25">
      <c r="D42" s="785" t="s">
        <v>246</v>
      </c>
      <c r="E42" s="785"/>
      <c r="F42" s="57">
        <v>-1328933.92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-16025.3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-61515.909999999873</v>
      </c>
      <c r="I44" s="793" t="s">
        <v>248</v>
      </c>
      <c r="J44" s="794"/>
      <c r="K44" s="783">
        <f>F48+L46</f>
        <v>101619.40000000013</v>
      </c>
      <c r="L44" s="775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795"/>
      <c r="J45" s="796"/>
      <c r="K45" s="784"/>
      <c r="L45" s="776"/>
    </row>
    <row r="46" spans="1:17" ht="17.25" thickTop="1" thickBot="1" x14ac:dyDescent="0.3">
      <c r="C46" s="55"/>
      <c r="D46" s="758" t="s">
        <v>13</v>
      </c>
      <c r="E46" s="758"/>
      <c r="F46" s="60">
        <v>163135.31</v>
      </c>
      <c r="I46" s="770"/>
      <c r="J46" s="770"/>
      <c r="K46" s="792"/>
      <c r="L46" s="34"/>
    </row>
    <row r="47" spans="1:17" ht="19.5" thickBot="1" x14ac:dyDescent="0.35">
      <c r="C47" s="55"/>
      <c r="D47" s="632"/>
      <c r="E47" s="632"/>
      <c r="F47" s="139"/>
      <c r="H47" s="19"/>
      <c r="I47" s="635" t="s">
        <v>254</v>
      </c>
      <c r="J47" s="635"/>
      <c r="K47" s="786">
        <v>-112866.44</v>
      </c>
      <c r="L47" s="787"/>
    </row>
    <row r="48" spans="1:17" ht="17.25" thickTop="1" thickBot="1" x14ac:dyDescent="0.3">
      <c r="E48" s="6" t="s">
        <v>16</v>
      </c>
      <c r="F48" s="264">
        <f>F44+F45+F46</f>
        <v>101619.40000000013</v>
      </c>
    </row>
    <row r="49" spans="2:14" ht="19.5" thickBot="1" x14ac:dyDescent="0.35">
      <c r="B49"/>
      <c r="C49"/>
      <c r="D49" s="757"/>
      <c r="E49" s="757"/>
      <c r="F49" s="56"/>
      <c r="I49" s="790" t="s">
        <v>603</v>
      </c>
      <c r="J49" s="791"/>
      <c r="K49" s="788">
        <f>K44+K47</f>
        <v>-11247.039999999877</v>
      </c>
      <c r="L49" s="78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2"/>
  <sheetViews>
    <sheetView topLeftCell="A19" workbookViewId="0">
      <selection activeCell="D43" sqref="D43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1" max="11" width="17.140625" customWidth="1"/>
    <col min="14" max="14" width="20.140625" bestFit="1" customWidth="1"/>
    <col min="20" max="20" width="14.28515625" customWidth="1"/>
    <col min="23" max="23" width="15.5703125" customWidth="1"/>
  </cols>
  <sheetData>
    <row r="1" spans="1:25" ht="19.5" thickBot="1" x14ac:dyDescent="0.35">
      <c r="B1" s="621" t="s">
        <v>689</v>
      </c>
      <c r="C1" s="622"/>
      <c r="D1" s="584"/>
      <c r="E1" s="622"/>
      <c r="K1" s="474" t="s">
        <v>205</v>
      </c>
      <c r="L1" s="204"/>
      <c r="M1" s="672"/>
      <c r="N1" s="463">
        <v>42264</v>
      </c>
      <c r="O1" s="276"/>
      <c r="T1" s="474" t="s">
        <v>205</v>
      </c>
      <c r="U1" s="204"/>
      <c r="V1" s="686"/>
      <c r="W1" s="463">
        <v>42276</v>
      </c>
      <c r="X1" s="276"/>
    </row>
    <row r="2" spans="1:25" ht="16.5" thickBot="1" x14ac:dyDescent="0.3">
      <c r="A2" s="615"/>
      <c r="B2" s="616"/>
      <c r="C2" s="513"/>
      <c r="D2" s="616"/>
      <c r="E2" s="513"/>
      <c r="F2" s="513"/>
      <c r="J2" s="205"/>
      <c r="K2" s="419"/>
      <c r="L2" s="205"/>
      <c r="M2" s="206"/>
      <c r="N2" s="419"/>
      <c r="O2" s="519"/>
      <c r="S2" s="205"/>
      <c r="T2" s="419"/>
      <c r="U2" s="205"/>
      <c r="V2" s="206"/>
      <c r="W2" s="419"/>
      <c r="X2" s="519"/>
    </row>
    <row r="3" spans="1:25" ht="15.75" x14ac:dyDescent="0.25">
      <c r="A3" s="411">
        <v>42248</v>
      </c>
      <c r="B3" s="412" t="s">
        <v>690</v>
      </c>
      <c r="C3" s="450">
        <v>109886.85</v>
      </c>
      <c r="D3" s="534">
        <v>42264</v>
      </c>
      <c r="E3" s="450">
        <v>109886.85</v>
      </c>
      <c r="F3" s="413">
        <f t="shared" ref="F3:F40" si="0">C3-E3</f>
        <v>0</v>
      </c>
      <c r="J3" s="212" t="s">
        <v>202</v>
      </c>
      <c r="K3" s="419" t="s">
        <v>195</v>
      </c>
      <c r="L3" s="205"/>
      <c r="M3" s="206" t="s">
        <v>203</v>
      </c>
      <c r="N3" s="419" t="s">
        <v>204</v>
      </c>
      <c r="O3" s="519"/>
      <c r="S3" s="212" t="s">
        <v>202</v>
      </c>
      <c r="T3" s="419" t="s">
        <v>195</v>
      </c>
      <c r="U3" s="205"/>
      <c r="V3" s="206" t="s">
        <v>203</v>
      </c>
      <c r="W3" s="419" t="s">
        <v>204</v>
      </c>
      <c r="X3" s="519"/>
    </row>
    <row r="4" spans="1:25" ht="15.75" x14ac:dyDescent="0.25">
      <c r="A4" s="249">
        <v>42248</v>
      </c>
      <c r="B4" s="483" t="s">
        <v>691</v>
      </c>
      <c r="C4" s="450">
        <v>11793.8</v>
      </c>
      <c r="D4" s="534">
        <v>42264</v>
      </c>
      <c r="E4" s="450">
        <v>11793.8</v>
      </c>
      <c r="F4" s="296">
        <f t="shared" si="0"/>
        <v>0</v>
      </c>
      <c r="J4" s="496" t="s">
        <v>692</v>
      </c>
      <c r="K4" s="432">
        <v>14235.6</v>
      </c>
      <c r="L4" s="216"/>
      <c r="M4" s="331" t="s">
        <v>674</v>
      </c>
      <c r="N4" s="522">
        <v>561</v>
      </c>
      <c r="O4" s="523">
        <v>42247</v>
      </c>
      <c r="P4" t="s">
        <v>729</v>
      </c>
      <c r="S4" s="496" t="s">
        <v>748</v>
      </c>
      <c r="T4" s="432">
        <v>13890.82</v>
      </c>
      <c r="U4" s="216"/>
      <c r="V4" s="331" t="s">
        <v>674</v>
      </c>
      <c r="W4" s="522">
        <v>52968</v>
      </c>
      <c r="X4" s="523">
        <v>42266</v>
      </c>
      <c r="Y4" s="21">
        <v>42265</v>
      </c>
    </row>
    <row r="5" spans="1:25" ht="15.75" x14ac:dyDescent="0.25">
      <c r="A5" s="249">
        <v>42249</v>
      </c>
      <c r="B5" s="483" t="s">
        <v>694</v>
      </c>
      <c r="C5" s="450">
        <v>7937.6</v>
      </c>
      <c r="D5" s="534">
        <v>42264</v>
      </c>
      <c r="E5" s="450">
        <v>7937.6</v>
      </c>
      <c r="F5" s="296">
        <f t="shared" si="0"/>
        <v>0</v>
      </c>
      <c r="H5" s="336"/>
      <c r="J5" s="496" t="s">
        <v>693</v>
      </c>
      <c r="K5" s="450">
        <v>12313</v>
      </c>
      <c r="L5" s="234"/>
      <c r="M5" s="331" t="s">
        <v>674</v>
      </c>
      <c r="N5" s="522">
        <v>140</v>
      </c>
      <c r="O5" s="523">
        <v>42247</v>
      </c>
      <c r="P5" s="21">
        <v>42239</v>
      </c>
      <c r="S5" s="496" t="s">
        <v>743</v>
      </c>
      <c r="T5" s="450">
        <v>7376</v>
      </c>
      <c r="U5" s="234"/>
      <c r="V5" s="331" t="s">
        <v>674</v>
      </c>
      <c r="W5" s="522">
        <v>32187</v>
      </c>
      <c r="X5" s="523">
        <v>42270</v>
      </c>
      <c r="Y5" s="21">
        <v>42269</v>
      </c>
    </row>
    <row r="6" spans="1:25" ht="15.75" x14ac:dyDescent="0.25">
      <c r="A6" s="249">
        <v>42250</v>
      </c>
      <c r="B6" s="483" t="s">
        <v>709</v>
      </c>
      <c r="C6" s="450">
        <v>3631.2</v>
      </c>
      <c r="D6" s="534">
        <v>42264</v>
      </c>
      <c r="E6" s="450">
        <v>3631.2</v>
      </c>
      <c r="F6" s="296">
        <f>C6-E6</f>
        <v>0</v>
      </c>
      <c r="J6" s="561" t="s">
        <v>679</v>
      </c>
      <c r="K6" s="246">
        <v>10743.39</v>
      </c>
      <c r="L6" s="234"/>
      <c r="M6" s="331" t="s">
        <v>674</v>
      </c>
      <c r="N6" s="521">
        <v>39261</v>
      </c>
      <c r="O6" s="525">
        <v>42247</v>
      </c>
      <c r="P6" s="21">
        <v>42240</v>
      </c>
      <c r="S6" s="496" t="s">
        <v>745</v>
      </c>
      <c r="T6" s="450">
        <v>417.6</v>
      </c>
      <c r="U6" s="234"/>
      <c r="V6" s="331" t="s">
        <v>674</v>
      </c>
      <c r="W6" s="521">
        <v>500</v>
      </c>
      <c r="X6" s="525">
        <v>42272</v>
      </c>
      <c r="Y6" s="21">
        <v>42270</v>
      </c>
    </row>
    <row r="7" spans="1:25" ht="15.75" x14ac:dyDescent="0.25">
      <c r="A7" s="249">
        <v>42251</v>
      </c>
      <c r="B7" s="483" t="s">
        <v>710</v>
      </c>
      <c r="C7" s="81">
        <v>17297.599999999999</v>
      </c>
      <c r="D7" s="534">
        <v>42264</v>
      </c>
      <c r="E7" s="81">
        <v>17297.599999999999</v>
      </c>
      <c r="F7" s="296">
        <f t="shared" si="0"/>
        <v>0</v>
      </c>
      <c r="J7" s="496" t="s">
        <v>680</v>
      </c>
      <c r="K7" s="81">
        <v>10948</v>
      </c>
      <c r="L7" s="234"/>
      <c r="M7" s="331" t="s">
        <v>674</v>
      </c>
      <c r="N7" s="522">
        <v>28415</v>
      </c>
      <c r="O7" s="523">
        <v>42247</v>
      </c>
      <c r="P7" s="21">
        <v>42241</v>
      </c>
      <c r="S7" s="496" t="s">
        <v>746</v>
      </c>
      <c r="T7" s="450">
        <v>84180.4</v>
      </c>
      <c r="U7" s="234"/>
      <c r="V7" s="331" t="s">
        <v>674</v>
      </c>
      <c r="W7" s="522">
        <v>26710</v>
      </c>
      <c r="X7" s="523">
        <v>42272</v>
      </c>
      <c r="Y7" s="21">
        <v>42271</v>
      </c>
    </row>
    <row r="8" spans="1:25" ht="15.75" x14ac:dyDescent="0.25">
      <c r="A8" s="249">
        <v>42251</v>
      </c>
      <c r="B8" s="483" t="s">
        <v>707</v>
      </c>
      <c r="C8" s="450">
        <v>8046.5</v>
      </c>
      <c r="D8" s="534">
        <v>42264</v>
      </c>
      <c r="E8" s="450">
        <v>8046.5</v>
      </c>
      <c r="F8" s="296">
        <f t="shared" si="0"/>
        <v>0</v>
      </c>
      <c r="J8" s="412" t="s">
        <v>690</v>
      </c>
      <c r="K8" s="450">
        <v>109886.85</v>
      </c>
      <c r="L8" s="234"/>
      <c r="M8" s="331" t="s">
        <v>674</v>
      </c>
      <c r="N8" s="522">
        <v>22635</v>
      </c>
      <c r="O8" s="523">
        <v>42249</v>
      </c>
      <c r="P8" s="21">
        <v>42242</v>
      </c>
      <c r="S8" s="496" t="s">
        <v>747</v>
      </c>
      <c r="T8" s="450">
        <v>6500.18</v>
      </c>
      <c r="U8" s="234" t="s">
        <v>236</v>
      </c>
      <c r="V8" s="331" t="s">
        <v>674</v>
      </c>
      <c r="W8" s="522"/>
      <c r="X8" s="523"/>
    </row>
    <row r="9" spans="1:25" ht="15.75" x14ac:dyDescent="0.25">
      <c r="A9" s="249">
        <v>42252</v>
      </c>
      <c r="B9" s="483" t="s">
        <v>708</v>
      </c>
      <c r="C9" s="450">
        <v>131465.89300000001</v>
      </c>
      <c r="D9" s="534">
        <v>42264</v>
      </c>
      <c r="E9" s="450">
        <v>131465.89300000001</v>
      </c>
      <c r="F9" s="296">
        <f t="shared" si="0"/>
        <v>0</v>
      </c>
      <c r="J9" s="483" t="s">
        <v>691</v>
      </c>
      <c r="K9" s="450">
        <v>11793.8</v>
      </c>
      <c r="L9" s="235"/>
      <c r="M9" s="331" t="s">
        <v>674</v>
      </c>
      <c r="N9" s="521">
        <v>24980.5</v>
      </c>
      <c r="O9" s="525">
        <v>42249</v>
      </c>
      <c r="P9" s="21">
        <v>42243</v>
      </c>
      <c r="S9" s="496"/>
      <c r="T9" s="450"/>
      <c r="U9" s="235"/>
      <c r="V9" s="331" t="s">
        <v>674</v>
      </c>
      <c r="W9" s="521"/>
      <c r="X9" s="525"/>
    </row>
    <row r="10" spans="1:25" ht="15.75" x14ac:dyDescent="0.25">
      <c r="A10" s="249">
        <v>42254</v>
      </c>
      <c r="B10" s="344" t="s">
        <v>711</v>
      </c>
      <c r="C10" s="81">
        <v>7976.1</v>
      </c>
      <c r="D10" s="534">
        <v>42264</v>
      </c>
      <c r="E10" s="81">
        <v>7976.1</v>
      </c>
      <c r="F10" s="296">
        <f t="shared" si="0"/>
        <v>0</v>
      </c>
      <c r="J10" s="483" t="s">
        <v>694</v>
      </c>
      <c r="K10" s="450">
        <v>7937.6</v>
      </c>
      <c r="L10" s="230"/>
      <c r="M10" s="331" t="s">
        <v>674</v>
      </c>
      <c r="N10" s="522">
        <v>62395</v>
      </c>
      <c r="O10" s="523">
        <v>42249</v>
      </c>
      <c r="P10" s="21">
        <v>42244</v>
      </c>
      <c r="S10" s="496"/>
      <c r="T10" s="450"/>
      <c r="U10" s="230"/>
      <c r="V10" s="331" t="s">
        <v>674</v>
      </c>
      <c r="W10" s="522"/>
      <c r="X10" s="523"/>
    </row>
    <row r="11" spans="1:25" ht="15.75" x14ac:dyDescent="0.25">
      <c r="A11" s="249">
        <v>42254</v>
      </c>
      <c r="B11" s="344" t="s">
        <v>712</v>
      </c>
      <c r="C11" s="81">
        <v>101157.1</v>
      </c>
      <c r="D11" s="534">
        <v>42264</v>
      </c>
      <c r="E11" s="81">
        <v>101157.1</v>
      </c>
      <c r="F11" s="297">
        <f t="shared" si="0"/>
        <v>0</v>
      </c>
      <c r="J11" s="483" t="s">
        <v>709</v>
      </c>
      <c r="K11" s="450">
        <v>3631.2</v>
      </c>
      <c r="L11" s="230"/>
      <c r="M11" s="331" t="s">
        <v>674</v>
      </c>
      <c r="N11" s="521">
        <v>48546</v>
      </c>
      <c r="O11" s="525">
        <v>42249</v>
      </c>
      <c r="P11" s="21">
        <v>42245</v>
      </c>
      <c r="S11" s="496"/>
      <c r="T11" s="450"/>
      <c r="U11" s="230"/>
      <c r="V11" s="331" t="s">
        <v>674</v>
      </c>
      <c r="W11" s="521"/>
      <c r="X11" s="525"/>
    </row>
    <row r="12" spans="1:25" ht="15.75" x14ac:dyDescent="0.25">
      <c r="A12" s="249">
        <v>42256</v>
      </c>
      <c r="B12" s="344" t="s">
        <v>713</v>
      </c>
      <c r="C12" s="81">
        <v>18761.47</v>
      </c>
      <c r="D12" s="534">
        <v>42264</v>
      </c>
      <c r="E12" s="81">
        <v>18761.47</v>
      </c>
      <c r="F12" s="297">
        <f t="shared" si="0"/>
        <v>0</v>
      </c>
      <c r="J12" s="483" t="s">
        <v>710</v>
      </c>
      <c r="K12" s="81">
        <v>17297.599999999999</v>
      </c>
      <c r="L12" s="416"/>
      <c r="M12" s="331" t="s">
        <v>674</v>
      </c>
      <c r="N12" s="522">
        <v>55725</v>
      </c>
      <c r="O12" s="523">
        <v>42249</v>
      </c>
      <c r="P12" s="21">
        <v>42246</v>
      </c>
      <c r="S12" s="496"/>
      <c r="T12" s="450"/>
      <c r="U12" s="416"/>
      <c r="V12" s="331" t="s">
        <v>674</v>
      </c>
      <c r="W12" s="522"/>
      <c r="X12" s="523"/>
    </row>
    <row r="13" spans="1:25" ht="15.75" x14ac:dyDescent="0.25">
      <c r="A13" s="359">
        <v>42258</v>
      </c>
      <c r="B13" s="344" t="s">
        <v>714</v>
      </c>
      <c r="C13" s="81">
        <v>26202.02</v>
      </c>
      <c r="D13" s="534">
        <v>42264</v>
      </c>
      <c r="E13" s="81">
        <v>26202.02</v>
      </c>
      <c r="F13" s="297">
        <f>C13-E13</f>
        <v>0</v>
      </c>
      <c r="J13" s="483" t="s">
        <v>707</v>
      </c>
      <c r="K13" s="450">
        <v>8046.5</v>
      </c>
      <c r="L13" s="459"/>
      <c r="M13" s="331" t="s">
        <v>674</v>
      </c>
      <c r="N13" s="528">
        <v>32158</v>
      </c>
      <c r="O13" s="527">
        <v>42249</v>
      </c>
      <c r="P13" s="21">
        <v>42247</v>
      </c>
      <c r="S13" s="496"/>
      <c r="T13" s="450"/>
      <c r="U13" s="459"/>
      <c r="V13" s="331" t="s">
        <v>674</v>
      </c>
      <c r="W13" s="528"/>
      <c r="X13" s="527"/>
    </row>
    <row r="14" spans="1:25" ht="15.75" x14ac:dyDescent="0.25">
      <c r="A14" s="359">
        <v>42259</v>
      </c>
      <c r="B14" s="496" t="s">
        <v>715</v>
      </c>
      <c r="C14" s="450">
        <v>59556.25</v>
      </c>
      <c r="D14" s="534">
        <v>42264</v>
      </c>
      <c r="E14" s="450">
        <v>59556.25</v>
      </c>
      <c r="F14" s="297">
        <f t="shared" si="0"/>
        <v>0</v>
      </c>
      <c r="J14" s="483" t="s">
        <v>708</v>
      </c>
      <c r="K14" s="450">
        <v>131465.89300000001</v>
      </c>
      <c r="L14" s="230"/>
      <c r="M14" s="331" t="s">
        <v>674</v>
      </c>
      <c r="N14" s="521">
        <v>42329</v>
      </c>
      <c r="O14" s="525">
        <v>42262</v>
      </c>
      <c r="P14" s="21">
        <v>42248</v>
      </c>
      <c r="S14" s="230"/>
      <c r="T14" s="232">
        <v>0</v>
      </c>
      <c r="U14" s="230"/>
      <c r="V14" s="416"/>
      <c r="W14" s="324"/>
      <c r="X14" s="416"/>
    </row>
    <row r="15" spans="1:25" ht="15.75" x14ac:dyDescent="0.25">
      <c r="A15" s="343">
        <v>42259</v>
      </c>
      <c r="B15" s="344" t="s">
        <v>716</v>
      </c>
      <c r="C15" s="81">
        <v>61450.95</v>
      </c>
      <c r="D15" s="534">
        <v>42264</v>
      </c>
      <c r="E15" s="81">
        <v>61450.95</v>
      </c>
      <c r="F15" s="297">
        <f t="shared" si="0"/>
        <v>0</v>
      </c>
      <c r="J15" s="344" t="s">
        <v>711</v>
      </c>
      <c r="K15" s="81">
        <v>7976.1</v>
      </c>
      <c r="L15" s="230"/>
      <c r="M15" s="331" t="s">
        <v>674</v>
      </c>
      <c r="N15" s="521">
        <v>26761</v>
      </c>
      <c r="O15" s="525">
        <v>42262</v>
      </c>
      <c r="P15" s="21">
        <v>42249</v>
      </c>
      <c r="T15" s="419">
        <f>SUM(T4:T14)</f>
        <v>112365</v>
      </c>
      <c r="U15" s="208"/>
      <c r="V15" s="206"/>
      <c r="W15" s="419">
        <f>SUM(W4:W13)</f>
        <v>112365</v>
      </c>
    </row>
    <row r="16" spans="1:25" ht="15.75" x14ac:dyDescent="0.25">
      <c r="A16" s="343">
        <v>42260</v>
      </c>
      <c r="B16" s="496" t="s">
        <v>717</v>
      </c>
      <c r="C16" s="450">
        <v>43877.15</v>
      </c>
      <c r="D16" s="534">
        <v>42264</v>
      </c>
      <c r="E16" s="450">
        <v>43877.15</v>
      </c>
      <c r="F16" s="297">
        <f t="shared" si="0"/>
        <v>0</v>
      </c>
      <c r="J16" s="344" t="s">
        <v>712</v>
      </c>
      <c r="K16" s="81">
        <v>101157.1</v>
      </c>
      <c r="L16" s="629"/>
      <c r="M16" s="587" t="s">
        <v>674</v>
      </c>
      <c r="N16" s="630">
        <v>36881</v>
      </c>
      <c r="O16" s="589">
        <v>42262</v>
      </c>
      <c r="P16" s="21">
        <v>42250</v>
      </c>
    </row>
    <row r="17" spans="1:16" ht="15.75" x14ac:dyDescent="0.25">
      <c r="A17" s="343">
        <v>42260</v>
      </c>
      <c r="B17" s="496" t="s">
        <v>718</v>
      </c>
      <c r="C17" s="450">
        <v>2227.1999999999998</v>
      </c>
      <c r="D17" s="534">
        <v>42264</v>
      </c>
      <c r="E17" s="450">
        <v>2227.1999999999998</v>
      </c>
      <c r="F17" s="297">
        <f t="shared" si="0"/>
        <v>0</v>
      </c>
      <c r="J17" s="344" t="s">
        <v>713</v>
      </c>
      <c r="K17" s="81">
        <v>18761.47</v>
      </c>
      <c r="L17" s="216"/>
      <c r="M17" s="587" t="s">
        <v>674</v>
      </c>
      <c r="N17" s="521">
        <v>92068</v>
      </c>
      <c r="O17" s="525">
        <v>42262</v>
      </c>
      <c r="P17" s="21">
        <v>42252</v>
      </c>
    </row>
    <row r="18" spans="1:16" ht="15.75" x14ac:dyDescent="0.25">
      <c r="A18" s="343">
        <v>42261</v>
      </c>
      <c r="B18" s="496" t="s">
        <v>719</v>
      </c>
      <c r="C18" s="450">
        <v>139944.9</v>
      </c>
      <c r="D18" s="534">
        <v>42264</v>
      </c>
      <c r="E18" s="450">
        <v>139944.9</v>
      </c>
      <c r="F18" s="297">
        <f t="shared" si="0"/>
        <v>0</v>
      </c>
      <c r="J18" s="344" t="s">
        <v>714</v>
      </c>
      <c r="K18" s="81">
        <v>26202.02</v>
      </c>
      <c r="L18" s="230"/>
      <c r="M18" s="587" t="s">
        <v>674</v>
      </c>
      <c r="N18" s="521">
        <v>58564.5</v>
      </c>
      <c r="O18" s="525">
        <v>42262</v>
      </c>
      <c r="P18" s="21">
        <v>42253</v>
      </c>
    </row>
    <row r="19" spans="1:16" ht="15.75" x14ac:dyDescent="0.25">
      <c r="A19" s="343">
        <v>42260</v>
      </c>
      <c r="B19" s="496" t="s">
        <v>734</v>
      </c>
      <c r="C19" s="450">
        <v>2050</v>
      </c>
      <c r="D19" s="534">
        <v>42271</v>
      </c>
      <c r="E19" s="450">
        <v>2050</v>
      </c>
      <c r="F19" s="297">
        <f t="shared" ref="F19:F26" si="1">C19-E19</f>
        <v>0</v>
      </c>
      <c r="J19" s="496" t="s">
        <v>715</v>
      </c>
      <c r="K19" s="450">
        <v>59556.25</v>
      </c>
      <c r="L19" s="230"/>
      <c r="M19" s="587" t="s">
        <v>674</v>
      </c>
      <c r="N19" s="521">
        <v>23851</v>
      </c>
      <c r="O19" s="525">
        <v>42256</v>
      </c>
      <c r="P19" s="21">
        <v>42254</v>
      </c>
    </row>
    <row r="20" spans="1:16" ht="15.75" x14ac:dyDescent="0.25">
      <c r="A20" s="343">
        <v>42262</v>
      </c>
      <c r="B20" s="496" t="s">
        <v>733</v>
      </c>
      <c r="C20" s="450">
        <v>2246.4</v>
      </c>
      <c r="D20" s="534">
        <v>42271</v>
      </c>
      <c r="E20" s="450">
        <v>2246.4</v>
      </c>
      <c r="F20" s="297">
        <f t="shared" si="1"/>
        <v>0</v>
      </c>
      <c r="J20" s="344" t="s">
        <v>716</v>
      </c>
      <c r="K20" s="81">
        <v>61450.95</v>
      </c>
      <c r="L20" s="230"/>
      <c r="M20" s="587" t="s">
        <v>674</v>
      </c>
      <c r="N20" s="521">
        <v>32385</v>
      </c>
      <c r="O20" s="525">
        <v>42256</v>
      </c>
      <c r="P20" s="21">
        <v>42255</v>
      </c>
    </row>
    <row r="21" spans="1:16" ht="15.75" x14ac:dyDescent="0.25">
      <c r="A21" s="343">
        <v>42263</v>
      </c>
      <c r="B21" s="496" t="s">
        <v>730</v>
      </c>
      <c r="C21" s="450">
        <v>31842.1</v>
      </c>
      <c r="D21" s="617" t="s">
        <v>742</v>
      </c>
      <c r="E21" s="450">
        <f>7014.93+24827.17</f>
        <v>31842.1</v>
      </c>
      <c r="F21" s="297">
        <f t="shared" si="1"/>
        <v>0</v>
      </c>
      <c r="J21" s="496" t="s">
        <v>717</v>
      </c>
      <c r="K21" s="450">
        <v>43877.15</v>
      </c>
      <c r="L21" s="230"/>
      <c r="M21" s="587" t="s">
        <v>674</v>
      </c>
      <c r="N21" s="521">
        <v>28108</v>
      </c>
      <c r="O21" s="525">
        <v>42257</v>
      </c>
      <c r="P21" s="21">
        <v>42256</v>
      </c>
    </row>
    <row r="22" spans="1:16" ht="15.75" x14ac:dyDescent="0.25">
      <c r="A22" s="343">
        <v>42264</v>
      </c>
      <c r="B22" s="496" t="s">
        <v>735</v>
      </c>
      <c r="C22" s="450">
        <v>3456.6</v>
      </c>
      <c r="D22" s="534">
        <v>42271</v>
      </c>
      <c r="E22" s="450">
        <v>3456.6</v>
      </c>
      <c r="F22" s="297">
        <f t="shared" si="1"/>
        <v>0</v>
      </c>
      <c r="J22" s="496" t="s">
        <v>718</v>
      </c>
      <c r="K22" s="450">
        <v>2227.1999999999998</v>
      </c>
      <c r="L22" s="230"/>
      <c r="M22" s="587" t="s">
        <v>674</v>
      </c>
      <c r="N22" s="521">
        <v>29000</v>
      </c>
      <c r="O22" s="525">
        <v>42262</v>
      </c>
      <c r="P22" s="21">
        <v>42257</v>
      </c>
    </row>
    <row r="23" spans="1:16" ht="15.75" x14ac:dyDescent="0.25">
      <c r="A23" s="343">
        <v>42266</v>
      </c>
      <c r="B23" s="496" t="s">
        <v>738</v>
      </c>
      <c r="C23" s="450">
        <v>109887.2</v>
      </c>
      <c r="D23" s="534">
        <v>42271</v>
      </c>
      <c r="E23" s="450">
        <v>109887.2</v>
      </c>
      <c r="F23" s="297">
        <f t="shared" si="1"/>
        <v>0</v>
      </c>
      <c r="J23" s="496" t="s">
        <v>719</v>
      </c>
      <c r="K23" s="450">
        <v>139944.9</v>
      </c>
      <c r="L23" s="230"/>
      <c r="M23" s="587" t="s">
        <v>674</v>
      </c>
      <c r="N23" s="521">
        <v>8113.5</v>
      </c>
      <c r="O23" s="525">
        <v>42258</v>
      </c>
      <c r="P23" s="21">
        <v>42257</v>
      </c>
    </row>
    <row r="24" spans="1:16" ht="15.75" x14ac:dyDescent="0.25">
      <c r="A24" s="343">
        <v>42266</v>
      </c>
      <c r="B24" s="496" t="s">
        <v>739</v>
      </c>
      <c r="C24" s="450">
        <v>2118</v>
      </c>
      <c r="D24" s="534">
        <v>42271</v>
      </c>
      <c r="E24" s="450">
        <v>2118</v>
      </c>
      <c r="F24" s="297">
        <f t="shared" si="1"/>
        <v>0</v>
      </c>
      <c r="J24" s="678" t="s">
        <v>730</v>
      </c>
      <c r="K24" s="679">
        <v>7014.93</v>
      </c>
      <c r="L24" s="416" t="s">
        <v>325</v>
      </c>
      <c r="M24" s="587" t="s">
        <v>674</v>
      </c>
      <c r="N24" s="521">
        <v>46650</v>
      </c>
      <c r="O24" s="525">
        <v>42261</v>
      </c>
      <c r="P24" s="21">
        <v>42258</v>
      </c>
    </row>
    <row r="25" spans="1:16" ht="15.75" x14ac:dyDescent="0.25">
      <c r="A25" s="343">
        <v>42266</v>
      </c>
      <c r="B25" s="496" t="s">
        <v>740</v>
      </c>
      <c r="C25" s="450">
        <v>3183.04</v>
      </c>
      <c r="D25" s="534">
        <v>42271</v>
      </c>
      <c r="E25" s="450">
        <v>3183.04</v>
      </c>
      <c r="F25" s="297">
        <f t="shared" si="1"/>
        <v>0</v>
      </c>
      <c r="J25" s="680"/>
      <c r="K25" s="679">
        <v>0</v>
      </c>
      <c r="L25" s="230"/>
      <c r="M25" s="587" t="s">
        <v>674</v>
      </c>
      <c r="N25" s="521">
        <v>66940</v>
      </c>
      <c r="O25" s="525">
        <v>42262</v>
      </c>
      <c r="P25" s="21">
        <v>42259</v>
      </c>
    </row>
    <row r="26" spans="1:16" ht="15.75" x14ac:dyDescent="0.25">
      <c r="A26" s="343">
        <v>42266</v>
      </c>
      <c r="B26" s="496" t="s">
        <v>736</v>
      </c>
      <c r="C26" s="450">
        <v>4150.3999999999996</v>
      </c>
      <c r="D26" s="534">
        <v>42271</v>
      </c>
      <c r="E26" s="450">
        <v>4150.3999999999996</v>
      </c>
      <c r="F26" s="297">
        <f t="shared" si="1"/>
        <v>0</v>
      </c>
      <c r="J26" s="676"/>
      <c r="K26" s="677">
        <v>0</v>
      </c>
      <c r="L26" s="230"/>
      <c r="M26" s="587" t="s">
        <v>674</v>
      </c>
      <c r="N26" s="521"/>
      <c r="O26" s="525"/>
    </row>
    <row r="27" spans="1:16" ht="15.75" x14ac:dyDescent="0.25">
      <c r="A27" s="343">
        <v>42269</v>
      </c>
      <c r="B27" s="496" t="s">
        <v>741</v>
      </c>
      <c r="C27" s="450">
        <v>110221.61</v>
      </c>
      <c r="D27" s="617" t="s">
        <v>749</v>
      </c>
      <c r="E27" s="685">
        <f>96201.19+13890.82</f>
        <v>110092.01000000001</v>
      </c>
      <c r="F27" s="476">
        <f t="shared" si="0"/>
        <v>129.59999999999127</v>
      </c>
      <c r="J27" s="676"/>
      <c r="K27" s="677">
        <v>0</v>
      </c>
      <c r="L27" s="230"/>
      <c r="M27" s="587" t="s">
        <v>674</v>
      </c>
      <c r="N27" s="521"/>
      <c r="O27" s="525"/>
    </row>
    <row r="28" spans="1:16" x14ac:dyDescent="0.25">
      <c r="A28" s="343">
        <v>42270</v>
      </c>
      <c r="B28" s="496" t="s">
        <v>743</v>
      </c>
      <c r="C28" s="450">
        <v>7376</v>
      </c>
      <c r="D28" s="562">
        <v>42276</v>
      </c>
      <c r="E28" s="369">
        <v>7376</v>
      </c>
      <c r="F28" s="297">
        <f t="shared" si="0"/>
        <v>0</v>
      </c>
      <c r="J28" s="230"/>
      <c r="K28" s="232">
        <v>0</v>
      </c>
      <c r="L28" s="230"/>
      <c r="M28" s="416"/>
      <c r="N28" s="324"/>
      <c r="O28" s="416"/>
    </row>
    <row r="29" spans="1:16" ht="15.75" x14ac:dyDescent="0.25">
      <c r="A29" s="343">
        <v>42271</v>
      </c>
      <c r="B29" s="496" t="s">
        <v>745</v>
      </c>
      <c r="C29" s="81">
        <v>417.6</v>
      </c>
      <c r="D29" s="480">
        <v>42276</v>
      </c>
      <c r="E29" s="366">
        <v>417.6</v>
      </c>
      <c r="F29" s="297">
        <f t="shared" si="0"/>
        <v>0</v>
      </c>
      <c r="K29" s="419">
        <f>SUM(K4:K28)</f>
        <v>806467.50300000003</v>
      </c>
      <c r="L29" s="208"/>
      <c r="M29" s="206"/>
      <c r="N29" s="419">
        <f>SUM(N4:N25)</f>
        <v>806467.5</v>
      </c>
    </row>
    <row r="30" spans="1:16" x14ac:dyDescent="0.25">
      <c r="A30" s="545">
        <v>42272</v>
      </c>
      <c r="B30" s="496" t="s">
        <v>746</v>
      </c>
      <c r="C30" s="81">
        <v>84180.4</v>
      </c>
      <c r="D30" s="480">
        <v>42276</v>
      </c>
      <c r="E30" s="366">
        <v>84180.4</v>
      </c>
      <c r="F30" s="297">
        <f>C30-E30</f>
        <v>0</v>
      </c>
    </row>
    <row r="31" spans="1:16" x14ac:dyDescent="0.25">
      <c r="A31" s="343">
        <v>42272</v>
      </c>
      <c r="B31" s="496" t="s">
        <v>747</v>
      </c>
      <c r="C31" s="81">
        <v>10384.200000000001</v>
      </c>
      <c r="D31" s="465" t="s">
        <v>759</v>
      </c>
      <c r="E31" s="294">
        <f>6500.18+3884.02</f>
        <v>10384.200000000001</v>
      </c>
      <c r="F31" s="297">
        <f>C31-E31</f>
        <v>0</v>
      </c>
    </row>
    <row r="32" spans="1:16" ht="15.75" thickBot="1" x14ac:dyDescent="0.3">
      <c r="A32" s="343">
        <v>42273</v>
      </c>
      <c r="B32" s="496" t="s">
        <v>754</v>
      </c>
      <c r="C32" s="81">
        <v>99105.47</v>
      </c>
      <c r="D32" s="465">
        <v>42280</v>
      </c>
      <c r="E32" s="294">
        <v>99105.47</v>
      </c>
      <c r="F32" s="297">
        <f>C32-E32</f>
        <v>0</v>
      </c>
    </row>
    <row r="33" spans="1:16" ht="19.5" thickBot="1" x14ac:dyDescent="0.35">
      <c r="A33" s="545">
        <v>42275</v>
      </c>
      <c r="B33" s="496" t="s">
        <v>750</v>
      </c>
      <c r="C33" s="450">
        <v>23277.94</v>
      </c>
      <c r="D33" s="534">
        <v>42280</v>
      </c>
      <c r="E33" s="450">
        <v>23277.94</v>
      </c>
      <c r="F33" s="297">
        <f>C33-E33</f>
        <v>0</v>
      </c>
      <c r="K33" s="474" t="s">
        <v>205</v>
      </c>
      <c r="L33" s="204"/>
      <c r="M33" s="684"/>
      <c r="N33" s="425">
        <v>42271</v>
      </c>
      <c r="O33" s="276"/>
    </row>
    <row r="34" spans="1:16" ht="15.75" x14ac:dyDescent="0.25">
      <c r="A34" s="595">
        <v>42277</v>
      </c>
      <c r="B34" s="585" t="s">
        <v>753</v>
      </c>
      <c r="C34" s="81">
        <v>83824.38</v>
      </c>
      <c r="D34" s="465">
        <v>42280</v>
      </c>
      <c r="E34" s="294">
        <v>83824.38</v>
      </c>
      <c r="F34" s="596">
        <f>C34-E34</f>
        <v>0</v>
      </c>
      <c r="J34" s="205"/>
      <c r="K34" s="419"/>
      <c r="L34" s="205"/>
      <c r="M34" s="206"/>
      <c r="N34" s="419"/>
      <c r="O34" s="519"/>
    </row>
    <row r="35" spans="1:16" ht="15.75" x14ac:dyDescent="0.25">
      <c r="A35" s="602"/>
      <c r="B35" s="618"/>
      <c r="C35" s="81"/>
      <c r="D35" s="287"/>
      <c r="E35" s="81"/>
      <c r="F35" s="596">
        <f t="shared" si="0"/>
        <v>0</v>
      </c>
      <c r="J35" s="212" t="s">
        <v>202</v>
      </c>
      <c r="K35" s="419" t="s">
        <v>195</v>
      </c>
      <c r="L35" s="205"/>
      <c r="M35" s="206" t="s">
        <v>203</v>
      </c>
      <c r="N35" s="419" t="s">
        <v>204</v>
      </c>
      <c r="O35" s="519"/>
    </row>
    <row r="36" spans="1:16" ht="15.75" x14ac:dyDescent="0.25">
      <c r="A36" s="602"/>
      <c r="B36" s="618"/>
      <c r="C36" s="81"/>
      <c r="D36" s="287"/>
      <c r="E36" s="81"/>
      <c r="F36" s="596">
        <f t="shared" si="0"/>
        <v>0</v>
      </c>
      <c r="J36" s="496" t="s">
        <v>734</v>
      </c>
      <c r="K36" s="432">
        <v>2050</v>
      </c>
      <c r="L36" s="216"/>
      <c r="M36" s="331" t="s">
        <v>674</v>
      </c>
      <c r="N36" s="522">
        <v>905</v>
      </c>
      <c r="O36" s="523">
        <v>42264</v>
      </c>
      <c r="P36" s="21">
        <v>42252</v>
      </c>
    </row>
    <row r="37" spans="1:16" ht="15.75" x14ac:dyDescent="0.25">
      <c r="A37" s="249"/>
      <c r="B37" s="619"/>
      <c r="C37" s="81"/>
      <c r="D37" s="287"/>
      <c r="E37" s="81"/>
      <c r="F37" s="596">
        <f t="shared" si="0"/>
        <v>0</v>
      </c>
      <c r="J37" s="496" t="s">
        <v>733</v>
      </c>
      <c r="K37" s="450">
        <v>2246.4</v>
      </c>
      <c r="L37" s="234"/>
      <c r="M37" s="331" t="s">
        <v>674</v>
      </c>
      <c r="N37" s="522">
        <v>44341</v>
      </c>
      <c r="O37" s="523">
        <v>42262</v>
      </c>
      <c r="P37" s="21">
        <v>42260</v>
      </c>
    </row>
    <row r="38" spans="1:16" ht="15.75" x14ac:dyDescent="0.25">
      <c r="A38" s="473"/>
      <c r="B38" s="620"/>
      <c r="C38" s="81"/>
      <c r="D38" s="286"/>
      <c r="E38" s="81"/>
      <c r="F38" s="596">
        <f t="shared" si="0"/>
        <v>0</v>
      </c>
      <c r="J38" s="496" t="s">
        <v>730</v>
      </c>
      <c r="K38" s="450">
        <v>24827.17</v>
      </c>
      <c r="L38" s="234"/>
      <c r="M38" s="331" t="s">
        <v>674</v>
      </c>
      <c r="N38" s="521">
        <v>46875</v>
      </c>
      <c r="O38" s="525">
        <v>42262</v>
      </c>
      <c r="P38" s="21">
        <v>42261</v>
      </c>
    </row>
    <row r="39" spans="1:16" ht="15.75" x14ac:dyDescent="0.25">
      <c r="A39" s="473"/>
      <c r="B39" s="620"/>
      <c r="C39" s="81"/>
      <c r="D39" s="286"/>
      <c r="E39" s="81"/>
      <c r="F39" s="596">
        <f t="shared" si="0"/>
        <v>0</v>
      </c>
      <c r="J39" s="496" t="s">
        <v>735</v>
      </c>
      <c r="K39" s="450">
        <v>3456.6</v>
      </c>
      <c r="L39" s="234"/>
      <c r="M39" s="331" t="s">
        <v>674</v>
      </c>
      <c r="N39" s="522">
        <v>72633.5</v>
      </c>
      <c r="O39" s="523">
        <v>42264</v>
      </c>
      <c r="P39" s="21">
        <v>42262</v>
      </c>
    </row>
    <row r="40" spans="1:16" ht="16.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  <c r="J40" s="496" t="s">
        <v>738</v>
      </c>
      <c r="K40" s="450">
        <v>109887.2</v>
      </c>
      <c r="L40" s="234"/>
      <c r="M40" s="331" t="s">
        <v>674</v>
      </c>
      <c r="N40" s="522">
        <v>17346</v>
      </c>
      <c r="O40" s="523">
        <v>42264</v>
      </c>
      <c r="P40" s="21">
        <v>42263</v>
      </c>
    </row>
    <row r="41" spans="1:16" ht="16.5" thickTop="1" x14ac:dyDescent="0.25">
      <c r="B41" s="614"/>
      <c r="C41" s="450">
        <f>SUM(C3:C40)</f>
        <v>1328933.923</v>
      </c>
      <c r="D41" s="178"/>
      <c r="E41" s="336">
        <f>SUM(E3:E40)</f>
        <v>1328804.3229999999</v>
      </c>
      <c r="F41" s="569">
        <f>SUM(F3:F40)</f>
        <v>129.59999999999127</v>
      </c>
      <c r="J41" s="496" t="s">
        <v>739</v>
      </c>
      <c r="K41" s="450">
        <v>2118</v>
      </c>
      <c r="L41" s="235"/>
      <c r="M41" s="331" t="s">
        <v>674</v>
      </c>
      <c r="N41" s="521">
        <v>34511</v>
      </c>
      <c r="O41" s="525">
        <v>42265</v>
      </c>
      <c r="P41" s="21">
        <v>42264</v>
      </c>
    </row>
    <row r="42" spans="1:16" ht="15.75" x14ac:dyDescent="0.25">
      <c r="C42" s="450"/>
      <c r="J42" s="496" t="s">
        <v>740</v>
      </c>
      <c r="K42" s="450">
        <v>3183.04</v>
      </c>
      <c r="L42" s="230"/>
      <c r="M42" s="331" t="s">
        <v>674</v>
      </c>
      <c r="N42" s="522">
        <v>31508.5</v>
      </c>
      <c r="O42" s="523">
        <v>42266</v>
      </c>
      <c r="P42" s="21">
        <v>42265</v>
      </c>
    </row>
    <row r="43" spans="1:16" ht="15.75" x14ac:dyDescent="0.25">
      <c r="B43" s="25" t="s">
        <v>101</v>
      </c>
      <c r="E43" s="25"/>
      <c r="F43" s="25"/>
      <c r="J43" s="496" t="s">
        <v>736</v>
      </c>
      <c r="K43" s="450">
        <v>4150.3999999999996</v>
      </c>
      <c r="L43" s="230"/>
      <c r="M43" s="331" t="s">
        <v>674</v>
      </c>
      <c r="N43" s="521"/>
      <c r="O43" s="525"/>
    </row>
    <row r="44" spans="1:16" ht="15.75" x14ac:dyDescent="0.25">
      <c r="B44" s="450"/>
      <c r="C44" s="534"/>
      <c r="D44" s="196"/>
      <c r="E44" s="25"/>
      <c r="F44" s="25"/>
      <c r="J44" s="496" t="s">
        <v>741</v>
      </c>
      <c r="K44" s="450">
        <v>96201.19</v>
      </c>
      <c r="L44" s="416" t="s">
        <v>236</v>
      </c>
      <c r="M44" s="331" t="s">
        <v>674</v>
      </c>
      <c r="N44" s="522"/>
      <c r="O44" s="523"/>
    </row>
    <row r="45" spans="1:16" ht="15.75" x14ac:dyDescent="0.25">
      <c r="E45" s="25"/>
      <c r="F45" s="25"/>
      <c r="J45" s="496"/>
      <c r="K45" s="450"/>
      <c r="L45" s="459"/>
      <c r="M45" s="331" t="s">
        <v>674</v>
      </c>
      <c r="N45" s="528"/>
      <c r="O45" s="527"/>
    </row>
    <row r="46" spans="1:16" x14ac:dyDescent="0.25">
      <c r="A46" s="25"/>
      <c r="J46" s="230"/>
      <c r="K46" s="232">
        <v>0</v>
      </c>
      <c r="L46" s="230"/>
      <c r="M46" s="416"/>
      <c r="N46" s="324"/>
      <c r="O46" s="416"/>
    </row>
    <row r="47" spans="1:16" ht="15.75" x14ac:dyDescent="0.25">
      <c r="A47" s="25"/>
      <c r="C47" s="25"/>
      <c r="E47" s="25"/>
      <c r="F47" s="25"/>
      <c r="K47" s="419">
        <f>SUM(K36:K46)</f>
        <v>248120</v>
      </c>
      <c r="L47" s="208"/>
      <c r="M47" s="206"/>
      <c r="N47" s="419">
        <f>SUM(N36:N45)</f>
        <v>248120</v>
      </c>
    </row>
    <row r="48" spans="1:16" x14ac:dyDescent="0.25">
      <c r="A48" s="25"/>
      <c r="C48" s="25"/>
      <c r="E48" s="25"/>
      <c r="F48" s="25"/>
    </row>
    <row r="49" spans="1:8" x14ac:dyDescent="0.25">
      <c r="A49" s="25"/>
      <c r="C49" s="25"/>
      <c r="E49" s="25"/>
      <c r="F49" s="25"/>
      <c r="H49" s="59"/>
    </row>
    <row r="50" spans="1:8" x14ac:dyDescent="0.25">
      <c r="A50" s="25"/>
      <c r="C50" s="25"/>
      <c r="E50" s="25"/>
      <c r="F50" s="25"/>
    </row>
    <row r="51" spans="1:8" x14ac:dyDescent="0.25">
      <c r="A51" s="25"/>
      <c r="C51" s="25"/>
      <c r="E51" s="25"/>
      <c r="F51" s="25"/>
      <c r="G51"/>
    </row>
    <row r="52" spans="1:8" x14ac:dyDescent="0.25">
      <c r="A52" s="25"/>
      <c r="C52" s="25"/>
      <c r="E52" s="25"/>
      <c r="F52" s="25"/>
      <c r="G52"/>
    </row>
  </sheetData>
  <sortState ref="A30:F34">
    <sortCondition ref="B30:B34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2" workbookViewId="0">
      <selection activeCell="O29" sqref="O29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60" t="s">
        <v>755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</row>
    <row r="2" spans="1:19" ht="15.75" thickBot="1" x14ac:dyDescent="0.3">
      <c r="E2" s="697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163135.31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112" t="s">
        <v>159</v>
      </c>
    </row>
    <row r="5" spans="1:19" ht="15.75" thickTop="1" x14ac:dyDescent="0.25">
      <c r="A5" s="21"/>
      <c r="B5" s="40">
        <v>42278</v>
      </c>
      <c r="C5" s="46">
        <v>0</v>
      </c>
      <c r="D5" s="30"/>
      <c r="E5" s="28">
        <v>42278</v>
      </c>
      <c r="F5" s="52">
        <v>38947.410000000003</v>
      </c>
      <c r="G5" s="25"/>
      <c r="H5" s="26">
        <v>42278</v>
      </c>
      <c r="I5" s="61">
        <v>980.85</v>
      </c>
      <c r="J5" s="80"/>
      <c r="K5" s="122"/>
      <c r="L5" s="123"/>
      <c r="M5" s="151">
        <v>37966.5</v>
      </c>
      <c r="N5" s="336"/>
      <c r="O5" s="25"/>
      <c r="R5" t="s">
        <v>462</v>
      </c>
      <c r="S5">
        <v>1600</v>
      </c>
    </row>
    <row r="6" spans="1:19" x14ac:dyDescent="0.25">
      <c r="A6" s="21"/>
      <c r="B6" s="40">
        <v>42279</v>
      </c>
      <c r="C6" s="46">
        <v>624</v>
      </c>
      <c r="D6" s="70" t="s">
        <v>83</v>
      </c>
      <c r="E6" s="28">
        <v>42279</v>
      </c>
      <c r="F6" s="52">
        <v>61239.34</v>
      </c>
      <c r="G6" s="20"/>
      <c r="H6" s="29">
        <v>42279</v>
      </c>
      <c r="I6" s="62">
        <v>35</v>
      </c>
      <c r="J6" s="81"/>
      <c r="K6" s="73" t="s">
        <v>5</v>
      </c>
      <c r="L6" s="125">
        <v>538</v>
      </c>
      <c r="M6" s="116">
        <v>62549</v>
      </c>
      <c r="N6" s="336"/>
      <c r="O6" s="25"/>
    </row>
    <row r="7" spans="1:19" x14ac:dyDescent="0.25">
      <c r="A7" s="21"/>
      <c r="B7" s="40">
        <v>42280</v>
      </c>
      <c r="C7" s="46">
        <v>282.8</v>
      </c>
      <c r="D7" s="30" t="s">
        <v>411</v>
      </c>
      <c r="E7" s="28">
        <v>42280</v>
      </c>
      <c r="F7" s="52">
        <v>49442.44</v>
      </c>
      <c r="G7" s="25"/>
      <c r="H7" s="29">
        <v>42280</v>
      </c>
      <c r="I7" s="62">
        <v>117.5</v>
      </c>
      <c r="J7" s="81"/>
      <c r="K7" s="694" t="s">
        <v>756</v>
      </c>
      <c r="L7" s="125">
        <v>0</v>
      </c>
      <c r="M7" s="116">
        <v>50964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42281</v>
      </c>
      <c r="C8" s="46">
        <v>578</v>
      </c>
      <c r="D8" s="33" t="s">
        <v>83</v>
      </c>
      <c r="E8" s="28">
        <v>42281</v>
      </c>
      <c r="F8" s="52">
        <v>50243.24</v>
      </c>
      <c r="G8" s="25"/>
      <c r="H8" s="29">
        <v>42281</v>
      </c>
      <c r="I8" s="62">
        <v>140.5</v>
      </c>
      <c r="J8" s="81"/>
      <c r="K8" s="73" t="s">
        <v>6</v>
      </c>
      <c r="L8" s="124">
        <v>28750</v>
      </c>
      <c r="M8" s="701">
        <v>52015.5</v>
      </c>
      <c r="N8" s="450"/>
      <c r="O8" s="25"/>
    </row>
    <row r="9" spans="1:19" x14ac:dyDescent="0.25">
      <c r="A9" s="21"/>
      <c r="B9" s="40">
        <v>42282</v>
      </c>
      <c r="C9" s="46">
        <v>0</v>
      </c>
      <c r="D9" s="96"/>
      <c r="E9" s="28">
        <v>42282</v>
      </c>
      <c r="F9" s="52">
        <v>38267.9</v>
      </c>
      <c r="G9" s="25"/>
      <c r="H9" s="29">
        <v>42282</v>
      </c>
      <c r="I9" s="62">
        <v>0</v>
      </c>
      <c r="J9" s="82"/>
      <c r="K9" s="73" t="s">
        <v>726</v>
      </c>
      <c r="L9" s="125">
        <v>9950</v>
      </c>
      <c r="M9" s="116">
        <v>39268</v>
      </c>
      <c r="N9" s="336"/>
      <c r="O9" s="25"/>
    </row>
    <row r="10" spans="1:19" x14ac:dyDescent="0.25">
      <c r="A10" s="21"/>
      <c r="B10" s="40">
        <v>42283</v>
      </c>
      <c r="C10" s="46">
        <v>927</v>
      </c>
      <c r="D10" s="96" t="s">
        <v>779</v>
      </c>
      <c r="E10" s="28">
        <v>42283</v>
      </c>
      <c r="F10" s="52">
        <v>31864.16</v>
      </c>
      <c r="G10" s="25"/>
      <c r="H10" s="29">
        <v>42283</v>
      </c>
      <c r="I10" s="62">
        <v>0</v>
      </c>
      <c r="J10" s="82"/>
      <c r="K10" s="73" t="s">
        <v>775</v>
      </c>
      <c r="L10" s="52">
        <v>9950</v>
      </c>
      <c r="M10" s="116">
        <v>33216</v>
      </c>
      <c r="N10" s="336"/>
      <c r="O10" s="25"/>
    </row>
    <row r="11" spans="1:19" x14ac:dyDescent="0.25">
      <c r="A11" s="21"/>
      <c r="B11" s="40">
        <v>42284</v>
      </c>
      <c r="C11" s="46">
        <v>0</v>
      </c>
      <c r="D11" s="96"/>
      <c r="E11" s="28">
        <v>42284</v>
      </c>
      <c r="F11" s="52">
        <v>37809.75</v>
      </c>
      <c r="G11" s="25"/>
      <c r="H11" s="29">
        <v>42284</v>
      </c>
      <c r="I11" s="62">
        <v>0</v>
      </c>
      <c r="J11" s="82"/>
      <c r="K11" s="73" t="s">
        <v>776</v>
      </c>
      <c r="L11" s="52">
        <f>5850+1600+2500</f>
        <v>9950</v>
      </c>
      <c r="M11" s="116">
        <v>35810</v>
      </c>
      <c r="N11" s="336"/>
      <c r="O11" s="25"/>
    </row>
    <row r="12" spans="1:19" x14ac:dyDescent="0.25">
      <c r="A12" s="21"/>
      <c r="B12" s="40">
        <v>42285</v>
      </c>
      <c r="C12" s="46">
        <v>30</v>
      </c>
      <c r="D12" s="30" t="s">
        <v>780</v>
      </c>
      <c r="E12" s="28">
        <v>42285</v>
      </c>
      <c r="F12" s="52">
        <v>40407.33</v>
      </c>
      <c r="G12" s="25"/>
      <c r="H12" s="29">
        <v>42285</v>
      </c>
      <c r="I12" s="62">
        <v>250</v>
      </c>
      <c r="J12" s="82"/>
      <c r="K12" s="73" t="s">
        <v>777</v>
      </c>
      <c r="L12" s="52">
        <f>6050+1600+2500</f>
        <v>10150</v>
      </c>
      <c r="M12" s="116">
        <v>40127</v>
      </c>
      <c r="N12" s="336"/>
      <c r="O12" s="25"/>
    </row>
    <row r="13" spans="1:19" x14ac:dyDescent="0.25">
      <c r="A13" s="21"/>
      <c r="B13" s="40">
        <v>42286</v>
      </c>
      <c r="C13" s="46">
        <v>768</v>
      </c>
      <c r="D13" s="96" t="s">
        <v>781</v>
      </c>
      <c r="E13" s="28">
        <v>42286</v>
      </c>
      <c r="F13" s="52">
        <v>63670.94</v>
      </c>
      <c r="G13" s="25"/>
      <c r="H13" s="29">
        <v>42286</v>
      </c>
      <c r="I13" s="62">
        <v>0</v>
      </c>
      <c r="J13" s="82"/>
      <c r="K13" s="705" t="s">
        <v>640</v>
      </c>
      <c r="L13" s="52">
        <v>2000</v>
      </c>
      <c r="M13" s="116">
        <v>62903</v>
      </c>
      <c r="N13" s="450"/>
      <c r="O13" s="25"/>
    </row>
    <row r="14" spans="1:19" x14ac:dyDescent="0.25">
      <c r="A14" s="21"/>
      <c r="B14" s="40">
        <v>42287</v>
      </c>
      <c r="C14" s="46">
        <v>763</v>
      </c>
      <c r="D14" s="30" t="s">
        <v>782</v>
      </c>
      <c r="E14" s="28">
        <v>42287</v>
      </c>
      <c r="F14" s="52">
        <v>56497.99</v>
      </c>
      <c r="G14" s="25"/>
      <c r="H14" s="29">
        <v>42287</v>
      </c>
      <c r="I14" s="62">
        <v>110</v>
      </c>
      <c r="J14" s="82"/>
      <c r="K14" s="706" t="s">
        <v>778</v>
      </c>
      <c r="L14" s="52">
        <v>0</v>
      </c>
      <c r="M14" s="116">
        <v>57030</v>
      </c>
      <c r="N14" s="450"/>
      <c r="O14" s="25"/>
    </row>
    <row r="15" spans="1:19" x14ac:dyDescent="0.25">
      <c r="A15" s="21"/>
      <c r="B15" s="40">
        <v>42288</v>
      </c>
      <c r="C15" s="46">
        <v>442</v>
      </c>
      <c r="D15" s="30" t="s">
        <v>83</v>
      </c>
      <c r="E15" s="28">
        <v>42288</v>
      </c>
      <c r="F15" s="52">
        <v>48665.57</v>
      </c>
      <c r="G15" s="25"/>
      <c r="H15" s="29">
        <v>42288</v>
      </c>
      <c r="I15" s="62">
        <v>633.38</v>
      </c>
      <c r="J15" s="82"/>
      <c r="K15" s="73" t="s">
        <v>57</v>
      </c>
      <c r="L15" s="52">
        <v>0</v>
      </c>
      <c r="M15" s="116">
        <v>41740</v>
      </c>
      <c r="N15" s="336"/>
      <c r="O15" s="25"/>
    </row>
    <row r="16" spans="1:19" x14ac:dyDescent="0.25">
      <c r="A16" s="21"/>
      <c r="B16" s="40">
        <v>42289</v>
      </c>
      <c r="C16" s="46">
        <v>0</v>
      </c>
      <c r="D16" s="96"/>
      <c r="E16" s="28">
        <v>42289</v>
      </c>
      <c r="F16" s="52">
        <v>30650.76</v>
      </c>
      <c r="G16" s="25"/>
      <c r="H16" s="29">
        <v>42289</v>
      </c>
      <c r="I16" s="62">
        <v>0</v>
      </c>
      <c r="J16" s="82"/>
      <c r="K16" s="192" t="s">
        <v>61</v>
      </c>
      <c r="L16" s="490">
        <v>0</v>
      </c>
      <c r="M16" s="116">
        <v>30113</v>
      </c>
      <c r="N16" s="336"/>
      <c r="O16" s="25"/>
    </row>
    <row r="17" spans="1:17" x14ac:dyDescent="0.25">
      <c r="A17" s="21"/>
      <c r="B17" s="40">
        <v>42290</v>
      </c>
      <c r="C17" s="46">
        <v>0</v>
      </c>
      <c r="D17" s="30"/>
      <c r="E17" s="28">
        <v>42290</v>
      </c>
      <c r="F17" s="52">
        <v>38115.839999999997</v>
      </c>
      <c r="G17" s="25"/>
      <c r="H17" s="29">
        <v>42290</v>
      </c>
      <c r="I17" s="62">
        <v>484.5</v>
      </c>
      <c r="J17" s="82"/>
      <c r="K17" s="73" t="s">
        <v>816</v>
      </c>
      <c r="L17" s="52">
        <v>840</v>
      </c>
      <c r="M17" s="116">
        <v>33401</v>
      </c>
      <c r="N17" s="336"/>
      <c r="O17" s="25"/>
    </row>
    <row r="18" spans="1:17" x14ac:dyDescent="0.25">
      <c r="A18" s="21"/>
      <c r="B18" s="40">
        <v>42291</v>
      </c>
      <c r="C18" s="46">
        <v>0</v>
      </c>
      <c r="D18" s="30"/>
      <c r="E18" s="28">
        <v>42291</v>
      </c>
      <c r="F18" s="52">
        <v>35915.32</v>
      </c>
      <c r="G18" s="25"/>
      <c r="H18" s="29">
        <v>42291</v>
      </c>
      <c r="I18" s="62">
        <v>688.5</v>
      </c>
      <c r="J18" s="82"/>
      <c r="K18" s="192" t="s">
        <v>819</v>
      </c>
      <c r="L18" s="52">
        <v>1500</v>
      </c>
      <c r="M18" s="116">
        <v>35227</v>
      </c>
      <c r="N18" s="450"/>
      <c r="O18" s="614"/>
      <c r="P18" s="25"/>
    </row>
    <row r="19" spans="1:17" x14ac:dyDescent="0.25">
      <c r="A19" s="21"/>
      <c r="B19" s="40">
        <v>42292</v>
      </c>
      <c r="C19" s="46">
        <v>0</v>
      </c>
      <c r="D19" s="96"/>
      <c r="E19" s="28">
        <v>42292</v>
      </c>
      <c r="F19" s="52">
        <v>44171.23</v>
      </c>
      <c r="G19" s="25"/>
      <c r="H19" s="29">
        <v>42292</v>
      </c>
      <c r="I19" s="62">
        <v>0</v>
      </c>
      <c r="J19" s="82"/>
      <c r="K19" s="286" t="s">
        <v>109</v>
      </c>
      <c r="L19" s="538">
        <v>0</v>
      </c>
      <c r="M19" s="116">
        <v>43371</v>
      </c>
      <c r="N19" s="450"/>
      <c r="O19" s="25"/>
      <c r="P19" s="25"/>
    </row>
    <row r="20" spans="1:17" x14ac:dyDescent="0.25">
      <c r="A20" s="21"/>
      <c r="B20" s="40">
        <v>42293</v>
      </c>
      <c r="C20" s="46">
        <v>450</v>
      </c>
      <c r="D20" s="70" t="s">
        <v>22</v>
      </c>
      <c r="E20" s="28">
        <v>42293</v>
      </c>
      <c r="F20" s="52">
        <v>86060</v>
      </c>
      <c r="G20" s="25"/>
      <c r="H20" s="29">
        <v>42293</v>
      </c>
      <c r="I20" s="63">
        <v>0</v>
      </c>
      <c r="J20" s="82"/>
      <c r="K20" s="486" t="s">
        <v>111</v>
      </c>
      <c r="L20" s="490">
        <v>0</v>
      </c>
      <c r="M20" s="116">
        <v>84110</v>
      </c>
      <c r="N20" s="336"/>
      <c r="O20" s="25"/>
    </row>
    <row r="21" spans="1:17" x14ac:dyDescent="0.25">
      <c r="A21" s="21"/>
      <c r="B21" s="40">
        <v>42294</v>
      </c>
      <c r="C21" s="46">
        <v>530</v>
      </c>
      <c r="D21" s="30" t="s">
        <v>83</v>
      </c>
      <c r="E21" s="28">
        <v>42294</v>
      </c>
      <c r="F21" s="52">
        <v>60520.34</v>
      </c>
      <c r="G21" s="25"/>
      <c r="H21" s="29">
        <v>42294</v>
      </c>
      <c r="I21" s="63">
        <v>20</v>
      </c>
      <c r="J21" s="82"/>
      <c r="K21" s="715" t="s">
        <v>817</v>
      </c>
      <c r="L21" s="490">
        <v>250</v>
      </c>
      <c r="M21" s="116">
        <v>59970</v>
      </c>
      <c r="N21" s="336"/>
      <c r="O21" s="25"/>
    </row>
    <row r="22" spans="1:17" x14ac:dyDescent="0.25">
      <c r="A22" s="21"/>
      <c r="B22" s="40">
        <v>42295</v>
      </c>
      <c r="C22" s="46">
        <v>500</v>
      </c>
      <c r="D22" s="96" t="s">
        <v>22</v>
      </c>
      <c r="E22" s="28">
        <v>42295</v>
      </c>
      <c r="F22" s="52">
        <v>59780.85</v>
      </c>
      <c r="G22" s="25"/>
      <c r="H22" s="29">
        <v>42295</v>
      </c>
      <c r="I22" s="63">
        <v>27</v>
      </c>
      <c r="J22" s="149"/>
      <c r="K22" s="491" t="s">
        <v>818</v>
      </c>
      <c r="L22" s="490">
        <v>800</v>
      </c>
      <c r="M22" s="116">
        <v>53405</v>
      </c>
      <c r="N22" s="336"/>
      <c r="O22" s="25"/>
    </row>
    <row r="23" spans="1:17" x14ac:dyDescent="0.25">
      <c r="A23" s="21"/>
      <c r="B23" s="40">
        <v>42296</v>
      </c>
      <c r="C23" s="46">
        <v>0</v>
      </c>
      <c r="D23" s="96"/>
      <c r="E23" s="28">
        <v>42296</v>
      </c>
      <c r="F23" s="52">
        <v>53905.57</v>
      </c>
      <c r="G23" s="25"/>
      <c r="H23" s="29">
        <v>42296</v>
      </c>
      <c r="I23" s="63">
        <v>110</v>
      </c>
      <c r="J23" s="81"/>
      <c r="K23" s="675" t="s">
        <v>814</v>
      </c>
      <c r="L23" s="490">
        <v>4600</v>
      </c>
      <c r="M23" s="701">
        <v>53795.5</v>
      </c>
      <c r="N23" s="336"/>
      <c r="O23" s="25"/>
      <c r="P23" s="25"/>
    </row>
    <row r="24" spans="1:17" x14ac:dyDescent="0.25">
      <c r="A24" s="21"/>
      <c r="B24" s="40">
        <v>42297</v>
      </c>
      <c r="C24" s="46">
        <v>525</v>
      </c>
      <c r="D24" s="96" t="s">
        <v>22</v>
      </c>
      <c r="E24" s="28">
        <v>42297</v>
      </c>
      <c r="F24" s="52">
        <v>25456.76</v>
      </c>
      <c r="G24" s="25"/>
      <c r="H24" s="29">
        <v>42297</v>
      </c>
      <c r="I24" s="63">
        <v>35</v>
      </c>
      <c r="J24" s="82"/>
      <c r="K24" s="707" t="s">
        <v>813</v>
      </c>
      <c r="L24" s="490">
        <v>700</v>
      </c>
      <c r="M24" s="701">
        <v>24896.76</v>
      </c>
      <c r="N24" s="739">
        <v>5</v>
      </c>
      <c r="O24" s="25"/>
      <c r="P24" s="25"/>
    </row>
    <row r="25" spans="1:17" x14ac:dyDescent="0.25">
      <c r="A25" s="21"/>
      <c r="B25" s="40">
        <v>42298</v>
      </c>
      <c r="C25" s="46">
        <v>0</v>
      </c>
      <c r="D25" s="30"/>
      <c r="E25" s="28">
        <v>42298</v>
      </c>
      <c r="F25" s="52">
        <v>27776.42</v>
      </c>
      <c r="G25" s="25"/>
      <c r="H25" s="29">
        <v>42298</v>
      </c>
      <c r="I25" s="63">
        <v>80</v>
      </c>
      <c r="J25" s="81"/>
      <c r="K25" s="707" t="s">
        <v>812</v>
      </c>
      <c r="L25" s="490">
        <v>2000</v>
      </c>
      <c r="M25" s="116">
        <v>27696.5</v>
      </c>
      <c r="N25" s="450"/>
      <c r="O25" s="25"/>
      <c r="P25" s="25"/>
    </row>
    <row r="26" spans="1:17" x14ac:dyDescent="0.25">
      <c r="A26" s="21"/>
      <c r="B26" s="40">
        <v>42299</v>
      </c>
      <c r="C26" s="46">
        <v>0</v>
      </c>
      <c r="D26" s="30"/>
      <c r="E26" s="28">
        <v>42299</v>
      </c>
      <c r="F26" s="52">
        <v>54725.59</v>
      </c>
      <c r="G26" s="25"/>
      <c r="H26" s="29">
        <v>42299</v>
      </c>
      <c r="I26" s="63">
        <v>312</v>
      </c>
      <c r="J26" s="98"/>
      <c r="K26" s="675" t="s">
        <v>815</v>
      </c>
      <c r="L26" s="490">
        <v>3140</v>
      </c>
      <c r="M26" s="116">
        <v>54413.5</v>
      </c>
      <c r="N26" s="450"/>
      <c r="O26" s="614"/>
      <c r="P26" s="555"/>
    </row>
    <row r="27" spans="1:17" x14ac:dyDescent="0.25">
      <c r="A27" s="21"/>
      <c r="B27" s="40">
        <v>42300</v>
      </c>
      <c r="C27" s="46">
        <v>0</v>
      </c>
      <c r="D27" s="30"/>
      <c r="E27" s="28">
        <v>42300</v>
      </c>
      <c r="F27" s="52">
        <v>65803.929999999993</v>
      </c>
      <c r="G27" s="25"/>
      <c r="H27" s="29">
        <v>42300</v>
      </c>
      <c r="I27" s="63">
        <v>589.30999999999995</v>
      </c>
      <c r="J27" s="81"/>
      <c r="K27" s="707" t="s">
        <v>843</v>
      </c>
      <c r="L27" s="490">
        <v>4000</v>
      </c>
      <c r="M27" s="116">
        <f>61215+600+300</f>
        <v>62115</v>
      </c>
      <c r="N27" s="450"/>
      <c r="O27" s="25"/>
      <c r="P27" s="25"/>
    </row>
    <row r="28" spans="1:17" x14ac:dyDescent="0.25">
      <c r="A28" s="21"/>
      <c r="B28" s="40">
        <v>42301</v>
      </c>
      <c r="C28" s="46">
        <v>1081</v>
      </c>
      <c r="D28" s="30" t="s">
        <v>727</v>
      </c>
      <c r="E28" s="28">
        <v>42301</v>
      </c>
      <c r="F28" s="52">
        <v>67123.83</v>
      </c>
      <c r="G28" s="25"/>
      <c r="H28" s="29">
        <v>42301</v>
      </c>
      <c r="I28" s="63">
        <v>1280</v>
      </c>
      <c r="J28" s="81"/>
      <c r="K28" s="131"/>
      <c r="L28" s="490">
        <v>0</v>
      </c>
      <c r="M28" s="116">
        <v>65763</v>
      </c>
      <c r="N28" s="336"/>
      <c r="O28" s="25"/>
      <c r="P28" s="25"/>
    </row>
    <row r="29" spans="1:17" x14ac:dyDescent="0.25">
      <c r="A29" s="21"/>
      <c r="B29" s="40">
        <v>42302</v>
      </c>
      <c r="C29" s="46">
        <v>0</v>
      </c>
      <c r="D29" s="30"/>
      <c r="E29" s="28">
        <v>42302</v>
      </c>
      <c r="F29" s="52">
        <v>63981.65</v>
      </c>
      <c r="G29" s="25"/>
      <c r="H29" s="29">
        <v>42302</v>
      </c>
      <c r="I29" s="63">
        <v>30</v>
      </c>
      <c r="J29" s="81"/>
      <c r="K29" s="132" t="s">
        <v>844</v>
      </c>
      <c r="L29" s="539">
        <v>3000</v>
      </c>
      <c r="M29" s="659">
        <v>54502</v>
      </c>
      <c r="N29" s="737">
        <v>400</v>
      </c>
      <c r="O29" s="738" t="s">
        <v>846</v>
      </c>
      <c r="P29" s="25"/>
    </row>
    <row r="30" spans="1:17" x14ac:dyDescent="0.25">
      <c r="A30" s="21"/>
      <c r="B30" s="40">
        <v>42303</v>
      </c>
      <c r="C30" s="46">
        <v>582</v>
      </c>
      <c r="D30" s="30" t="s">
        <v>845</v>
      </c>
      <c r="E30" s="28">
        <v>42303</v>
      </c>
      <c r="F30" s="52">
        <v>76768.19</v>
      </c>
      <c r="G30" s="25"/>
      <c r="H30" s="29">
        <v>42303</v>
      </c>
      <c r="I30" s="63">
        <v>0</v>
      </c>
      <c r="J30" s="98"/>
      <c r="K30" s="131"/>
      <c r="L30" s="539">
        <v>0</v>
      </c>
      <c r="M30" s="659">
        <f>42653+33533.05</f>
        <v>76186.05</v>
      </c>
      <c r="N30" s="336"/>
      <c r="O30" s="25"/>
      <c r="P30" s="25"/>
    </row>
    <row r="31" spans="1:17" x14ac:dyDescent="0.25">
      <c r="A31" s="21"/>
      <c r="B31" s="40">
        <v>42304</v>
      </c>
      <c r="C31" s="46">
        <v>589</v>
      </c>
      <c r="D31" s="30" t="s">
        <v>22</v>
      </c>
      <c r="E31" s="28">
        <v>42304</v>
      </c>
      <c r="F31" s="52">
        <v>27733.83</v>
      </c>
      <c r="G31" s="25"/>
      <c r="H31" s="29">
        <v>42304</v>
      </c>
      <c r="I31" s="63">
        <v>240</v>
      </c>
      <c r="J31" s="82"/>
      <c r="K31" s="552"/>
      <c r="L31" s="660">
        <v>0</v>
      </c>
      <c r="M31" s="659">
        <v>26905</v>
      </c>
      <c r="N31" s="450"/>
      <c r="O31" s="25"/>
      <c r="P31" s="25"/>
      <c r="Q31" s="25"/>
    </row>
    <row r="32" spans="1:17" x14ac:dyDescent="0.25">
      <c r="A32" s="21"/>
      <c r="B32" s="40">
        <v>42305</v>
      </c>
      <c r="C32" s="46">
        <v>0</v>
      </c>
      <c r="D32" s="30"/>
      <c r="E32" s="28">
        <v>42305</v>
      </c>
      <c r="F32" s="52">
        <v>37338.639999999999</v>
      </c>
      <c r="G32" s="25"/>
      <c r="H32" s="29">
        <v>42305</v>
      </c>
      <c r="I32" s="63">
        <v>0</v>
      </c>
      <c r="J32" s="81"/>
      <c r="K32" s="489"/>
      <c r="L32" s="660"/>
      <c r="M32" s="659">
        <v>37338.5</v>
      </c>
      <c r="N32" s="336"/>
      <c r="O32" s="25"/>
    </row>
    <row r="33" spans="1:17" x14ac:dyDescent="0.25">
      <c r="A33" s="21"/>
      <c r="B33" s="40">
        <v>42306</v>
      </c>
      <c r="C33" s="46">
        <v>605</v>
      </c>
      <c r="D33" s="96" t="s">
        <v>83</v>
      </c>
      <c r="E33" s="28">
        <v>42306</v>
      </c>
      <c r="F33" s="52">
        <v>36473.800000000003</v>
      </c>
      <c r="G33" s="25"/>
      <c r="H33" s="29">
        <v>42306</v>
      </c>
      <c r="I33" s="63">
        <v>300</v>
      </c>
      <c r="J33" s="81"/>
      <c r="K33" s="734"/>
      <c r="L33" s="805">
        <v>0</v>
      </c>
      <c r="M33" s="659">
        <v>35569</v>
      </c>
      <c r="N33" s="450"/>
      <c r="O33" s="25"/>
    </row>
    <row r="34" spans="1:17" x14ac:dyDescent="0.25">
      <c r="A34" s="21"/>
      <c r="B34" s="40">
        <v>42307</v>
      </c>
      <c r="C34" s="46">
        <v>282</v>
      </c>
      <c r="D34" s="30" t="s">
        <v>411</v>
      </c>
      <c r="E34" s="28">
        <v>42307</v>
      </c>
      <c r="F34" s="52">
        <v>82409.72</v>
      </c>
      <c r="G34" s="25"/>
      <c r="H34" s="29">
        <v>42307</v>
      </c>
      <c r="I34" s="63">
        <v>1223</v>
      </c>
      <c r="J34" s="81"/>
      <c r="K34" s="734"/>
      <c r="L34" s="805"/>
      <c r="M34" s="659">
        <v>80905</v>
      </c>
      <c r="N34" s="450"/>
      <c r="O34" s="25"/>
    </row>
    <row r="35" spans="1:17" ht="15.75" thickBot="1" x14ac:dyDescent="0.3">
      <c r="A35" s="21"/>
      <c r="B35" s="40">
        <v>42308</v>
      </c>
      <c r="C35" s="46">
        <v>220</v>
      </c>
      <c r="D35" s="96" t="s">
        <v>44</v>
      </c>
      <c r="E35" s="28">
        <v>42308</v>
      </c>
      <c r="F35" s="52">
        <v>93052.75</v>
      </c>
      <c r="G35" s="25"/>
      <c r="H35" s="29">
        <v>42308</v>
      </c>
      <c r="I35" s="63">
        <v>20</v>
      </c>
      <c r="J35" s="81"/>
      <c r="K35" s="488"/>
      <c r="L35" s="68">
        <v>0</v>
      </c>
      <c r="M35" s="659">
        <v>92813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3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0"/>
      <c r="M37" s="699">
        <f>SUM(M5:M36)</f>
        <v>1546084.81</v>
      </c>
    </row>
    <row r="38" spans="1:17" x14ac:dyDescent="0.25">
      <c r="B38" s="43" t="s">
        <v>1</v>
      </c>
      <c r="C38" s="49">
        <f>SUM(C5:C37)</f>
        <v>9778.7999999999993</v>
      </c>
      <c r="E38" s="695" t="s">
        <v>1</v>
      </c>
      <c r="F38" s="55">
        <f>SUM(F5:F37)</f>
        <v>1584821.0899999996</v>
      </c>
      <c r="H38" s="697" t="s">
        <v>1</v>
      </c>
      <c r="I38" s="59">
        <f>SUM(I5:I37)</f>
        <v>7706.54</v>
      </c>
      <c r="J38" s="59"/>
      <c r="K38" s="18" t="s">
        <v>1</v>
      </c>
      <c r="L38" s="4">
        <f>SUM(L5:L37)</f>
        <v>92118</v>
      </c>
    </row>
    <row r="40" spans="1:17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696"/>
      <c r="K40" s="767">
        <f>I38+L38</f>
        <v>99824.54</v>
      </c>
      <c r="L40" s="768"/>
    </row>
    <row r="41" spans="1:17" ht="15.75" x14ac:dyDescent="0.25">
      <c r="B41" s="281"/>
      <c r="C41" s="56"/>
      <c r="D41" s="759" t="s">
        <v>12</v>
      </c>
      <c r="E41" s="759"/>
      <c r="F41" s="57">
        <f>F38-K40</f>
        <v>1484996.5499999996</v>
      </c>
      <c r="I41" s="66"/>
      <c r="J41" s="66"/>
    </row>
    <row r="42" spans="1:17" ht="15.75" x14ac:dyDescent="0.25">
      <c r="D42" s="785" t="s">
        <v>246</v>
      </c>
      <c r="E42" s="785"/>
      <c r="F42" s="57">
        <v>-1509397.45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-9778.7999999999993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-34179.700000000375</v>
      </c>
      <c r="I44" s="793" t="s">
        <v>248</v>
      </c>
      <c r="J44" s="794"/>
      <c r="K44" s="783">
        <f>F48+L46</f>
        <v>177173.71999999962</v>
      </c>
      <c r="L44" s="775"/>
    </row>
    <row r="45" spans="1:17" ht="16.5" thickBot="1" x14ac:dyDescent="0.3">
      <c r="D45" s="736" t="s">
        <v>253</v>
      </c>
      <c r="E45" s="212" t="s">
        <v>247</v>
      </c>
      <c r="F45" s="59">
        <v>42378.33</v>
      </c>
      <c r="I45" s="795"/>
      <c r="J45" s="796"/>
      <c r="K45" s="784"/>
      <c r="L45" s="776"/>
    </row>
    <row r="46" spans="1:17" ht="17.25" thickTop="1" thickBot="1" x14ac:dyDescent="0.3">
      <c r="C46" s="55"/>
      <c r="D46" s="758" t="s">
        <v>13</v>
      </c>
      <c r="E46" s="758"/>
      <c r="F46" s="60">
        <v>168975.09</v>
      </c>
      <c r="I46" s="770"/>
      <c r="J46" s="770"/>
      <c r="K46" s="792"/>
      <c r="L46" s="34"/>
    </row>
    <row r="47" spans="1:17" ht="19.5" thickBot="1" x14ac:dyDescent="0.35">
      <c r="C47" s="55"/>
      <c r="D47" s="695"/>
      <c r="E47" s="695"/>
      <c r="F47" s="139"/>
      <c r="H47" s="19"/>
      <c r="I47" s="698" t="s">
        <v>254</v>
      </c>
      <c r="J47" s="698"/>
      <c r="K47" s="786">
        <v>-163135.31</v>
      </c>
      <c r="L47" s="787"/>
    </row>
    <row r="48" spans="1:17" ht="17.25" thickTop="1" thickBot="1" x14ac:dyDescent="0.3">
      <c r="E48" s="6" t="s">
        <v>16</v>
      </c>
      <c r="F48" s="264">
        <f>F44+F45+F46</f>
        <v>177173.71999999962</v>
      </c>
    </row>
    <row r="49" spans="2:14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K44+K47</f>
        <v>14038.409999999625</v>
      </c>
      <c r="L49" s="78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6">
    <mergeCell ref="H40:I40"/>
    <mergeCell ref="K40:L40"/>
    <mergeCell ref="C1:K1"/>
    <mergeCell ref="E4:F4"/>
    <mergeCell ref="I4:L4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35433070866141736" bottom="0.15748031496062992" header="0.31496062992125984" footer="0.31496062992125984"/>
  <pageSetup scale="75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56"/>
  <sheetViews>
    <sheetView topLeftCell="A31" workbookViewId="0">
      <selection activeCell="U18" sqref="U18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10" max="10" width="15.5703125" customWidth="1"/>
    <col min="13" max="13" width="20.140625" bestFit="1" customWidth="1"/>
    <col min="18" max="18" width="17.42578125" customWidth="1"/>
    <col min="21" max="21" width="20.140625" bestFit="1" customWidth="1"/>
  </cols>
  <sheetData>
    <row r="1" spans="1:23" ht="19.5" thickBot="1" x14ac:dyDescent="0.35">
      <c r="B1" s="621" t="s">
        <v>757</v>
      </c>
      <c r="C1" s="622"/>
      <c r="D1" s="584"/>
      <c r="E1" s="622"/>
      <c r="J1" s="474" t="s">
        <v>205</v>
      </c>
      <c r="K1" s="204"/>
      <c r="L1" s="700"/>
      <c r="M1" s="425">
        <v>42280</v>
      </c>
      <c r="N1" s="276"/>
      <c r="R1" s="474" t="s">
        <v>205</v>
      </c>
      <c r="S1" s="204"/>
      <c r="T1" s="716"/>
      <c r="U1" s="717">
        <v>42300</v>
      </c>
      <c r="V1" s="276"/>
    </row>
    <row r="2" spans="1:23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Q2" s="205"/>
      <c r="R2" s="419"/>
      <c r="S2" s="205"/>
      <c r="T2" s="206"/>
      <c r="U2" s="419"/>
      <c r="V2" s="519"/>
    </row>
    <row r="3" spans="1:23" ht="15.75" x14ac:dyDescent="0.25">
      <c r="A3" s="411">
        <v>42279</v>
      </c>
      <c r="B3" s="412" t="s">
        <v>758</v>
      </c>
      <c r="C3" s="450">
        <v>33737.660000000003</v>
      </c>
      <c r="D3" s="704" t="s">
        <v>774</v>
      </c>
      <c r="E3" s="450">
        <f>31141.19+2596.47</f>
        <v>33737.659999999996</v>
      </c>
      <c r="F3" s="413">
        <f t="shared" ref="F3:F4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Q3" s="212" t="s">
        <v>202</v>
      </c>
      <c r="R3" s="419" t="s">
        <v>195</v>
      </c>
      <c r="S3" s="205"/>
      <c r="T3" s="206" t="s">
        <v>203</v>
      </c>
      <c r="U3" s="419" t="s">
        <v>204</v>
      </c>
      <c r="V3" s="519"/>
    </row>
    <row r="4" spans="1:23" ht="15.75" x14ac:dyDescent="0.25">
      <c r="A4" s="249">
        <v>42280</v>
      </c>
      <c r="B4" s="483" t="s">
        <v>761</v>
      </c>
      <c r="C4" s="450">
        <v>114105.60000000001</v>
      </c>
      <c r="D4" s="534">
        <v>42289</v>
      </c>
      <c r="E4" s="450">
        <v>114105.60000000001</v>
      </c>
      <c r="F4" s="296">
        <f t="shared" si="0"/>
        <v>0</v>
      </c>
      <c r="I4" s="496" t="s">
        <v>747</v>
      </c>
      <c r="J4" s="432">
        <v>3884.02</v>
      </c>
      <c r="K4" s="216"/>
      <c r="L4" s="331" t="s">
        <v>674</v>
      </c>
      <c r="M4" s="522">
        <v>53420</v>
      </c>
      <c r="N4" s="523">
        <v>42278</v>
      </c>
      <c r="O4" s="21">
        <v>42251</v>
      </c>
      <c r="Q4" s="496" t="s">
        <v>806</v>
      </c>
      <c r="R4" s="432">
        <v>15435.48</v>
      </c>
      <c r="S4" s="216"/>
      <c r="T4" s="331" t="s">
        <v>674</v>
      </c>
      <c r="U4" s="522">
        <v>35227</v>
      </c>
      <c r="V4" s="523">
        <v>42292</v>
      </c>
      <c r="W4" s="21">
        <v>42291</v>
      </c>
    </row>
    <row r="5" spans="1:23" ht="15.75" x14ac:dyDescent="0.25">
      <c r="A5" s="249">
        <v>42280</v>
      </c>
      <c r="B5" s="483" t="s">
        <v>762</v>
      </c>
      <c r="C5" s="450">
        <v>906.08</v>
      </c>
      <c r="D5" s="534">
        <v>42289</v>
      </c>
      <c r="E5" s="450">
        <v>906.08</v>
      </c>
      <c r="F5" s="296">
        <f t="shared" si="0"/>
        <v>0</v>
      </c>
      <c r="H5" s="336"/>
      <c r="I5" s="496" t="s">
        <v>754</v>
      </c>
      <c r="J5" s="81">
        <v>99105.47</v>
      </c>
      <c r="K5" s="234"/>
      <c r="L5" s="331" t="s">
        <v>674</v>
      </c>
      <c r="M5" s="522">
        <v>75765</v>
      </c>
      <c r="N5" s="523">
        <v>42277</v>
      </c>
      <c r="O5" s="21">
        <v>42266</v>
      </c>
      <c r="Q5" s="496" t="s">
        <v>807</v>
      </c>
      <c r="R5" s="81">
        <v>12289.4</v>
      </c>
      <c r="S5" s="234"/>
      <c r="T5" s="331" t="s">
        <v>674</v>
      </c>
      <c r="U5" s="522">
        <v>43371</v>
      </c>
      <c r="V5" s="523">
        <v>42293</v>
      </c>
      <c r="W5" s="21">
        <v>42292</v>
      </c>
    </row>
    <row r="6" spans="1:23" ht="15.75" x14ac:dyDescent="0.25">
      <c r="A6" s="249">
        <v>42281</v>
      </c>
      <c r="B6" s="483" t="s">
        <v>763</v>
      </c>
      <c r="C6" s="450">
        <v>9490.14</v>
      </c>
      <c r="D6" s="534">
        <v>42289</v>
      </c>
      <c r="E6" s="450">
        <v>9490.14</v>
      </c>
      <c r="F6" s="296">
        <f>C6-E6</f>
        <v>0</v>
      </c>
      <c r="I6" s="496" t="s">
        <v>750</v>
      </c>
      <c r="J6" s="450">
        <v>23277.94</v>
      </c>
      <c r="K6" s="234"/>
      <c r="L6" s="331" t="s">
        <v>674</v>
      </c>
      <c r="M6" s="521">
        <v>24640</v>
      </c>
      <c r="N6" s="525">
        <v>42277</v>
      </c>
      <c r="O6" s="21">
        <v>42267</v>
      </c>
      <c r="Q6" s="496" t="s">
        <v>811</v>
      </c>
      <c r="R6" s="450">
        <v>56456.4</v>
      </c>
      <c r="S6" s="234"/>
      <c r="T6" s="331" t="s">
        <v>674</v>
      </c>
      <c r="U6" s="521">
        <v>53795.5</v>
      </c>
      <c r="V6" s="525">
        <v>42297</v>
      </c>
      <c r="W6" s="21">
        <v>42296</v>
      </c>
    </row>
    <row r="7" spans="1:23" ht="15.75" x14ac:dyDescent="0.25">
      <c r="A7" s="249">
        <v>42283</v>
      </c>
      <c r="B7" s="483" t="s">
        <v>764</v>
      </c>
      <c r="C7" s="81">
        <v>11353.8</v>
      </c>
      <c r="D7" s="534">
        <v>42289</v>
      </c>
      <c r="E7" s="81">
        <v>11353.8</v>
      </c>
      <c r="F7" s="296">
        <f t="shared" si="0"/>
        <v>0</v>
      </c>
      <c r="I7" s="585" t="s">
        <v>753</v>
      </c>
      <c r="J7" s="81">
        <v>83824.38</v>
      </c>
      <c r="K7" s="234"/>
      <c r="L7" s="331" t="s">
        <v>674</v>
      </c>
      <c r="M7" s="522">
        <v>36395</v>
      </c>
      <c r="N7" s="523">
        <v>42271</v>
      </c>
      <c r="O7" s="21">
        <v>42270</v>
      </c>
      <c r="Q7" s="496" t="s">
        <v>820</v>
      </c>
      <c r="R7" s="450">
        <v>48212.22</v>
      </c>
      <c r="S7" s="234" t="s">
        <v>236</v>
      </c>
      <c r="T7" s="331" t="s">
        <v>674</v>
      </c>
      <c r="U7" s="522">
        <v>0</v>
      </c>
      <c r="V7" s="523"/>
    </row>
    <row r="8" spans="1:23" ht="16.5" thickBot="1" x14ac:dyDescent="0.3">
      <c r="A8" s="249">
        <v>42283</v>
      </c>
      <c r="B8" s="483" t="s">
        <v>766</v>
      </c>
      <c r="C8" s="450">
        <v>119457.28</v>
      </c>
      <c r="D8" s="534">
        <v>42289</v>
      </c>
      <c r="E8" s="450">
        <v>119457.28</v>
      </c>
      <c r="F8" s="296">
        <f t="shared" si="0"/>
        <v>0</v>
      </c>
      <c r="I8" s="496" t="s">
        <v>758</v>
      </c>
      <c r="J8" s="450">
        <v>31141.19</v>
      </c>
      <c r="K8" s="234" t="s">
        <v>236</v>
      </c>
      <c r="L8" s="331" t="s">
        <v>674</v>
      </c>
      <c r="M8" s="522">
        <v>31013</v>
      </c>
      <c r="N8" s="523">
        <v>42276</v>
      </c>
      <c r="O8" s="21">
        <v>42275</v>
      </c>
      <c r="Q8" s="719"/>
      <c r="R8" s="180">
        <v>0</v>
      </c>
      <c r="S8" s="720"/>
      <c r="T8" s="721"/>
      <c r="U8" s="722">
        <v>0</v>
      </c>
      <c r="V8" s="723"/>
    </row>
    <row r="9" spans="1:23" ht="16.5" thickTop="1" x14ac:dyDescent="0.25">
      <c r="A9" s="249">
        <v>42284</v>
      </c>
      <c r="B9" s="483" t="s">
        <v>765</v>
      </c>
      <c r="C9" s="450">
        <v>10688.2</v>
      </c>
      <c r="D9" s="534">
        <v>42289</v>
      </c>
      <c r="E9" s="450">
        <v>10688.2</v>
      </c>
      <c r="F9" s="296">
        <f t="shared" si="0"/>
        <v>0</v>
      </c>
      <c r="I9" s="496"/>
      <c r="J9" s="450" t="s">
        <v>646</v>
      </c>
      <c r="K9" s="235"/>
      <c r="L9" s="331" t="s">
        <v>674</v>
      </c>
      <c r="M9" s="521">
        <v>20000</v>
      </c>
      <c r="N9" s="525">
        <v>42277</v>
      </c>
      <c r="O9" s="21">
        <v>42276</v>
      </c>
      <c r="Q9" s="718"/>
      <c r="R9" s="81">
        <f>SUM(R4:R8)</f>
        <v>132393.5</v>
      </c>
      <c r="S9" s="358"/>
      <c r="T9" s="362"/>
      <c r="U9" s="559">
        <f>SUM(U4:U8)</f>
        <v>132393.5</v>
      </c>
      <c r="V9" s="560"/>
    </row>
    <row r="10" spans="1:23" ht="15.75" x14ac:dyDescent="0.25">
      <c r="A10" s="249">
        <v>42284</v>
      </c>
      <c r="B10" s="344" t="s">
        <v>767</v>
      </c>
      <c r="C10" s="81">
        <v>500</v>
      </c>
      <c r="D10" s="534">
        <v>42289</v>
      </c>
      <c r="E10" s="81">
        <v>500</v>
      </c>
      <c r="F10" s="296">
        <f t="shared" si="0"/>
        <v>0</v>
      </c>
      <c r="I10" s="496"/>
      <c r="J10" s="450"/>
      <c r="K10" s="230"/>
      <c r="L10" s="331" t="s">
        <v>674</v>
      </c>
      <c r="M10" s="522"/>
      <c r="N10" s="523"/>
      <c r="Q10" s="718"/>
      <c r="R10" s="81"/>
      <c r="S10" s="73"/>
      <c r="T10" s="362"/>
      <c r="U10" s="557"/>
      <c r="V10" s="558"/>
    </row>
    <row r="11" spans="1:23" ht="15.75" x14ac:dyDescent="0.25">
      <c r="A11" s="249">
        <v>42285</v>
      </c>
      <c r="B11" s="344" t="s">
        <v>768</v>
      </c>
      <c r="C11" s="81">
        <v>3180.2</v>
      </c>
      <c r="D11" s="534">
        <v>42289</v>
      </c>
      <c r="E11" s="81">
        <v>3180.2</v>
      </c>
      <c r="F11" s="297">
        <f t="shared" si="0"/>
        <v>0</v>
      </c>
      <c r="I11" s="496"/>
      <c r="J11" s="450"/>
      <c r="K11" s="230"/>
      <c r="L11" s="331" t="s">
        <v>674</v>
      </c>
      <c r="M11" s="521"/>
      <c r="N11" s="525"/>
      <c r="Q11" s="718"/>
      <c r="R11" s="81"/>
      <c r="S11" s="73"/>
      <c r="T11" s="362"/>
      <c r="U11" s="559"/>
      <c r="V11" s="560"/>
    </row>
    <row r="12" spans="1:23" ht="16.5" thickBot="1" x14ac:dyDescent="0.3">
      <c r="A12" s="249">
        <v>42285</v>
      </c>
      <c r="B12" s="344" t="s">
        <v>769</v>
      </c>
      <c r="C12" s="81">
        <v>38511.599999999999</v>
      </c>
      <c r="D12" s="534">
        <v>42289</v>
      </c>
      <c r="E12" s="81">
        <v>38511.599999999999</v>
      </c>
      <c r="F12" s="297">
        <f t="shared" si="0"/>
        <v>0</v>
      </c>
      <c r="I12" s="496"/>
      <c r="J12" s="450"/>
      <c r="K12" s="416"/>
      <c r="L12" s="331" t="s">
        <v>674</v>
      </c>
      <c r="M12" s="522"/>
      <c r="N12" s="523"/>
      <c r="Q12" s="718"/>
      <c r="R12" s="81"/>
      <c r="S12" s="286"/>
      <c r="T12" s="362"/>
      <c r="U12" s="557"/>
      <c r="V12" s="558"/>
    </row>
    <row r="13" spans="1:23" ht="19.5" thickBot="1" x14ac:dyDescent="0.35">
      <c r="A13" s="359">
        <v>42286</v>
      </c>
      <c r="B13" s="344" t="s">
        <v>770</v>
      </c>
      <c r="C13" s="81">
        <v>11032</v>
      </c>
      <c r="D13" s="534">
        <v>42289</v>
      </c>
      <c r="E13" s="81">
        <v>11032</v>
      </c>
      <c r="F13" s="297">
        <f>C13-E13</f>
        <v>0</v>
      </c>
      <c r="I13" s="496"/>
      <c r="J13" s="450"/>
      <c r="K13" s="459"/>
      <c r="L13" s="331" t="s">
        <v>674</v>
      </c>
      <c r="M13" s="528"/>
      <c r="N13" s="527"/>
      <c r="R13" s="474" t="s">
        <v>205</v>
      </c>
      <c r="S13" s="204"/>
      <c r="T13" s="724"/>
      <c r="U13" s="601">
        <v>42306</v>
      </c>
      <c r="V13" s="276"/>
    </row>
    <row r="14" spans="1:23" ht="15.75" x14ac:dyDescent="0.25">
      <c r="A14" s="359">
        <v>42287</v>
      </c>
      <c r="B14" s="496" t="s">
        <v>771</v>
      </c>
      <c r="C14" s="450">
        <v>17035.2</v>
      </c>
      <c r="D14" s="534">
        <v>42289</v>
      </c>
      <c r="E14" s="450">
        <v>17035.2</v>
      </c>
      <c r="F14" s="297">
        <f t="shared" si="0"/>
        <v>0</v>
      </c>
      <c r="I14" s="230"/>
      <c r="J14" s="232">
        <v>0</v>
      </c>
      <c r="K14" s="230"/>
      <c r="L14" s="416"/>
      <c r="M14" s="324"/>
      <c r="N14" s="416"/>
      <c r="Q14" s="205"/>
      <c r="R14" s="419"/>
      <c r="S14" s="205"/>
      <c r="T14" s="206"/>
      <c r="U14" s="419"/>
      <c r="V14" s="519"/>
    </row>
    <row r="15" spans="1:23" ht="15.75" x14ac:dyDescent="0.25">
      <c r="A15" s="343">
        <v>42287</v>
      </c>
      <c r="B15" s="344" t="s">
        <v>772</v>
      </c>
      <c r="C15" s="81">
        <v>61015.22</v>
      </c>
      <c r="D15" s="534">
        <v>42289</v>
      </c>
      <c r="E15" s="81">
        <v>61015.22</v>
      </c>
      <c r="F15" s="297">
        <f t="shared" si="0"/>
        <v>0</v>
      </c>
      <c r="J15" s="419">
        <f>SUM(J4:J14)</f>
        <v>241233</v>
      </c>
      <c r="K15" s="208"/>
      <c r="L15" s="206"/>
      <c r="M15" s="419">
        <f>SUM(M4:M13)</f>
        <v>241233</v>
      </c>
      <c r="Q15" s="212" t="s">
        <v>202</v>
      </c>
      <c r="R15" s="419" t="s">
        <v>195</v>
      </c>
      <c r="S15" s="205"/>
      <c r="T15" s="206" t="s">
        <v>203</v>
      </c>
      <c r="U15" s="419" t="s">
        <v>204</v>
      </c>
      <c r="V15" s="519"/>
    </row>
    <row r="16" spans="1:23" ht="15.75" x14ac:dyDescent="0.25">
      <c r="A16" s="343">
        <v>42288</v>
      </c>
      <c r="B16" s="496" t="s">
        <v>773</v>
      </c>
      <c r="C16" s="450">
        <v>40372.400000000001</v>
      </c>
      <c r="D16" s="534" t="s">
        <v>810</v>
      </c>
      <c r="E16" s="450">
        <f>40130.71+241.69</f>
        <v>40372.400000000001</v>
      </c>
      <c r="F16" s="297">
        <f t="shared" si="0"/>
        <v>0</v>
      </c>
      <c r="Q16" s="496" t="s">
        <v>820</v>
      </c>
      <c r="R16" s="432">
        <v>21821.93</v>
      </c>
      <c r="S16" s="216"/>
      <c r="T16" s="331" t="s">
        <v>674</v>
      </c>
      <c r="U16" s="522">
        <v>84110</v>
      </c>
      <c r="V16" s="523">
        <v>42294</v>
      </c>
      <c r="W16" s="21">
        <v>42293</v>
      </c>
    </row>
    <row r="17" spans="1:23" ht="16.5" thickBot="1" x14ac:dyDescent="0.3">
      <c r="A17" s="343">
        <v>42287</v>
      </c>
      <c r="B17" s="728" t="s">
        <v>802</v>
      </c>
      <c r="C17" s="729">
        <v>35204.400000000001</v>
      </c>
      <c r="D17" s="534">
        <v>42296</v>
      </c>
      <c r="E17" s="450">
        <v>35204.400000000001</v>
      </c>
      <c r="F17" s="297">
        <f t="shared" si="0"/>
        <v>0</v>
      </c>
      <c r="Q17" s="496" t="s">
        <v>822</v>
      </c>
      <c r="R17" s="81">
        <v>3768.4</v>
      </c>
      <c r="S17" s="234"/>
      <c r="T17" s="331" t="s">
        <v>674</v>
      </c>
      <c r="U17" s="522">
        <v>59970</v>
      </c>
      <c r="V17" s="523">
        <v>42303</v>
      </c>
      <c r="W17" s="21">
        <v>42294</v>
      </c>
    </row>
    <row r="18" spans="1:23" ht="19.5" thickBot="1" x14ac:dyDescent="0.35">
      <c r="A18" s="343">
        <v>42289</v>
      </c>
      <c r="B18" s="496" t="s">
        <v>783</v>
      </c>
      <c r="C18" s="450">
        <v>2249.4</v>
      </c>
      <c r="D18" s="534">
        <v>42296</v>
      </c>
      <c r="E18" s="450">
        <v>2249.4</v>
      </c>
      <c r="F18" s="297">
        <f t="shared" si="0"/>
        <v>0</v>
      </c>
      <c r="J18" s="474" t="s">
        <v>205</v>
      </c>
      <c r="K18" s="204"/>
      <c r="L18" s="702"/>
      <c r="M18" s="425">
        <v>42289</v>
      </c>
      <c r="N18" s="276"/>
      <c r="Q18" s="496" t="s">
        <v>823</v>
      </c>
      <c r="R18" s="81">
        <v>54376.480000000003</v>
      </c>
      <c r="S18" s="234"/>
      <c r="T18" s="331" t="s">
        <v>674</v>
      </c>
      <c r="U18" s="521">
        <v>53405</v>
      </c>
      <c r="V18" s="525">
        <v>42303</v>
      </c>
      <c r="W18" s="21">
        <v>42295</v>
      </c>
    </row>
    <row r="19" spans="1:23" ht="15.75" x14ac:dyDescent="0.25">
      <c r="A19" s="343">
        <v>42290</v>
      </c>
      <c r="B19" s="496" t="s">
        <v>784</v>
      </c>
      <c r="C19" s="450">
        <v>8630</v>
      </c>
      <c r="D19" s="534">
        <v>42296</v>
      </c>
      <c r="E19" s="450">
        <v>8630</v>
      </c>
      <c r="F19" s="297">
        <f t="shared" si="0"/>
        <v>0</v>
      </c>
      <c r="I19" s="205"/>
      <c r="J19" s="419"/>
      <c r="K19" s="205"/>
      <c r="L19" s="206"/>
      <c r="M19" s="419"/>
      <c r="N19" s="519"/>
      <c r="Q19" s="496" t="s">
        <v>827</v>
      </c>
      <c r="R19" s="81">
        <v>124969.75</v>
      </c>
      <c r="S19" s="234"/>
      <c r="T19" s="331" t="s">
        <v>674</v>
      </c>
      <c r="U19" s="522">
        <v>24892</v>
      </c>
      <c r="V19" s="523">
        <v>42298</v>
      </c>
      <c r="W19" s="21">
        <v>42297</v>
      </c>
    </row>
    <row r="20" spans="1:23" ht="15.75" x14ac:dyDescent="0.25">
      <c r="A20" s="343">
        <v>42290</v>
      </c>
      <c r="B20" s="496" t="s">
        <v>785</v>
      </c>
      <c r="C20" s="450">
        <v>13317.4</v>
      </c>
      <c r="D20" s="534">
        <v>42296</v>
      </c>
      <c r="E20" s="450">
        <v>13317.4</v>
      </c>
      <c r="F20" s="297">
        <f t="shared" si="0"/>
        <v>0</v>
      </c>
      <c r="I20" s="212" t="s">
        <v>202</v>
      </c>
      <c r="J20" s="419" t="s">
        <v>195</v>
      </c>
      <c r="K20" s="205"/>
      <c r="L20" s="206" t="s">
        <v>203</v>
      </c>
      <c r="M20" s="419" t="s">
        <v>204</v>
      </c>
      <c r="N20" s="519"/>
      <c r="Q20" s="496" t="s">
        <v>824</v>
      </c>
      <c r="R20" s="81">
        <v>13192.3</v>
      </c>
      <c r="S20" s="234"/>
      <c r="T20" s="331" t="s">
        <v>674</v>
      </c>
      <c r="U20" s="522">
        <v>27696.5</v>
      </c>
      <c r="V20" s="523">
        <v>42299</v>
      </c>
      <c r="W20" s="21">
        <v>42298</v>
      </c>
    </row>
    <row r="21" spans="1:23" ht="15.75" x14ac:dyDescent="0.25">
      <c r="A21" s="343">
        <v>42290</v>
      </c>
      <c r="B21" s="496" t="s">
        <v>786</v>
      </c>
      <c r="C21" s="450">
        <v>60165.29</v>
      </c>
      <c r="D21" s="534">
        <v>42296</v>
      </c>
      <c r="E21" s="450">
        <v>60165.29</v>
      </c>
      <c r="F21" s="297">
        <f t="shared" si="0"/>
        <v>0</v>
      </c>
      <c r="I21" s="496" t="s">
        <v>758</v>
      </c>
      <c r="J21" s="432">
        <v>2596.4699999999998</v>
      </c>
      <c r="K21" s="216"/>
      <c r="L21" s="331" t="s">
        <v>674</v>
      </c>
      <c r="M21" s="522">
        <v>54243</v>
      </c>
      <c r="N21" s="523">
        <v>42273</v>
      </c>
      <c r="O21" s="21">
        <v>42272</v>
      </c>
      <c r="Q21" s="496" t="s">
        <v>825</v>
      </c>
      <c r="R21" s="81">
        <v>79576.86</v>
      </c>
      <c r="S21" s="234"/>
      <c r="T21" s="331" t="s">
        <v>674</v>
      </c>
      <c r="U21" s="521">
        <v>54413.5</v>
      </c>
      <c r="V21" s="525">
        <v>42300</v>
      </c>
      <c r="W21" s="21">
        <v>42299</v>
      </c>
    </row>
    <row r="22" spans="1:23" ht="15.75" x14ac:dyDescent="0.25">
      <c r="A22" s="343">
        <v>42291</v>
      </c>
      <c r="B22" s="728" t="s">
        <v>803</v>
      </c>
      <c r="C22" s="729">
        <v>23088.3</v>
      </c>
      <c r="D22" s="534">
        <v>42296</v>
      </c>
      <c r="E22" s="450">
        <v>23088.3</v>
      </c>
      <c r="F22" s="297">
        <f t="shared" si="0"/>
        <v>0</v>
      </c>
      <c r="I22" s="483" t="s">
        <v>761</v>
      </c>
      <c r="J22" s="432">
        <v>114105.60000000001</v>
      </c>
      <c r="K22" s="234"/>
      <c r="L22" s="331" t="s">
        <v>674</v>
      </c>
      <c r="M22" s="522">
        <v>75547</v>
      </c>
      <c r="N22" s="523">
        <v>42278</v>
      </c>
      <c r="O22" s="21">
        <v>42273</v>
      </c>
      <c r="Q22" s="585" t="s">
        <v>826</v>
      </c>
      <c r="R22" s="450">
        <v>6781.28</v>
      </c>
      <c r="S22" s="714" t="s">
        <v>236</v>
      </c>
      <c r="T22" s="331" t="s">
        <v>674</v>
      </c>
      <c r="U22" s="522"/>
      <c r="V22" s="523"/>
      <c r="W22" s="21"/>
    </row>
    <row r="23" spans="1:23" ht="15.75" x14ac:dyDescent="0.25">
      <c r="A23" s="343">
        <v>42293</v>
      </c>
      <c r="B23" s="496" t="s">
        <v>804</v>
      </c>
      <c r="C23" s="450">
        <v>131548.79999999999</v>
      </c>
      <c r="D23" s="534">
        <v>42296</v>
      </c>
      <c r="E23" s="450">
        <v>131548.79999999999</v>
      </c>
      <c r="F23" s="297">
        <f t="shared" si="0"/>
        <v>0</v>
      </c>
      <c r="I23" s="483" t="s">
        <v>762</v>
      </c>
      <c r="J23" s="432">
        <v>906.08</v>
      </c>
      <c r="K23" s="234"/>
      <c r="L23" s="331" t="s">
        <v>674</v>
      </c>
      <c r="M23" s="521">
        <v>29040</v>
      </c>
      <c r="N23" s="525">
        <v>42275</v>
      </c>
      <c r="O23" s="21">
        <v>42274</v>
      </c>
      <c r="Q23" s="618"/>
      <c r="R23" s="81" t="s">
        <v>17</v>
      </c>
      <c r="S23" s="714"/>
      <c r="T23" s="331" t="s">
        <v>674</v>
      </c>
      <c r="U23" s="521"/>
      <c r="V23" s="525"/>
      <c r="W23" s="21"/>
    </row>
    <row r="24" spans="1:23" ht="15.75" x14ac:dyDescent="0.25">
      <c r="A24" s="343">
        <v>42294</v>
      </c>
      <c r="B24" s="728" t="s">
        <v>805</v>
      </c>
      <c r="C24" s="729">
        <v>3585.6</v>
      </c>
      <c r="D24" s="534">
        <v>42296</v>
      </c>
      <c r="E24" s="450">
        <v>3585.6</v>
      </c>
      <c r="F24" s="297">
        <f t="shared" si="0"/>
        <v>0</v>
      </c>
      <c r="I24" s="483" t="s">
        <v>763</v>
      </c>
      <c r="J24" s="432">
        <v>9490.14</v>
      </c>
      <c r="K24" s="234"/>
      <c r="L24" s="331" t="s">
        <v>674</v>
      </c>
      <c r="M24" s="522">
        <v>12512</v>
      </c>
      <c r="N24" s="523">
        <v>42277</v>
      </c>
      <c r="O24" s="21">
        <v>42276</v>
      </c>
      <c r="Q24" s="496"/>
      <c r="R24" s="450"/>
      <c r="S24" s="714"/>
      <c r="T24" s="331" t="s">
        <v>674</v>
      </c>
      <c r="U24" s="522"/>
      <c r="V24" s="523"/>
    </row>
    <row r="25" spans="1:23" ht="15.75" x14ac:dyDescent="0.25">
      <c r="A25" s="343">
        <v>42294</v>
      </c>
      <c r="B25" s="496" t="s">
        <v>806</v>
      </c>
      <c r="C25" s="450">
        <v>75202.600000000006</v>
      </c>
      <c r="D25" s="617" t="s">
        <v>821</v>
      </c>
      <c r="E25" s="450">
        <f>59767.12+15435.48</f>
        <v>75202.600000000006</v>
      </c>
      <c r="F25" s="297">
        <f t="shared" si="0"/>
        <v>0</v>
      </c>
      <c r="I25" s="483" t="s">
        <v>764</v>
      </c>
      <c r="J25" s="432">
        <v>11353.8</v>
      </c>
      <c r="K25" s="234"/>
      <c r="L25" s="331" t="s">
        <v>674</v>
      </c>
      <c r="M25" s="522">
        <v>29355.5</v>
      </c>
      <c r="N25" s="523">
        <v>42248</v>
      </c>
      <c r="O25" s="21">
        <v>42277</v>
      </c>
      <c r="Q25" s="496"/>
      <c r="R25" s="450"/>
      <c r="S25" s="714"/>
      <c r="T25" s="331" t="s">
        <v>674</v>
      </c>
      <c r="U25" s="528"/>
      <c r="V25" s="527"/>
    </row>
    <row r="26" spans="1:23" ht="15.75" x14ac:dyDescent="0.25">
      <c r="A26" s="343">
        <v>42295</v>
      </c>
      <c r="B26" s="496" t="s">
        <v>807</v>
      </c>
      <c r="C26" s="450">
        <v>12289.4</v>
      </c>
      <c r="D26" s="534">
        <v>42300</v>
      </c>
      <c r="E26" s="450">
        <v>12289.4</v>
      </c>
      <c r="F26" s="297">
        <f t="shared" si="0"/>
        <v>0</v>
      </c>
      <c r="I26" s="483" t="s">
        <v>766</v>
      </c>
      <c r="J26" s="432">
        <v>119457.28</v>
      </c>
      <c r="K26" s="235"/>
      <c r="L26" s="331" t="s">
        <v>674</v>
      </c>
      <c r="M26" s="521">
        <v>37966.5</v>
      </c>
      <c r="N26" s="525">
        <v>42279</v>
      </c>
      <c r="O26" s="21">
        <v>42278</v>
      </c>
      <c r="Q26" s="459"/>
      <c r="R26" s="494"/>
      <c r="S26" s="459"/>
      <c r="T26" s="331" t="s">
        <v>674</v>
      </c>
      <c r="U26" s="230"/>
      <c r="V26" s="230"/>
    </row>
    <row r="27" spans="1:23" ht="15.75" x14ac:dyDescent="0.25">
      <c r="A27" s="343">
        <v>42296</v>
      </c>
      <c r="B27" s="496" t="s">
        <v>811</v>
      </c>
      <c r="C27" s="450">
        <v>56456.4</v>
      </c>
      <c r="D27" s="617">
        <v>42300</v>
      </c>
      <c r="E27" s="450">
        <v>56456.4</v>
      </c>
      <c r="F27" s="297">
        <f t="shared" si="0"/>
        <v>0</v>
      </c>
      <c r="I27" s="483" t="s">
        <v>765</v>
      </c>
      <c r="J27" s="432">
        <v>10688.2</v>
      </c>
      <c r="K27" s="230"/>
      <c r="L27" s="331" t="s">
        <v>674</v>
      </c>
      <c r="M27" s="522">
        <v>62549</v>
      </c>
      <c r="N27" s="523">
        <v>42280</v>
      </c>
      <c r="O27" s="21">
        <v>42279</v>
      </c>
      <c r="Q27" s="230"/>
      <c r="R27" s="232">
        <v>0</v>
      </c>
      <c r="S27" s="230"/>
      <c r="T27" s="230"/>
      <c r="U27" s="230"/>
      <c r="V27" s="230"/>
    </row>
    <row r="28" spans="1:23" ht="15.75" x14ac:dyDescent="0.25">
      <c r="A28" s="343">
        <v>42298</v>
      </c>
      <c r="B28" s="496" t="s">
        <v>820</v>
      </c>
      <c r="C28" s="450">
        <v>70034.149999999994</v>
      </c>
      <c r="D28" s="617" t="s">
        <v>829</v>
      </c>
      <c r="E28" s="450">
        <f>48212.22+21821.93</f>
        <v>70034.149999999994</v>
      </c>
      <c r="F28" s="297">
        <f t="shared" si="0"/>
        <v>0</v>
      </c>
      <c r="I28" s="344" t="s">
        <v>767</v>
      </c>
      <c r="J28" s="432">
        <v>500</v>
      </c>
      <c r="K28" s="230"/>
      <c r="L28" s="331" t="s">
        <v>674</v>
      </c>
      <c r="M28" s="521">
        <v>50964</v>
      </c>
      <c r="N28" s="525">
        <v>42284</v>
      </c>
      <c r="O28" s="21">
        <v>42280</v>
      </c>
      <c r="R28" s="59">
        <f>SUM(R16:R27)</f>
        <v>304487</v>
      </c>
      <c r="S28" s="44"/>
      <c r="T28" s="44"/>
      <c r="U28" s="59">
        <f>SUM(U16:U27)</f>
        <v>304487</v>
      </c>
    </row>
    <row r="29" spans="1:23" ht="15.75" x14ac:dyDescent="0.25">
      <c r="A29" s="343">
        <v>42299</v>
      </c>
      <c r="B29" s="496" t="s">
        <v>822</v>
      </c>
      <c r="C29" s="81">
        <v>3768.4</v>
      </c>
      <c r="D29" s="465">
        <v>42306</v>
      </c>
      <c r="E29" s="429">
        <v>3768.4</v>
      </c>
      <c r="F29" s="297">
        <f t="shared" si="0"/>
        <v>0</v>
      </c>
      <c r="I29" s="344" t="s">
        <v>768</v>
      </c>
      <c r="J29" s="432">
        <v>3180.2</v>
      </c>
      <c r="K29" s="416"/>
      <c r="L29" s="331" t="s">
        <v>674</v>
      </c>
      <c r="M29" s="522">
        <v>29000</v>
      </c>
      <c r="N29" s="523">
        <v>42284</v>
      </c>
      <c r="O29" s="21">
        <v>42281</v>
      </c>
    </row>
    <row r="30" spans="1:23" ht="15.75" x14ac:dyDescent="0.25">
      <c r="A30" s="545">
        <v>42300</v>
      </c>
      <c r="B30" s="496" t="s">
        <v>823</v>
      </c>
      <c r="C30" s="81">
        <v>54376.480000000003</v>
      </c>
      <c r="D30" s="465">
        <v>42306</v>
      </c>
      <c r="E30" s="429">
        <v>54376.480000000003</v>
      </c>
      <c r="F30" s="297">
        <f>C30-E30</f>
        <v>0</v>
      </c>
      <c r="I30" s="344" t="s">
        <v>769</v>
      </c>
      <c r="J30" s="432">
        <v>38511.599999999999</v>
      </c>
      <c r="K30" s="459"/>
      <c r="L30" s="331" t="s">
        <v>674</v>
      </c>
      <c r="M30" s="528">
        <v>23015.5</v>
      </c>
      <c r="N30" s="527">
        <v>42282</v>
      </c>
      <c r="O30" s="21">
        <v>42281</v>
      </c>
    </row>
    <row r="31" spans="1:23" ht="15.75" x14ac:dyDescent="0.25">
      <c r="A31" s="343">
        <v>42301</v>
      </c>
      <c r="B31" s="496" t="s">
        <v>827</v>
      </c>
      <c r="C31" s="81">
        <v>124969.75</v>
      </c>
      <c r="D31" s="465">
        <v>42306</v>
      </c>
      <c r="E31" s="429">
        <v>124969.75</v>
      </c>
      <c r="F31" s="297">
        <f>C31-E31</f>
        <v>0</v>
      </c>
      <c r="I31" s="344" t="s">
        <v>770</v>
      </c>
      <c r="J31" s="432">
        <v>11032</v>
      </c>
      <c r="K31" s="230"/>
      <c r="L31" s="331" t="s">
        <v>674</v>
      </c>
      <c r="M31" s="522">
        <v>35810</v>
      </c>
      <c r="N31" s="527">
        <v>42285</v>
      </c>
      <c r="O31" s="21">
        <v>42284</v>
      </c>
    </row>
    <row r="32" spans="1:23" ht="15.75" x14ac:dyDescent="0.25">
      <c r="A32" s="343">
        <v>42302</v>
      </c>
      <c r="B32" s="496" t="s">
        <v>824</v>
      </c>
      <c r="C32" s="81">
        <v>13192.3</v>
      </c>
      <c r="D32" s="465">
        <v>42306</v>
      </c>
      <c r="E32" s="294">
        <v>13192.3</v>
      </c>
      <c r="F32" s="297">
        <f>C32-E32</f>
        <v>0</v>
      </c>
      <c r="I32" s="496" t="s">
        <v>771</v>
      </c>
      <c r="J32" s="432">
        <v>17035.2</v>
      </c>
      <c r="K32" s="220"/>
      <c r="L32" s="331" t="s">
        <v>674</v>
      </c>
      <c r="M32" s="522"/>
      <c r="N32" s="230"/>
    </row>
    <row r="33" spans="1:15" ht="15.75" x14ac:dyDescent="0.25">
      <c r="A33" s="343">
        <v>42303</v>
      </c>
      <c r="B33" s="496" t="s">
        <v>825</v>
      </c>
      <c r="C33" s="81">
        <v>79576.86</v>
      </c>
      <c r="D33" s="617">
        <v>42306</v>
      </c>
      <c r="E33" s="450">
        <v>79576.86</v>
      </c>
      <c r="F33" s="297">
        <f>C33-E33</f>
        <v>0</v>
      </c>
      <c r="I33" s="344" t="s">
        <v>772</v>
      </c>
      <c r="J33" s="432">
        <v>61015.22</v>
      </c>
      <c r="K33" s="230"/>
      <c r="L33" s="331" t="s">
        <v>674</v>
      </c>
      <c r="M33" s="708"/>
      <c r="N33" s="230"/>
    </row>
    <row r="34" spans="1:15" ht="15.75" x14ac:dyDescent="0.25">
      <c r="A34" s="725">
        <v>42304</v>
      </c>
      <c r="B34" s="585" t="s">
        <v>826</v>
      </c>
      <c r="C34" s="450">
        <v>8939.4</v>
      </c>
      <c r="D34" s="681" t="s">
        <v>837</v>
      </c>
      <c r="E34" s="366">
        <f>6781.28+2158.12</f>
        <v>8939.4</v>
      </c>
      <c r="F34" s="596">
        <f>C34-E34</f>
        <v>0</v>
      </c>
      <c r="I34" s="703" t="s">
        <v>773</v>
      </c>
      <c r="J34" s="450">
        <v>40130.71</v>
      </c>
      <c r="K34" s="230"/>
      <c r="L34" s="331" t="s">
        <v>674</v>
      </c>
      <c r="M34" s="708"/>
      <c r="N34" s="230"/>
    </row>
    <row r="35" spans="1:15" ht="15.75" x14ac:dyDescent="0.25">
      <c r="A35" s="602">
        <v>42305</v>
      </c>
      <c r="B35" s="618" t="s">
        <v>828</v>
      </c>
      <c r="C35" s="81">
        <v>14305.99</v>
      </c>
      <c r="D35" s="532">
        <v>42312</v>
      </c>
      <c r="E35" s="531">
        <v>14305.99</v>
      </c>
      <c r="F35" s="596">
        <f t="shared" si="0"/>
        <v>0</v>
      </c>
      <c r="I35" s="230"/>
      <c r="J35" s="232">
        <v>0</v>
      </c>
      <c r="K35" s="230"/>
      <c r="L35" s="331" t="s">
        <v>674</v>
      </c>
      <c r="M35" s="708"/>
      <c r="N35" s="230"/>
    </row>
    <row r="36" spans="1:15" x14ac:dyDescent="0.25">
      <c r="A36" s="249">
        <v>42306</v>
      </c>
      <c r="B36" s="727" t="s">
        <v>832</v>
      </c>
      <c r="C36" s="81">
        <v>117274.77</v>
      </c>
      <c r="D36" s="532">
        <v>42312</v>
      </c>
      <c r="E36" s="531">
        <v>117274.77</v>
      </c>
      <c r="F36" s="596">
        <f t="shared" si="0"/>
        <v>0</v>
      </c>
      <c r="I36" s="230"/>
      <c r="J36" s="232">
        <v>0</v>
      </c>
      <c r="K36" s="230"/>
      <c r="L36" s="230"/>
      <c r="M36" s="230"/>
      <c r="N36" s="230"/>
    </row>
    <row r="37" spans="1:15" x14ac:dyDescent="0.25">
      <c r="A37" s="249">
        <v>42306</v>
      </c>
      <c r="B37" s="727" t="s">
        <v>833</v>
      </c>
      <c r="C37" s="81">
        <v>12544</v>
      </c>
      <c r="D37" s="532">
        <v>42312</v>
      </c>
      <c r="E37" s="531">
        <v>12544</v>
      </c>
      <c r="F37" s="596">
        <f t="shared" si="0"/>
        <v>0</v>
      </c>
      <c r="J37" s="44">
        <f>SUM(J21:J36)</f>
        <v>440002.50000000006</v>
      </c>
      <c r="K37" s="44"/>
      <c r="L37" s="44"/>
      <c r="M37" s="59">
        <f t="shared" ref="M37" si="1">SUM(M21:M36)</f>
        <v>440002.5</v>
      </c>
    </row>
    <row r="38" spans="1:15" ht="15.75" x14ac:dyDescent="0.25">
      <c r="A38" s="602">
        <v>42307</v>
      </c>
      <c r="B38" s="618" t="s">
        <v>830</v>
      </c>
      <c r="C38" s="81">
        <v>5963</v>
      </c>
      <c r="D38" s="532">
        <v>42312</v>
      </c>
      <c r="E38" s="531">
        <v>5963</v>
      </c>
      <c r="F38" s="596">
        <f t="shared" si="0"/>
        <v>0</v>
      </c>
      <c r="J38" s="44"/>
    </row>
    <row r="39" spans="1:15" x14ac:dyDescent="0.25">
      <c r="A39" s="249">
        <v>42308</v>
      </c>
      <c r="B39" s="619" t="s">
        <v>831</v>
      </c>
      <c r="C39" s="81">
        <v>111329.38</v>
      </c>
      <c r="D39" s="532">
        <v>42312</v>
      </c>
      <c r="E39" s="531">
        <v>111329.38</v>
      </c>
      <c r="F39" s="596">
        <f t="shared" si="0"/>
        <v>0</v>
      </c>
      <c r="J39" s="44"/>
    </row>
    <row r="40" spans="1:15" ht="15.75" thickBot="1" x14ac:dyDescent="0.3">
      <c r="B40" s="263"/>
      <c r="C40" s="180">
        <v>0</v>
      </c>
      <c r="D40" s="467"/>
      <c r="E40" s="295">
        <v>0</v>
      </c>
      <c r="F40" s="596">
        <f t="shared" si="0"/>
        <v>0</v>
      </c>
    </row>
    <row r="41" spans="1:15" ht="20.25" thickTop="1" thickBot="1" x14ac:dyDescent="0.35">
      <c r="B41" s="614"/>
      <c r="C41" s="450">
        <f>SUM(C3:C40)</f>
        <v>1509397.4500000002</v>
      </c>
      <c r="D41" s="178"/>
      <c r="E41" s="336">
        <f>SUM(E3:E40)</f>
        <v>1509397.4500000002</v>
      </c>
      <c r="F41" s="336">
        <f>SUM(F3:F40)</f>
        <v>0</v>
      </c>
      <c r="J41" s="474" t="s">
        <v>205</v>
      </c>
      <c r="K41" s="204"/>
      <c r="L41" s="710"/>
      <c r="M41" s="601">
        <v>42296</v>
      </c>
      <c r="N41" s="276"/>
    </row>
    <row r="42" spans="1:15" ht="15.75" x14ac:dyDescent="0.25">
      <c r="C42" s="450"/>
      <c r="I42" s="205"/>
      <c r="J42" s="419"/>
      <c r="K42" s="205"/>
      <c r="L42" s="206"/>
      <c r="M42" s="419"/>
      <c r="N42" s="519"/>
    </row>
    <row r="43" spans="1:15" ht="15.75" x14ac:dyDescent="0.25">
      <c r="B43" s="25" t="s">
        <v>101</v>
      </c>
      <c r="E43" s="25"/>
      <c r="F43" s="25"/>
      <c r="I43" s="212" t="s">
        <v>202</v>
      </c>
      <c r="J43" s="419" t="s">
        <v>195</v>
      </c>
      <c r="K43" s="205"/>
      <c r="L43" s="206" t="s">
        <v>203</v>
      </c>
      <c r="M43" s="419" t="s">
        <v>204</v>
      </c>
      <c r="N43" s="519"/>
    </row>
    <row r="44" spans="1:15" ht="15.75" x14ac:dyDescent="0.25">
      <c r="B44" s="450"/>
      <c r="C44" s="534"/>
      <c r="D44" s="196"/>
      <c r="E44" s="25"/>
      <c r="F44" s="25"/>
      <c r="H44" s="5" t="s">
        <v>809</v>
      </c>
      <c r="I44" s="712" t="s">
        <v>802</v>
      </c>
      <c r="J44" s="713">
        <v>35204.400000000001</v>
      </c>
      <c r="K44" s="216"/>
      <c r="L44" s="331" t="s">
        <v>674</v>
      </c>
      <c r="M44" s="522">
        <v>39268</v>
      </c>
      <c r="N44" s="523">
        <v>42283</v>
      </c>
      <c r="O44" s="21">
        <v>42282</v>
      </c>
    </row>
    <row r="45" spans="1:15" ht="15.75" x14ac:dyDescent="0.25">
      <c r="E45" s="25"/>
      <c r="F45" s="25"/>
      <c r="I45" s="496" t="s">
        <v>773</v>
      </c>
      <c r="J45" s="81">
        <v>241.69</v>
      </c>
      <c r="K45" s="234"/>
      <c r="L45" s="331" t="s">
        <v>674</v>
      </c>
      <c r="M45" s="522">
        <v>33216</v>
      </c>
      <c r="N45" s="523">
        <v>42284</v>
      </c>
      <c r="O45" s="21">
        <v>42283</v>
      </c>
    </row>
    <row r="46" spans="1:15" ht="15.75" x14ac:dyDescent="0.25">
      <c r="A46" s="25"/>
      <c r="I46" s="496" t="s">
        <v>783</v>
      </c>
      <c r="J46" s="450">
        <v>2249.4</v>
      </c>
      <c r="K46" s="234"/>
      <c r="L46" s="331" t="s">
        <v>674</v>
      </c>
      <c r="M46" s="521">
        <v>40127</v>
      </c>
      <c r="N46" s="525">
        <v>42286</v>
      </c>
      <c r="O46" s="21">
        <v>42285</v>
      </c>
    </row>
    <row r="47" spans="1:15" ht="15.75" x14ac:dyDescent="0.25">
      <c r="A47" s="25"/>
      <c r="C47" s="25"/>
      <c r="E47" s="25"/>
      <c r="F47" s="25"/>
      <c r="I47" s="496" t="s">
        <v>784</v>
      </c>
      <c r="J47" s="450">
        <v>8630</v>
      </c>
      <c r="K47" s="234"/>
      <c r="L47" s="331" t="s">
        <v>674</v>
      </c>
      <c r="M47" s="522">
        <v>62903</v>
      </c>
      <c r="N47" s="523">
        <v>42287</v>
      </c>
      <c r="O47" s="21">
        <v>42286</v>
      </c>
    </row>
    <row r="48" spans="1:15" ht="15.75" x14ac:dyDescent="0.25">
      <c r="A48" s="25"/>
      <c r="C48" s="25"/>
      <c r="E48" s="25"/>
      <c r="F48" s="25"/>
      <c r="I48" s="496" t="s">
        <v>785</v>
      </c>
      <c r="J48" s="450">
        <v>13317.4</v>
      </c>
      <c r="K48" s="234"/>
      <c r="L48" s="331" t="s">
        <v>674</v>
      </c>
      <c r="M48" s="522">
        <v>57030</v>
      </c>
      <c r="N48" s="523">
        <v>42289</v>
      </c>
      <c r="O48" s="21">
        <v>42287</v>
      </c>
    </row>
    <row r="49" spans="1:15" ht="15.75" x14ac:dyDescent="0.25">
      <c r="A49" s="25"/>
      <c r="C49" s="25"/>
      <c r="E49" s="25"/>
      <c r="F49" s="25"/>
      <c r="I49" s="496" t="s">
        <v>786</v>
      </c>
      <c r="J49" s="450">
        <v>60165.29</v>
      </c>
      <c r="K49" s="235"/>
      <c r="L49" s="331" t="s">
        <v>674</v>
      </c>
      <c r="M49" s="521">
        <v>41740</v>
      </c>
      <c r="N49" s="525">
        <v>42289</v>
      </c>
      <c r="O49" s="21">
        <v>42288</v>
      </c>
    </row>
    <row r="50" spans="1:15" ht="15.75" x14ac:dyDescent="0.25">
      <c r="A50" s="25"/>
      <c r="C50" s="25"/>
      <c r="E50" s="25"/>
      <c r="F50" s="25"/>
      <c r="H50" s="59" t="s">
        <v>808</v>
      </c>
      <c r="I50" s="712" t="s">
        <v>803</v>
      </c>
      <c r="J50" s="565">
        <v>23088.3</v>
      </c>
      <c r="K50" s="230"/>
      <c r="L50" s="331" t="s">
        <v>674</v>
      </c>
      <c r="M50" s="522">
        <v>30113</v>
      </c>
      <c r="N50" s="523">
        <v>42290</v>
      </c>
      <c r="O50" s="21">
        <v>42289</v>
      </c>
    </row>
    <row r="51" spans="1:15" ht="15.75" x14ac:dyDescent="0.25">
      <c r="A51" s="25"/>
      <c r="C51" s="25"/>
      <c r="E51" s="25"/>
      <c r="F51" s="25"/>
      <c r="G51"/>
      <c r="I51" s="496" t="s">
        <v>804</v>
      </c>
      <c r="J51" s="450">
        <v>131548.79999999999</v>
      </c>
      <c r="K51" s="230"/>
      <c r="L51" s="331" t="s">
        <v>674</v>
      </c>
      <c r="M51" s="521">
        <v>33401</v>
      </c>
      <c r="N51" s="525">
        <v>42291</v>
      </c>
      <c r="O51" s="21">
        <v>42290</v>
      </c>
    </row>
    <row r="52" spans="1:15" ht="15.75" x14ac:dyDescent="0.25">
      <c r="A52" s="25"/>
      <c r="C52" s="25"/>
      <c r="E52" s="25"/>
      <c r="F52" s="25"/>
      <c r="G52"/>
      <c r="H52" s="5" t="s">
        <v>808</v>
      </c>
      <c r="I52" s="712" t="s">
        <v>805</v>
      </c>
      <c r="J52" s="565">
        <v>3585.6</v>
      </c>
      <c r="K52" s="416"/>
      <c r="L52" s="331" t="s">
        <v>674</v>
      </c>
      <c r="M52" s="522"/>
      <c r="N52" s="523"/>
    </row>
    <row r="53" spans="1:15" ht="15.75" x14ac:dyDescent="0.25">
      <c r="I53" s="496" t="s">
        <v>806</v>
      </c>
      <c r="J53" s="450">
        <v>59767.12</v>
      </c>
      <c r="K53" s="714" t="s">
        <v>325</v>
      </c>
      <c r="L53" s="331" t="s">
        <v>674</v>
      </c>
      <c r="M53" s="528"/>
      <c r="N53" s="527"/>
    </row>
    <row r="54" spans="1:15" ht="15.75" x14ac:dyDescent="0.25">
      <c r="I54" s="230"/>
      <c r="J54" s="232">
        <v>0</v>
      </c>
      <c r="K54" s="230"/>
      <c r="L54" s="331" t="s">
        <v>674</v>
      </c>
      <c r="M54" s="230"/>
      <c r="N54" s="230"/>
    </row>
    <row r="55" spans="1:15" x14ac:dyDescent="0.25">
      <c r="I55" s="230"/>
      <c r="J55" s="232">
        <v>0</v>
      </c>
      <c r="K55" s="230"/>
      <c r="L55" s="230"/>
      <c r="M55" s="230"/>
      <c r="N55" s="230"/>
    </row>
    <row r="56" spans="1:15" x14ac:dyDescent="0.25">
      <c r="J56" s="44">
        <f>SUM(J44:J55)</f>
        <v>337798</v>
      </c>
      <c r="K56" s="44"/>
      <c r="L56" s="44"/>
      <c r="M56" s="59">
        <f>SUM(M44:M55)</f>
        <v>337798</v>
      </c>
    </row>
  </sheetData>
  <sortState ref="A35:C39">
    <sortCondition ref="B35:B39"/>
  </sortState>
  <pageMargins left="0.9055118110236221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S57"/>
  <sheetViews>
    <sheetView topLeftCell="A25" workbookViewId="0">
      <selection activeCell="N47" sqref="N47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3.7109375" customWidth="1"/>
    <col min="12" max="12" width="11.28515625" customWidth="1"/>
    <col min="13" max="13" width="16.7109375" style="44" customWidth="1"/>
    <col min="14" max="14" width="11.42578125" style="44"/>
  </cols>
  <sheetData>
    <row r="1" spans="1:19" ht="23.25" x14ac:dyDescent="0.35">
      <c r="C1" s="760" t="s">
        <v>859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</row>
    <row r="2" spans="1:19" ht="15.75" thickBot="1" x14ac:dyDescent="0.3">
      <c r="E2" s="752"/>
      <c r="F2" s="51"/>
    </row>
    <row r="3" spans="1:19" ht="15.75" thickBot="1" x14ac:dyDescent="0.3">
      <c r="C3" s="45" t="s">
        <v>0</v>
      </c>
      <c r="D3" s="3"/>
    </row>
    <row r="4" spans="1:19" ht="20.25" thickTop="1" thickBot="1" x14ac:dyDescent="0.35">
      <c r="A4" s="415" t="s">
        <v>2</v>
      </c>
      <c r="B4" s="414"/>
      <c r="C4" s="97">
        <v>168975.99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112" t="s">
        <v>159</v>
      </c>
    </row>
    <row r="5" spans="1:19" ht="15.75" thickTop="1" x14ac:dyDescent="0.25">
      <c r="A5" s="21"/>
      <c r="B5" s="40">
        <v>42309</v>
      </c>
      <c r="C5" s="46">
        <v>0</v>
      </c>
      <c r="D5" s="30"/>
      <c r="E5" s="28">
        <v>42309</v>
      </c>
      <c r="F5" s="52">
        <v>55920</v>
      </c>
      <c r="G5" s="25"/>
      <c r="H5" s="26">
        <v>42309</v>
      </c>
      <c r="I5" s="61">
        <v>400</v>
      </c>
      <c r="J5" s="80"/>
      <c r="K5" s="122"/>
      <c r="L5" s="123"/>
      <c r="M5" s="151">
        <v>53550</v>
      </c>
      <c r="N5" s="450"/>
      <c r="O5" s="25"/>
      <c r="R5" t="s">
        <v>462</v>
      </c>
      <c r="S5">
        <v>1600</v>
      </c>
    </row>
    <row r="6" spans="1:19" x14ac:dyDescent="0.25">
      <c r="A6" s="21"/>
      <c r="B6" s="40">
        <v>42310</v>
      </c>
      <c r="C6" s="46">
        <v>622</v>
      </c>
      <c r="D6" s="70" t="s">
        <v>22</v>
      </c>
      <c r="E6" s="28">
        <v>42310</v>
      </c>
      <c r="F6" s="52">
        <v>25393.25</v>
      </c>
      <c r="G6" s="20"/>
      <c r="H6" s="29">
        <v>42310</v>
      </c>
      <c r="I6" s="62">
        <v>0</v>
      </c>
      <c r="J6" s="81"/>
      <c r="K6" s="73" t="s">
        <v>5</v>
      </c>
      <c r="L6" s="125">
        <v>537</v>
      </c>
      <c r="M6" s="116">
        <v>26983</v>
      </c>
      <c r="N6" s="336"/>
      <c r="O6" s="25"/>
    </row>
    <row r="7" spans="1:19" x14ac:dyDescent="0.25">
      <c r="A7" s="21"/>
      <c r="B7" s="40">
        <v>42311</v>
      </c>
      <c r="C7" s="46">
        <v>279</v>
      </c>
      <c r="D7" s="30" t="s">
        <v>411</v>
      </c>
      <c r="E7" s="28">
        <v>42311</v>
      </c>
      <c r="F7" s="52">
        <v>46202.13</v>
      </c>
      <c r="G7" s="25"/>
      <c r="H7" s="29">
        <v>42311</v>
      </c>
      <c r="I7" s="62">
        <v>1437.2</v>
      </c>
      <c r="J7" s="81"/>
      <c r="K7" s="694" t="s">
        <v>756</v>
      </c>
      <c r="L7" s="125">
        <v>12349</v>
      </c>
      <c r="M7" s="116">
        <v>41927</v>
      </c>
      <c r="N7" s="336"/>
      <c r="O7" s="25"/>
      <c r="R7" t="s">
        <v>464</v>
      </c>
      <c r="S7">
        <v>2500</v>
      </c>
    </row>
    <row r="8" spans="1:19" x14ac:dyDescent="0.25">
      <c r="A8" s="21"/>
      <c r="B8" s="40">
        <v>42312</v>
      </c>
      <c r="C8" s="46">
        <f>198+624+337</f>
        <v>1159</v>
      </c>
      <c r="D8" s="30" t="s">
        <v>866</v>
      </c>
      <c r="E8" s="28">
        <v>42312</v>
      </c>
      <c r="F8" s="52">
        <v>41714.089999999997</v>
      </c>
      <c r="G8" s="25"/>
      <c r="H8" s="29">
        <v>42312</v>
      </c>
      <c r="I8" s="62">
        <v>425</v>
      </c>
      <c r="J8" s="81"/>
      <c r="K8" s="73" t="s">
        <v>6</v>
      </c>
      <c r="L8" s="124">
        <v>28750</v>
      </c>
      <c r="M8" s="701">
        <v>46450</v>
      </c>
      <c r="N8" s="450"/>
      <c r="O8" s="25"/>
    </row>
    <row r="9" spans="1:19" x14ac:dyDescent="0.25">
      <c r="A9" s="21"/>
      <c r="B9" s="40">
        <v>42313</v>
      </c>
      <c r="C9" s="46">
        <v>19</v>
      </c>
      <c r="D9" s="96" t="s">
        <v>867</v>
      </c>
      <c r="E9" s="28">
        <v>42313</v>
      </c>
      <c r="F9" s="52">
        <v>39795.25</v>
      </c>
      <c r="G9" s="25"/>
      <c r="H9" s="29">
        <v>42313</v>
      </c>
      <c r="I9" s="62">
        <v>27</v>
      </c>
      <c r="J9" s="82"/>
      <c r="K9" s="73" t="s">
        <v>860</v>
      </c>
      <c r="L9" s="125">
        <f>6450+1600+2500</f>
        <v>10550</v>
      </c>
      <c r="M9" s="116">
        <v>39749</v>
      </c>
      <c r="N9" s="336"/>
      <c r="O9" s="25"/>
    </row>
    <row r="10" spans="1:19" x14ac:dyDescent="0.25">
      <c r="A10" s="21"/>
      <c r="B10" s="40">
        <v>42314</v>
      </c>
      <c r="C10" s="46">
        <v>720</v>
      </c>
      <c r="D10" s="96" t="s">
        <v>22</v>
      </c>
      <c r="E10" s="28">
        <v>42314</v>
      </c>
      <c r="F10" s="52">
        <v>63351.64</v>
      </c>
      <c r="G10" s="25"/>
      <c r="H10" s="29">
        <v>42314</v>
      </c>
      <c r="I10" s="62">
        <v>500</v>
      </c>
      <c r="J10" s="82"/>
      <c r="K10" s="73" t="s">
        <v>861</v>
      </c>
      <c r="L10" s="52">
        <v>9950</v>
      </c>
      <c r="M10" s="116">
        <v>61131.5</v>
      </c>
      <c r="N10" s="336"/>
      <c r="O10" s="25"/>
    </row>
    <row r="11" spans="1:19" x14ac:dyDescent="0.25">
      <c r="A11" s="21"/>
      <c r="B11" s="40">
        <v>42315</v>
      </c>
      <c r="C11" s="46">
        <v>180</v>
      </c>
      <c r="D11" s="96" t="s">
        <v>876</v>
      </c>
      <c r="E11" s="28">
        <v>42315</v>
      </c>
      <c r="F11" s="52">
        <v>86121.05</v>
      </c>
      <c r="G11" s="25"/>
      <c r="H11" s="29">
        <v>42315</v>
      </c>
      <c r="I11" s="62">
        <v>840</v>
      </c>
      <c r="J11" s="82"/>
      <c r="K11" s="73" t="s">
        <v>862</v>
      </c>
      <c r="L11" s="52">
        <v>9950</v>
      </c>
      <c r="M11" s="116">
        <v>85100</v>
      </c>
      <c r="N11" s="369" t="s">
        <v>878</v>
      </c>
      <c r="O11" s="25"/>
    </row>
    <row r="12" spans="1:19" x14ac:dyDescent="0.25">
      <c r="A12" s="21"/>
      <c r="B12" s="40">
        <v>42316</v>
      </c>
      <c r="C12" s="46"/>
      <c r="D12" s="30"/>
      <c r="E12" s="28">
        <v>42316</v>
      </c>
      <c r="F12" s="52">
        <v>49618.01</v>
      </c>
      <c r="G12" s="25"/>
      <c r="H12" s="29">
        <v>42316</v>
      </c>
      <c r="I12" s="62">
        <v>0</v>
      </c>
      <c r="J12" s="82"/>
      <c r="K12" s="73" t="s">
        <v>863</v>
      </c>
      <c r="L12" s="52">
        <v>10523</v>
      </c>
      <c r="M12" s="116">
        <v>40268</v>
      </c>
      <c r="N12" s="565">
        <v>1000</v>
      </c>
      <c r="O12" s="747" t="s">
        <v>864</v>
      </c>
      <c r="P12" s="6" t="s">
        <v>878</v>
      </c>
    </row>
    <row r="13" spans="1:19" x14ac:dyDescent="0.25">
      <c r="A13" s="21"/>
      <c r="B13" s="40">
        <v>42317</v>
      </c>
      <c r="C13" s="46">
        <v>20</v>
      </c>
      <c r="D13" s="96" t="s">
        <v>672</v>
      </c>
      <c r="E13" s="28">
        <v>42317</v>
      </c>
      <c r="F13" s="52">
        <v>38670.639999999999</v>
      </c>
      <c r="G13" s="25"/>
      <c r="H13" s="29">
        <v>42317</v>
      </c>
      <c r="I13" s="62">
        <v>0</v>
      </c>
      <c r="J13" s="82"/>
      <c r="K13" s="73" t="s">
        <v>902</v>
      </c>
      <c r="L13" s="52">
        <v>9950</v>
      </c>
      <c r="M13" s="116">
        <v>40882</v>
      </c>
      <c r="N13" s="450"/>
      <c r="O13" s="25"/>
    </row>
    <row r="14" spans="1:19" x14ac:dyDescent="0.25">
      <c r="A14" s="21"/>
      <c r="B14" s="40">
        <v>42318</v>
      </c>
      <c r="C14" s="46">
        <v>947</v>
      </c>
      <c r="D14" s="30" t="s">
        <v>524</v>
      </c>
      <c r="E14" s="28">
        <v>42318</v>
      </c>
      <c r="F14" s="52">
        <v>50576.87</v>
      </c>
      <c r="G14" s="25"/>
      <c r="H14" s="29">
        <v>42318</v>
      </c>
      <c r="I14" s="62">
        <v>97.5</v>
      </c>
      <c r="J14" s="82"/>
      <c r="K14" s="165"/>
      <c r="L14" s="52">
        <v>0</v>
      </c>
      <c r="M14" s="116">
        <v>49532</v>
      </c>
      <c r="N14" s="450"/>
      <c r="O14" s="25"/>
    </row>
    <row r="15" spans="1:19" x14ac:dyDescent="0.25">
      <c r="A15" s="21"/>
      <c r="B15" s="40">
        <v>42319</v>
      </c>
      <c r="C15" s="46">
        <v>0</v>
      </c>
      <c r="D15" s="30"/>
      <c r="E15" s="28">
        <v>42319</v>
      </c>
      <c r="F15" s="52">
        <v>37798.29</v>
      </c>
      <c r="G15" s="25"/>
      <c r="H15" s="29">
        <v>42319</v>
      </c>
      <c r="I15" s="62">
        <v>420</v>
      </c>
      <c r="J15" s="82"/>
      <c r="K15" s="742" t="s">
        <v>871</v>
      </c>
      <c r="L15" s="52">
        <v>13653</v>
      </c>
      <c r="M15" s="116">
        <v>34725</v>
      </c>
      <c r="N15" s="336"/>
      <c r="O15" s="25"/>
    </row>
    <row r="16" spans="1:19" x14ac:dyDescent="0.25">
      <c r="A16" s="21"/>
      <c r="B16" s="40">
        <v>42320</v>
      </c>
      <c r="C16" s="46">
        <v>0</v>
      </c>
      <c r="D16" s="96"/>
      <c r="E16" s="28">
        <v>42320</v>
      </c>
      <c r="F16" s="52">
        <v>52184.88</v>
      </c>
      <c r="G16" s="25"/>
      <c r="H16" s="29">
        <v>42320</v>
      </c>
      <c r="I16" s="62">
        <v>983.95</v>
      </c>
      <c r="J16" s="82"/>
      <c r="K16" s="192" t="s">
        <v>61</v>
      </c>
      <c r="L16" s="490">
        <v>6</v>
      </c>
      <c r="M16" s="116">
        <v>37548</v>
      </c>
      <c r="N16" s="336"/>
      <c r="O16" s="25"/>
    </row>
    <row r="17" spans="1:18" x14ac:dyDescent="0.25">
      <c r="A17" s="21"/>
      <c r="B17" s="40">
        <v>42321</v>
      </c>
      <c r="C17" s="46">
        <v>0</v>
      </c>
      <c r="D17" s="30"/>
      <c r="E17" s="28">
        <v>42321</v>
      </c>
      <c r="F17" s="52">
        <v>85692.76</v>
      </c>
      <c r="G17" s="25"/>
      <c r="H17" s="29">
        <v>42321</v>
      </c>
      <c r="I17" s="62">
        <v>0</v>
      </c>
      <c r="J17" s="82"/>
      <c r="K17" s="73" t="s">
        <v>816</v>
      </c>
      <c r="L17" s="52">
        <v>0</v>
      </c>
      <c r="M17" s="116">
        <v>85156</v>
      </c>
      <c r="N17" s="336"/>
      <c r="O17" s="25"/>
    </row>
    <row r="18" spans="1:18" x14ac:dyDescent="0.25">
      <c r="A18" s="21"/>
      <c r="B18" s="40">
        <v>42322</v>
      </c>
      <c r="C18" s="46">
        <v>1040</v>
      </c>
      <c r="D18" s="30" t="s">
        <v>866</v>
      </c>
      <c r="E18" s="28">
        <v>42322</v>
      </c>
      <c r="F18" s="52">
        <v>108409.91</v>
      </c>
      <c r="G18" s="25"/>
      <c r="H18" s="29">
        <v>42322</v>
      </c>
      <c r="I18" s="62">
        <v>320</v>
      </c>
      <c r="J18" s="82"/>
      <c r="K18" s="192" t="s">
        <v>819</v>
      </c>
      <c r="L18" s="52">
        <v>0</v>
      </c>
      <c r="M18" s="116">
        <f>89027+34440.5</f>
        <v>123467.5</v>
      </c>
      <c r="N18" s="450"/>
      <c r="O18" s="614"/>
      <c r="P18" s="25"/>
    </row>
    <row r="19" spans="1:18" x14ac:dyDescent="0.25">
      <c r="A19" s="21"/>
      <c r="B19" s="40">
        <v>42323</v>
      </c>
      <c r="C19" s="46">
        <v>0</v>
      </c>
      <c r="D19" s="96"/>
      <c r="E19" s="28">
        <v>42323</v>
      </c>
      <c r="F19" s="52">
        <v>61564.25</v>
      </c>
      <c r="G19" s="25"/>
      <c r="H19" s="29">
        <v>42323</v>
      </c>
      <c r="I19" s="62">
        <v>0</v>
      </c>
      <c r="J19" s="82"/>
      <c r="K19" s="286" t="s">
        <v>109</v>
      </c>
      <c r="L19" s="538">
        <v>0</v>
      </c>
      <c r="M19" s="116">
        <v>55759</v>
      </c>
      <c r="N19" s="729" t="s">
        <v>880</v>
      </c>
      <c r="O19" s="746"/>
      <c r="P19" s="25"/>
    </row>
    <row r="20" spans="1:18" x14ac:dyDescent="0.25">
      <c r="A20" s="21"/>
      <c r="B20" s="40">
        <v>42324</v>
      </c>
      <c r="C20" s="46">
        <v>9</v>
      </c>
      <c r="D20" s="70" t="s">
        <v>672</v>
      </c>
      <c r="E20" s="28">
        <v>42324</v>
      </c>
      <c r="F20" s="52">
        <v>43180.14</v>
      </c>
      <c r="G20" s="25"/>
      <c r="H20" s="29">
        <v>42324</v>
      </c>
      <c r="I20" s="63">
        <v>259</v>
      </c>
      <c r="J20" s="82"/>
      <c r="K20" s="486" t="s">
        <v>111</v>
      </c>
      <c r="L20" s="490">
        <v>0</v>
      </c>
      <c r="M20" s="116">
        <v>42921</v>
      </c>
      <c r="N20" s="336"/>
      <c r="O20" s="25"/>
    </row>
    <row r="21" spans="1:18" x14ac:dyDescent="0.25">
      <c r="A21" s="21"/>
      <c r="B21" s="40">
        <v>42325</v>
      </c>
      <c r="C21" s="46">
        <v>522</v>
      </c>
      <c r="D21" s="30" t="s">
        <v>22</v>
      </c>
      <c r="E21" s="28">
        <v>42325</v>
      </c>
      <c r="F21" s="52">
        <v>51295.09</v>
      </c>
      <c r="G21" s="25"/>
      <c r="H21" s="29">
        <v>42325</v>
      </c>
      <c r="I21" s="63">
        <v>0</v>
      </c>
      <c r="J21" s="82"/>
      <c r="K21" s="644" t="s">
        <v>869</v>
      </c>
      <c r="L21" s="490">
        <v>1853</v>
      </c>
      <c r="M21" s="116">
        <v>44773</v>
      </c>
      <c r="N21" s="336"/>
      <c r="O21" s="748" t="s">
        <v>894</v>
      </c>
      <c r="P21" s="748"/>
      <c r="Q21" s="748"/>
      <c r="R21" s="748"/>
    </row>
    <row r="22" spans="1:18" x14ac:dyDescent="0.25">
      <c r="A22" s="21"/>
      <c r="B22" s="40">
        <v>42326</v>
      </c>
      <c r="C22" s="46">
        <v>726</v>
      </c>
      <c r="D22" s="96" t="s">
        <v>884</v>
      </c>
      <c r="E22" s="28">
        <v>42326</v>
      </c>
      <c r="F22" s="52">
        <v>48527.42</v>
      </c>
      <c r="G22" s="25"/>
      <c r="H22" s="29">
        <v>42326</v>
      </c>
      <c r="I22" s="63">
        <v>462</v>
      </c>
      <c r="J22" s="149"/>
      <c r="K22" s="491" t="s">
        <v>870</v>
      </c>
      <c r="L22" s="490">
        <v>800</v>
      </c>
      <c r="M22" s="116">
        <v>47339.5</v>
      </c>
      <c r="N22" s="336"/>
      <c r="O22" s="25"/>
    </row>
    <row r="23" spans="1:18" x14ac:dyDescent="0.25">
      <c r="A23" s="21"/>
      <c r="B23" s="40">
        <v>42327</v>
      </c>
      <c r="C23" s="46">
        <v>564</v>
      </c>
      <c r="D23" s="96" t="s">
        <v>83</v>
      </c>
      <c r="E23" s="28">
        <v>42327</v>
      </c>
      <c r="F23" s="52">
        <v>43658.879999999997</v>
      </c>
      <c r="G23" s="25"/>
      <c r="H23" s="29">
        <v>42327</v>
      </c>
      <c r="I23" s="63">
        <v>0</v>
      </c>
      <c r="J23" s="81"/>
      <c r="K23" s="675" t="s">
        <v>865</v>
      </c>
      <c r="L23" s="490">
        <v>5000</v>
      </c>
      <c r="M23" s="701">
        <v>43095</v>
      </c>
      <c r="N23" s="336"/>
      <c r="O23" s="25"/>
      <c r="P23" s="25"/>
    </row>
    <row r="24" spans="1:18" x14ac:dyDescent="0.25">
      <c r="A24" s="21"/>
      <c r="B24" s="40">
        <v>42328</v>
      </c>
      <c r="C24" s="46">
        <v>880</v>
      </c>
      <c r="D24" s="96" t="s">
        <v>44</v>
      </c>
      <c r="E24" s="28">
        <v>42328</v>
      </c>
      <c r="F24" s="52">
        <v>100658.41</v>
      </c>
      <c r="G24" s="25"/>
      <c r="H24" s="29">
        <v>42328</v>
      </c>
      <c r="I24" s="63">
        <v>426.88</v>
      </c>
      <c r="J24" s="82"/>
      <c r="K24" s="707" t="s">
        <v>868</v>
      </c>
      <c r="L24" s="490">
        <v>1000</v>
      </c>
      <c r="M24" s="701">
        <v>99351.5</v>
      </c>
      <c r="N24" s="336"/>
      <c r="O24" s="25"/>
      <c r="P24" s="25"/>
    </row>
    <row r="25" spans="1:18" x14ac:dyDescent="0.25">
      <c r="A25" s="21"/>
      <c r="B25" s="40">
        <v>42329</v>
      </c>
      <c r="C25" s="46">
        <v>1393</v>
      </c>
      <c r="D25" s="30" t="s">
        <v>903</v>
      </c>
      <c r="E25" s="28">
        <v>42329</v>
      </c>
      <c r="F25" s="52">
        <v>65780.5</v>
      </c>
      <c r="G25" s="25"/>
      <c r="H25" s="29">
        <v>42329</v>
      </c>
      <c r="I25" s="63">
        <v>676.5</v>
      </c>
      <c r="J25" s="81"/>
      <c r="K25" s="707" t="s">
        <v>879</v>
      </c>
      <c r="L25" s="490">
        <v>2500</v>
      </c>
      <c r="M25" s="116">
        <v>63840</v>
      </c>
      <c r="N25" s="450"/>
      <c r="O25" s="25"/>
      <c r="P25" s="25"/>
    </row>
    <row r="26" spans="1:18" x14ac:dyDescent="0.25">
      <c r="A26" s="21"/>
      <c r="B26" s="40">
        <v>42330</v>
      </c>
      <c r="C26" s="46">
        <v>15</v>
      </c>
      <c r="D26" s="30" t="s">
        <v>904</v>
      </c>
      <c r="E26" s="28">
        <v>42330</v>
      </c>
      <c r="F26" s="52">
        <v>66311.67</v>
      </c>
      <c r="G26" s="25"/>
      <c r="H26" s="29">
        <v>42330</v>
      </c>
      <c r="I26" s="63">
        <v>0</v>
      </c>
      <c r="J26" s="98"/>
      <c r="K26" s="675" t="s">
        <v>881</v>
      </c>
      <c r="L26" s="490">
        <v>600</v>
      </c>
      <c r="M26" s="116">
        <v>55267</v>
      </c>
      <c r="N26" s="565">
        <v>4500</v>
      </c>
      <c r="O26" s="693" t="s">
        <v>905</v>
      </c>
      <c r="P26" s="555"/>
    </row>
    <row r="27" spans="1:18" x14ac:dyDescent="0.25">
      <c r="A27" s="21"/>
      <c r="B27" s="40">
        <v>42331</v>
      </c>
      <c r="C27" s="46">
        <v>0</v>
      </c>
      <c r="D27" s="30"/>
      <c r="E27" s="28">
        <v>42331</v>
      </c>
      <c r="F27" s="52">
        <v>44162.45</v>
      </c>
      <c r="G27" s="25"/>
      <c r="H27" s="29">
        <v>42331</v>
      </c>
      <c r="I27" s="63">
        <v>0</v>
      </c>
      <c r="J27" s="81"/>
      <c r="K27" s="489" t="s">
        <v>883</v>
      </c>
      <c r="L27" s="490">
        <v>3500</v>
      </c>
      <c r="M27" s="116">
        <v>44162.5</v>
      </c>
      <c r="N27" s="450"/>
      <c r="O27" s="25"/>
      <c r="P27" s="25"/>
    </row>
    <row r="28" spans="1:18" x14ac:dyDescent="0.25">
      <c r="A28" s="21"/>
      <c r="B28" s="40">
        <v>42332</v>
      </c>
      <c r="C28" s="46">
        <v>856</v>
      </c>
      <c r="D28" s="30" t="s">
        <v>892</v>
      </c>
      <c r="E28" s="28">
        <v>42332</v>
      </c>
      <c r="F28" s="52">
        <v>45092.52</v>
      </c>
      <c r="G28" s="25"/>
      <c r="H28" s="29">
        <v>42332</v>
      </c>
      <c r="I28" s="63">
        <v>0</v>
      </c>
      <c r="J28" s="81"/>
      <c r="K28" s="131" t="s">
        <v>893</v>
      </c>
      <c r="L28" s="490">
        <v>3000</v>
      </c>
      <c r="M28" s="116">
        <v>44236.5</v>
      </c>
      <c r="N28" s="336"/>
      <c r="O28" s="25"/>
      <c r="P28" s="25"/>
    </row>
    <row r="29" spans="1:18" x14ac:dyDescent="0.25">
      <c r="A29" s="21"/>
      <c r="B29" s="40">
        <v>42333</v>
      </c>
      <c r="C29" s="46">
        <v>0</v>
      </c>
      <c r="D29" s="30"/>
      <c r="E29" s="28">
        <v>42333</v>
      </c>
      <c r="F29" s="52">
        <v>38261.67</v>
      </c>
      <c r="G29" s="25"/>
      <c r="H29" s="29">
        <v>42333</v>
      </c>
      <c r="I29" s="63">
        <v>627.35</v>
      </c>
      <c r="J29" s="81"/>
      <c r="K29" s="132" t="s">
        <v>906</v>
      </c>
      <c r="L29" s="539">
        <v>4500</v>
      </c>
      <c r="M29" s="116">
        <v>34634</v>
      </c>
      <c r="N29" s="336"/>
      <c r="O29" s="25"/>
      <c r="P29" s="25"/>
    </row>
    <row r="30" spans="1:18" ht="15.75" thickBot="1" x14ac:dyDescent="0.3">
      <c r="A30" s="21"/>
      <c r="B30" s="40">
        <v>42334</v>
      </c>
      <c r="C30" s="46">
        <v>562</v>
      </c>
      <c r="D30" s="30" t="s">
        <v>83</v>
      </c>
      <c r="E30" s="28">
        <v>42334</v>
      </c>
      <c r="F30" s="52">
        <v>44223.57</v>
      </c>
      <c r="G30" s="25"/>
      <c r="H30" s="29">
        <v>42334</v>
      </c>
      <c r="I30" s="63">
        <v>0</v>
      </c>
      <c r="J30" s="98"/>
      <c r="K30" s="131" t="s">
        <v>907</v>
      </c>
      <c r="L30" s="539">
        <v>2500</v>
      </c>
      <c r="M30" s="116">
        <v>31312.5</v>
      </c>
      <c r="N30" s="336"/>
      <c r="O30" s="25"/>
      <c r="P30" s="25"/>
    </row>
    <row r="31" spans="1:18" x14ac:dyDescent="0.25">
      <c r="A31" s="21"/>
      <c r="B31" s="40">
        <v>42335</v>
      </c>
      <c r="C31" s="46">
        <v>0</v>
      </c>
      <c r="D31" s="30"/>
      <c r="E31" s="28">
        <v>42335</v>
      </c>
      <c r="F31" s="52">
        <v>75722.820000000007</v>
      </c>
      <c r="G31" s="25"/>
      <c r="H31" s="29">
        <v>42335</v>
      </c>
      <c r="I31" s="63">
        <v>300</v>
      </c>
      <c r="J31" s="82"/>
      <c r="K31" s="552"/>
      <c r="L31" s="802">
        <v>0</v>
      </c>
      <c r="M31" s="116">
        <v>75423</v>
      </c>
      <c r="N31" s="450"/>
      <c r="O31" s="25"/>
      <c r="P31" s="25"/>
      <c r="Q31" s="25"/>
    </row>
    <row r="32" spans="1:18" ht="15.75" thickBot="1" x14ac:dyDescent="0.3">
      <c r="A32" s="21"/>
      <c r="B32" s="40">
        <v>42336</v>
      </c>
      <c r="C32" s="46">
        <v>0</v>
      </c>
      <c r="D32" s="30"/>
      <c r="E32" s="28">
        <v>42336</v>
      </c>
      <c r="F32" s="52">
        <v>83230.97</v>
      </c>
      <c r="G32" s="25"/>
      <c r="H32" s="29">
        <v>42336</v>
      </c>
      <c r="I32" s="63">
        <v>20</v>
      </c>
      <c r="J32" s="81"/>
      <c r="K32" s="489"/>
      <c r="L32" s="803"/>
      <c r="M32" s="116">
        <v>83211</v>
      </c>
      <c r="N32" s="336"/>
      <c r="O32" s="25"/>
    </row>
    <row r="33" spans="1:17" ht="15" customHeight="1" x14ac:dyDescent="0.25">
      <c r="A33" s="21"/>
      <c r="B33" s="40">
        <v>42337</v>
      </c>
      <c r="C33" s="46"/>
      <c r="D33" s="96"/>
      <c r="E33" s="28">
        <v>42337</v>
      </c>
      <c r="F33" s="52">
        <v>60769.55</v>
      </c>
      <c r="G33" s="25"/>
      <c r="H33" s="29">
        <v>42337</v>
      </c>
      <c r="I33" s="63">
        <v>80</v>
      </c>
      <c r="J33" s="81"/>
      <c r="K33" s="553" t="s">
        <v>908</v>
      </c>
      <c r="L33" s="755">
        <v>107</v>
      </c>
      <c r="M33" s="116">
        <v>47839</v>
      </c>
      <c r="N33" s="450"/>
      <c r="O33" s="25"/>
    </row>
    <row r="34" spans="1:17" ht="15.75" customHeight="1" thickBot="1" x14ac:dyDescent="0.3">
      <c r="A34" s="21"/>
      <c r="B34" s="40">
        <v>42338</v>
      </c>
      <c r="C34" s="46">
        <v>590</v>
      </c>
      <c r="D34" s="30" t="s">
        <v>83</v>
      </c>
      <c r="E34" s="28">
        <v>42338</v>
      </c>
      <c r="F34" s="52">
        <v>43494.5</v>
      </c>
      <c r="G34" s="25"/>
      <c r="H34" s="29">
        <v>42338</v>
      </c>
      <c r="I34" s="63">
        <v>1400</v>
      </c>
      <c r="J34" s="81"/>
      <c r="K34" s="554"/>
      <c r="L34" s="756"/>
      <c r="M34" s="116">
        <v>41504.5</v>
      </c>
      <c r="N34" s="450"/>
      <c r="O34" s="25"/>
    </row>
    <row r="35" spans="1:17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488"/>
      <c r="L35" s="68">
        <v>0</v>
      </c>
      <c r="M35" s="116"/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12"/>
      <c r="Q36" s="612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54">
        <f>SUM(M5:M36)</f>
        <v>1621138</v>
      </c>
    </row>
    <row r="38" spans="1:17" x14ac:dyDescent="0.25">
      <c r="B38" s="43" t="s">
        <v>1</v>
      </c>
      <c r="C38" s="49">
        <f>SUM(C5:C37)</f>
        <v>11103</v>
      </c>
      <c r="E38" s="750" t="s">
        <v>1</v>
      </c>
      <c r="F38" s="55">
        <f>SUM(F5:F37)</f>
        <v>1697383.18</v>
      </c>
      <c r="H38" s="752" t="s">
        <v>1</v>
      </c>
      <c r="I38" s="59">
        <f>SUM(I5:I37)</f>
        <v>9702.380000000001</v>
      </c>
      <c r="J38" s="59"/>
      <c r="K38" s="18" t="s">
        <v>1</v>
      </c>
      <c r="L38" s="4">
        <f>SUM(L5:L37)</f>
        <v>131578</v>
      </c>
    </row>
    <row r="40" spans="1:17" ht="15.75" customHeight="1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751"/>
      <c r="K40" s="767">
        <f>I38+L38</f>
        <v>141280.38</v>
      </c>
      <c r="L40" s="768"/>
    </row>
    <row r="41" spans="1:17" ht="15.75" customHeight="1" x14ac:dyDescent="0.25">
      <c r="B41" s="281"/>
      <c r="C41" s="56"/>
      <c r="D41" s="759" t="s">
        <v>12</v>
      </c>
      <c r="E41" s="759"/>
      <c r="F41" s="57">
        <f>F38-K40</f>
        <v>1556102.7999999998</v>
      </c>
      <c r="I41" s="66"/>
      <c r="J41" s="66"/>
    </row>
    <row r="42" spans="1:17" ht="15.75" customHeight="1" x14ac:dyDescent="0.25">
      <c r="D42" s="785" t="s">
        <v>246</v>
      </c>
      <c r="E42" s="785"/>
      <c r="F42" s="57">
        <v>0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v>-1503898.52</v>
      </c>
    </row>
    <row r="44" spans="1:17" ht="15.75" customHeight="1" thickTop="1" x14ac:dyDescent="0.25">
      <c r="C44" s="44" t="s">
        <v>17</v>
      </c>
      <c r="E44" s="5" t="s">
        <v>15</v>
      </c>
      <c r="F44" s="59">
        <f>SUM(F41:F43)</f>
        <v>52204.279999999795</v>
      </c>
      <c r="I44" s="793" t="s">
        <v>248</v>
      </c>
      <c r="J44" s="794"/>
      <c r="K44" s="783">
        <f>F48+L46</f>
        <v>214453.3499999998</v>
      </c>
      <c r="L44" s="775"/>
    </row>
    <row r="45" spans="1:17" ht="15.75" customHeight="1" thickBot="1" x14ac:dyDescent="0.3">
      <c r="D45" s="265" t="s">
        <v>253</v>
      </c>
      <c r="E45" s="5" t="s">
        <v>247</v>
      </c>
      <c r="F45" s="59">
        <v>51297.52</v>
      </c>
      <c r="I45" s="795"/>
      <c r="J45" s="796"/>
      <c r="K45" s="784"/>
      <c r="L45" s="776"/>
    </row>
    <row r="46" spans="1:17" ht="17.25" thickTop="1" thickBot="1" x14ac:dyDescent="0.3">
      <c r="C46" s="55"/>
      <c r="D46" s="758" t="s">
        <v>13</v>
      </c>
      <c r="E46" s="758"/>
      <c r="F46" s="60">
        <v>110951.55</v>
      </c>
      <c r="I46" s="770"/>
      <c r="J46" s="770"/>
      <c r="K46" s="792"/>
      <c r="L46" s="34"/>
    </row>
    <row r="47" spans="1:17" ht="19.5" thickBot="1" x14ac:dyDescent="0.35">
      <c r="C47" s="55"/>
      <c r="D47" s="750"/>
      <c r="E47" s="750"/>
      <c r="F47" s="139"/>
      <c r="H47" s="19"/>
      <c r="I47" s="753" t="s">
        <v>254</v>
      </c>
      <c r="J47" s="753"/>
      <c r="K47" s="786">
        <v>-168975.09</v>
      </c>
      <c r="L47" s="787"/>
    </row>
    <row r="48" spans="1:17" ht="17.25" thickTop="1" thickBot="1" x14ac:dyDescent="0.3">
      <c r="E48" s="6" t="s">
        <v>16</v>
      </c>
      <c r="F48" s="264">
        <f>F44+F45+F46</f>
        <v>214453.3499999998</v>
      </c>
    </row>
    <row r="49" spans="2:14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K44+K47</f>
        <v>45478.259999999806</v>
      </c>
      <c r="L49" s="789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X49"/>
  <sheetViews>
    <sheetView topLeftCell="A25" workbookViewId="0">
      <selection activeCell="F35" sqref="F35"/>
    </sheetView>
  </sheetViews>
  <sheetFormatPr baseColWidth="10" defaultRowHeight="15" x14ac:dyDescent="0.25"/>
  <cols>
    <col min="1" max="1" width="12.5703125" style="614" bestFit="1" customWidth="1"/>
    <col min="2" max="2" width="12.85546875" style="25" bestFit="1" customWidth="1"/>
    <col min="3" max="3" width="15.85546875" style="336" bestFit="1" customWidth="1"/>
    <col min="4" max="4" width="12.42578125" style="25" bestFit="1" customWidth="1"/>
    <col min="5" max="5" width="15.140625" style="336" bestFit="1" customWidth="1"/>
    <col min="6" max="6" width="18.5703125" style="336" bestFit="1" customWidth="1"/>
    <col min="7" max="7" width="11.42578125" style="25"/>
    <col min="8" max="8" width="12.5703125" bestFit="1" customWidth="1"/>
    <col min="9" max="9" width="9.85546875" bestFit="1" customWidth="1"/>
    <col min="10" max="10" width="18.42578125" customWidth="1"/>
    <col min="11" max="11" width="6.5703125" bestFit="1" customWidth="1"/>
    <col min="12" max="12" width="11.140625" bestFit="1" customWidth="1"/>
    <col min="13" max="13" width="20.140625" bestFit="1" customWidth="1"/>
    <col min="14" max="14" width="11.7109375" bestFit="1" customWidth="1"/>
    <col min="19" max="19" width="14.42578125" customWidth="1"/>
    <col min="22" max="22" width="20.140625" bestFit="1" customWidth="1"/>
    <col min="23" max="23" width="11.7109375" bestFit="1" customWidth="1"/>
  </cols>
  <sheetData>
    <row r="1" spans="1:24" ht="19.5" thickBot="1" x14ac:dyDescent="0.35">
      <c r="B1" s="621" t="s">
        <v>834</v>
      </c>
      <c r="C1" s="622"/>
      <c r="D1" s="584"/>
      <c r="E1" s="622"/>
      <c r="J1" s="474" t="s">
        <v>205</v>
      </c>
      <c r="K1" s="204"/>
      <c r="L1" s="726"/>
      <c r="M1" s="730">
        <v>42312</v>
      </c>
      <c r="N1" s="276"/>
      <c r="S1" s="474" t="s">
        <v>205</v>
      </c>
      <c r="T1" s="204"/>
      <c r="U1" s="741"/>
      <c r="V1" s="425">
        <v>42321</v>
      </c>
      <c r="W1" s="276"/>
    </row>
    <row r="2" spans="1:24" ht="16.5" thickBot="1" x14ac:dyDescent="0.3">
      <c r="A2" s="615"/>
      <c r="B2" s="616"/>
      <c r="C2" s="513"/>
      <c r="D2" s="616"/>
      <c r="E2" s="513"/>
      <c r="F2" s="513"/>
      <c r="I2" s="205"/>
      <c r="J2" s="419"/>
      <c r="K2" s="205"/>
      <c r="L2" s="206"/>
      <c r="M2" s="419"/>
      <c r="N2" s="519"/>
      <c r="R2" s="205"/>
      <c r="S2" s="419"/>
      <c r="T2" s="205"/>
      <c r="U2" s="206"/>
      <c r="V2" s="419"/>
      <c r="W2" s="519"/>
    </row>
    <row r="3" spans="1:24" ht="15.75" x14ac:dyDescent="0.25">
      <c r="A3" s="411">
        <v>42310</v>
      </c>
      <c r="B3" s="412" t="s">
        <v>835</v>
      </c>
      <c r="C3" s="450">
        <v>29049.599999999999</v>
      </c>
      <c r="D3" s="534">
        <v>42312</v>
      </c>
      <c r="E3" s="450">
        <v>29049.599999999999</v>
      </c>
      <c r="F3" s="413">
        <f t="shared" ref="F3:F10" si="0">C3-E3</f>
        <v>0</v>
      </c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  <c r="R3" s="212" t="s">
        <v>202</v>
      </c>
      <c r="S3" s="419" t="s">
        <v>195</v>
      </c>
      <c r="T3" s="205"/>
      <c r="U3" s="206" t="s">
        <v>203</v>
      </c>
      <c r="V3" s="419" t="s">
        <v>204</v>
      </c>
      <c r="W3" s="519"/>
    </row>
    <row r="4" spans="1:24" ht="15.75" x14ac:dyDescent="0.25">
      <c r="A4" s="249">
        <v>42310</v>
      </c>
      <c r="B4" s="483" t="s">
        <v>836</v>
      </c>
      <c r="C4" s="450">
        <v>28170</v>
      </c>
      <c r="D4" s="617" t="s">
        <v>847</v>
      </c>
      <c r="E4" s="450">
        <f>27515.14+654.86</f>
        <v>28170</v>
      </c>
      <c r="F4" s="296">
        <f t="shared" si="0"/>
        <v>0</v>
      </c>
      <c r="I4" s="496" t="s">
        <v>826</v>
      </c>
      <c r="J4" s="432">
        <v>2158.12</v>
      </c>
      <c r="K4" s="216"/>
      <c r="L4" s="331" t="s">
        <v>674</v>
      </c>
      <c r="M4" s="522">
        <v>61215</v>
      </c>
      <c r="N4" s="523">
        <v>42301</v>
      </c>
      <c r="O4" s="21">
        <v>42300</v>
      </c>
      <c r="R4" s="496" t="s">
        <v>851</v>
      </c>
      <c r="S4" s="432">
        <v>14617.36</v>
      </c>
      <c r="T4" s="216" t="s">
        <v>857</v>
      </c>
      <c r="U4" s="331" t="s">
        <v>674</v>
      </c>
      <c r="V4" s="522">
        <v>39750</v>
      </c>
      <c r="W4" s="523">
        <v>42314</v>
      </c>
      <c r="X4" s="21">
        <v>42313</v>
      </c>
    </row>
    <row r="5" spans="1:24" ht="15.75" x14ac:dyDescent="0.25">
      <c r="A5" s="249">
        <v>42311</v>
      </c>
      <c r="B5" s="483" t="s">
        <v>838</v>
      </c>
      <c r="C5" s="450">
        <v>567</v>
      </c>
      <c r="D5" s="534">
        <v>42318</v>
      </c>
      <c r="E5" s="450">
        <v>567</v>
      </c>
      <c r="F5" s="296">
        <f t="shared" si="0"/>
        <v>0</v>
      </c>
      <c r="H5" s="336"/>
      <c r="I5" s="618" t="s">
        <v>828</v>
      </c>
      <c r="J5" s="432">
        <v>14305.99</v>
      </c>
      <c r="K5" s="234"/>
      <c r="L5" s="331">
        <v>32580658</v>
      </c>
      <c r="M5" s="522">
        <v>33533</v>
      </c>
      <c r="N5" s="523">
        <v>42300</v>
      </c>
      <c r="R5" s="496" t="s">
        <v>853</v>
      </c>
      <c r="S5" s="450">
        <v>14880.5</v>
      </c>
      <c r="T5" s="234"/>
      <c r="U5" s="331" t="s">
        <v>674</v>
      </c>
      <c r="V5" s="521">
        <v>40882</v>
      </c>
      <c r="W5" s="525">
        <v>42318</v>
      </c>
      <c r="X5" s="21">
        <v>42317</v>
      </c>
    </row>
    <row r="6" spans="1:24" ht="15.75" x14ac:dyDescent="0.25">
      <c r="A6" s="249">
        <v>42313</v>
      </c>
      <c r="B6" s="483" t="s">
        <v>839</v>
      </c>
      <c r="C6" s="450">
        <v>68142.02</v>
      </c>
      <c r="D6" s="534">
        <v>42318</v>
      </c>
      <c r="E6" s="450">
        <v>68142.02</v>
      </c>
      <c r="F6" s="296">
        <f t="shared" si="0"/>
        <v>0</v>
      </c>
      <c r="I6" s="618" t="s">
        <v>832</v>
      </c>
      <c r="J6" s="432">
        <v>117274.77</v>
      </c>
      <c r="K6" s="234"/>
      <c r="L6" s="331" t="s">
        <v>674</v>
      </c>
      <c r="M6" s="521">
        <v>65763</v>
      </c>
      <c r="N6" s="525">
        <v>42303</v>
      </c>
      <c r="O6" s="21">
        <v>42301</v>
      </c>
      <c r="R6" s="496" t="s">
        <v>854</v>
      </c>
      <c r="S6" s="450">
        <v>19829.759999999998</v>
      </c>
      <c r="T6" s="234"/>
      <c r="U6" s="331" t="s">
        <v>674</v>
      </c>
      <c r="V6" s="522">
        <v>34725</v>
      </c>
      <c r="W6" s="523">
        <v>42320</v>
      </c>
      <c r="X6" s="21">
        <v>42319</v>
      </c>
    </row>
    <row r="7" spans="1:24" ht="15.75" x14ac:dyDescent="0.25">
      <c r="A7" s="249">
        <v>42313</v>
      </c>
      <c r="B7" s="483" t="s">
        <v>840</v>
      </c>
      <c r="C7" s="81">
        <v>104913.33</v>
      </c>
      <c r="D7" s="704" t="s">
        <v>852</v>
      </c>
      <c r="E7" s="81">
        <f>104354.15+559.18</f>
        <v>104913.32999999999</v>
      </c>
      <c r="F7" s="296">
        <f t="shared" si="0"/>
        <v>0</v>
      </c>
      <c r="I7" s="618" t="s">
        <v>833</v>
      </c>
      <c r="J7" s="432">
        <v>12544</v>
      </c>
      <c r="K7" s="234"/>
      <c r="L7" s="331" t="s">
        <v>674</v>
      </c>
      <c r="M7" s="522">
        <v>54502</v>
      </c>
      <c r="N7" s="523">
        <v>42303</v>
      </c>
      <c r="O7" s="21">
        <v>42302</v>
      </c>
      <c r="R7" s="496" t="s">
        <v>855</v>
      </c>
      <c r="S7" s="450">
        <v>102882.64</v>
      </c>
      <c r="T7" s="234" t="s">
        <v>236</v>
      </c>
      <c r="U7" s="331" t="s">
        <v>674</v>
      </c>
      <c r="V7" s="522">
        <v>37548</v>
      </c>
      <c r="W7" s="523">
        <v>42321</v>
      </c>
      <c r="X7" s="21">
        <v>42320</v>
      </c>
    </row>
    <row r="8" spans="1:24" ht="15.75" x14ac:dyDescent="0.25">
      <c r="A8" s="249">
        <v>42314</v>
      </c>
      <c r="B8" s="483" t="s">
        <v>841</v>
      </c>
      <c r="C8" s="450">
        <v>11140</v>
      </c>
      <c r="D8" s="534">
        <v>42320</v>
      </c>
      <c r="E8" s="450">
        <v>11140</v>
      </c>
      <c r="F8" s="296">
        <f t="shared" si="0"/>
        <v>0</v>
      </c>
      <c r="I8" s="618" t="s">
        <v>830</v>
      </c>
      <c r="J8" s="432">
        <v>5963</v>
      </c>
      <c r="K8" s="234"/>
      <c r="L8" s="331" t="s">
        <v>674</v>
      </c>
      <c r="M8" s="522">
        <v>42653</v>
      </c>
      <c r="N8" s="523">
        <v>42304</v>
      </c>
      <c r="O8" s="21">
        <v>42303</v>
      </c>
      <c r="R8" s="496" t="s">
        <v>856</v>
      </c>
      <c r="S8" s="450">
        <v>694.74</v>
      </c>
      <c r="T8" s="234"/>
      <c r="U8" s="331" t="s">
        <v>674</v>
      </c>
      <c r="V8" s="522"/>
      <c r="W8" s="523"/>
    </row>
    <row r="9" spans="1:24" ht="15.75" x14ac:dyDescent="0.25">
      <c r="A9" s="249">
        <v>42314</v>
      </c>
      <c r="B9" s="483" t="s">
        <v>842</v>
      </c>
      <c r="C9" s="450">
        <v>5200.2</v>
      </c>
      <c r="D9" s="534">
        <v>42320</v>
      </c>
      <c r="E9" s="450">
        <v>5200.2</v>
      </c>
      <c r="F9" s="296">
        <f t="shared" si="0"/>
        <v>0</v>
      </c>
      <c r="I9" s="618" t="s">
        <v>831</v>
      </c>
      <c r="J9" s="432">
        <v>111329.38</v>
      </c>
      <c r="K9" s="234"/>
      <c r="L9" s="331" t="s">
        <v>674</v>
      </c>
      <c r="M9" s="521">
        <v>26905</v>
      </c>
      <c r="N9" s="525">
        <v>42305</v>
      </c>
      <c r="O9" s="21">
        <v>42304</v>
      </c>
      <c r="R9" s="344"/>
      <c r="S9" s="81"/>
      <c r="T9" s="234"/>
      <c r="U9" s="331" t="s">
        <v>674</v>
      </c>
      <c r="V9" s="521"/>
      <c r="W9" s="525"/>
    </row>
    <row r="10" spans="1:24" ht="15.75" x14ac:dyDescent="0.25">
      <c r="A10" s="343">
        <v>42315</v>
      </c>
      <c r="B10" s="344" t="s">
        <v>850</v>
      </c>
      <c r="C10" s="81">
        <v>104261.15</v>
      </c>
      <c r="D10" s="534">
        <v>42320</v>
      </c>
      <c r="E10" s="81">
        <v>104261.15</v>
      </c>
      <c r="F10" s="296">
        <f t="shared" si="0"/>
        <v>0</v>
      </c>
      <c r="I10" s="731" t="s">
        <v>835</v>
      </c>
      <c r="J10" s="432">
        <v>29049.599999999999</v>
      </c>
      <c r="K10" s="714"/>
      <c r="L10" s="331" t="s">
        <v>674</v>
      </c>
      <c r="M10" s="522">
        <v>35569</v>
      </c>
      <c r="N10" s="523">
        <v>42307</v>
      </c>
      <c r="O10" s="21">
        <v>42306</v>
      </c>
      <c r="R10" s="344"/>
      <c r="S10" s="81"/>
      <c r="T10" s="714"/>
      <c r="U10" s="331" t="s">
        <v>674</v>
      </c>
      <c r="V10" s="522"/>
      <c r="W10" s="523"/>
    </row>
    <row r="11" spans="1:24" ht="15.75" x14ac:dyDescent="0.25">
      <c r="A11" s="249">
        <v>42316</v>
      </c>
      <c r="B11" s="344" t="s">
        <v>849</v>
      </c>
      <c r="C11" s="81">
        <v>7531.4</v>
      </c>
      <c r="D11" s="534">
        <v>42320</v>
      </c>
      <c r="E11" s="81">
        <v>7531.4</v>
      </c>
      <c r="F11" s="297">
        <f t="shared" ref="F11:F37" si="1">C11-E11</f>
        <v>0</v>
      </c>
      <c r="I11" s="732" t="s">
        <v>836</v>
      </c>
      <c r="J11" s="432">
        <v>27515.14</v>
      </c>
      <c r="K11" s="714" t="s">
        <v>236</v>
      </c>
      <c r="L11" s="331" t="s">
        <v>674</v>
      </c>
      <c r="M11" s="521">
        <v>0</v>
      </c>
      <c r="N11" s="525"/>
      <c r="R11" s="732"/>
      <c r="S11" s="432"/>
      <c r="T11" s="714"/>
      <c r="U11" s="331" t="s">
        <v>674</v>
      </c>
      <c r="V11" s="521">
        <v>0</v>
      </c>
      <c r="W11" s="525"/>
    </row>
    <row r="12" spans="1:24" ht="15.75" x14ac:dyDescent="0.25">
      <c r="A12" s="249">
        <v>42317</v>
      </c>
      <c r="B12" s="344" t="s">
        <v>848</v>
      </c>
      <c r="C12" s="81">
        <v>24071.599999999999</v>
      </c>
      <c r="D12" s="534">
        <v>42320</v>
      </c>
      <c r="E12" s="81">
        <v>24071.599999999999</v>
      </c>
      <c r="F12" s="297">
        <f t="shared" si="1"/>
        <v>0</v>
      </c>
      <c r="I12" s="230"/>
      <c r="J12" s="232">
        <v>0</v>
      </c>
      <c r="K12" s="230"/>
      <c r="L12" s="230"/>
      <c r="M12" s="232">
        <v>0</v>
      </c>
      <c r="N12" s="230"/>
      <c r="R12" s="230"/>
      <c r="S12" s="232">
        <v>0</v>
      </c>
      <c r="T12" s="230"/>
      <c r="U12" s="230"/>
      <c r="V12" s="232">
        <v>0</v>
      </c>
      <c r="W12" s="230"/>
    </row>
    <row r="13" spans="1:24" x14ac:dyDescent="0.25">
      <c r="A13" s="343">
        <v>42318</v>
      </c>
      <c r="B13" s="496" t="s">
        <v>851</v>
      </c>
      <c r="C13" s="450">
        <v>82783.83</v>
      </c>
      <c r="D13" s="534" t="s">
        <v>858</v>
      </c>
      <c r="E13" s="450">
        <f>68166.47+14617.36</f>
        <v>82783.83</v>
      </c>
      <c r="F13" s="297">
        <f t="shared" si="1"/>
        <v>0</v>
      </c>
      <c r="J13" s="59">
        <f>SUM(J4:J12)</f>
        <v>320140</v>
      </c>
      <c r="K13" s="44"/>
      <c r="L13" s="44"/>
      <c r="M13" s="59">
        <f>SUM(M4:M12)</f>
        <v>320140</v>
      </c>
      <c r="S13" s="59">
        <f>SUM(S4:S12)</f>
        <v>152905</v>
      </c>
      <c r="T13" s="44"/>
      <c r="U13" s="44"/>
      <c r="V13" s="59">
        <f>SUM(V4:V12)</f>
        <v>152905</v>
      </c>
    </row>
    <row r="14" spans="1:24" x14ac:dyDescent="0.25">
      <c r="A14" s="343">
        <v>42319</v>
      </c>
      <c r="B14" s="496" t="s">
        <v>853</v>
      </c>
      <c r="C14" s="450">
        <v>14880.5</v>
      </c>
      <c r="D14" s="534">
        <v>42321</v>
      </c>
      <c r="E14" s="450">
        <v>14880.5</v>
      </c>
      <c r="F14" s="297">
        <f t="shared" si="1"/>
        <v>0</v>
      </c>
    </row>
    <row r="15" spans="1:24" ht="15.75" thickBot="1" x14ac:dyDescent="0.3">
      <c r="A15" s="343">
        <v>42320</v>
      </c>
      <c r="B15" s="496" t="s">
        <v>854</v>
      </c>
      <c r="C15" s="450">
        <v>19829.759999999998</v>
      </c>
      <c r="D15" s="534">
        <v>42321</v>
      </c>
      <c r="E15" s="450">
        <v>19829.759999999998</v>
      </c>
      <c r="F15" s="297">
        <f t="shared" si="1"/>
        <v>0</v>
      </c>
    </row>
    <row r="16" spans="1:24" ht="19.5" thickBot="1" x14ac:dyDescent="0.35">
      <c r="A16" s="343">
        <v>42321</v>
      </c>
      <c r="B16" s="496" t="s">
        <v>855</v>
      </c>
      <c r="C16" s="450">
        <v>107343.4</v>
      </c>
      <c r="D16" s="534" t="s">
        <v>877</v>
      </c>
      <c r="E16" s="450">
        <f>102882.64+4460.76</f>
        <v>107343.4</v>
      </c>
      <c r="F16" s="297">
        <f t="shared" si="1"/>
        <v>0</v>
      </c>
      <c r="J16" s="474" t="s">
        <v>205</v>
      </c>
      <c r="K16" s="204"/>
      <c r="L16" s="733"/>
      <c r="M16" s="425">
        <v>42318</v>
      </c>
      <c r="N16" s="276"/>
      <c r="R16">
        <v>4</v>
      </c>
      <c r="S16" s="474" t="s">
        <v>205</v>
      </c>
      <c r="T16" s="204"/>
      <c r="U16" s="743"/>
      <c r="V16" s="601">
        <v>42327</v>
      </c>
      <c r="W16" s="276"/>
    </row>
    <row r="17" spans="1:24" ht="15.75" x14ac:dyDescent="0.25">
      <c r="A17" s="343">
        <v>42321</v>
      </c>
      <c r="B17" s="496" t="s">
        <v>856</v>
      </c>
      <c r="C17" s="450">
        <v>694.74</v>
      </c>
      <c r="D17" s="534">
        <v>42321</v>
      </c>
      <c r="E17" s="450">
        <v>694.74</v>
      </c>
      <c r="F17" s="297">
        <f t="shared" si="1"/>
        <v>0</v>
      </c>
      <c r="I17" s="205"/>
      <c r="J17" s="419"/>
      <c r="K17" s="205"/>
      <c r="L17" s="206"/>
      <c r="M17" s="419"/>
      <c r="N17" s="519"/>
      <c r="R17" s="205"/>
      <c r="S17" s="419"/>
      <c r="T17" s="205"/>
      <c r="U17" s="206"/>
      <c r="V17" s="419"/>
      <c r="W17" s="519"/>
    </row>
    <row r="18" spans="1:24" ht="15.75" x14ac:dyDescent="0.25">
      <c r="A18" s="343">
        <v>42320</v>
      </c>
      <c r="B18" s="496" t="s">
        <v>872</v>
      </c>
      <c r="C18" s="450">
        <v>7368.9</v>
      </c>
      <c r="D18" s="534">
        <v>42327</v>
      </c>
      <c r="E18" s="450">
        <v>7368.9</v>
      </c>
      <c r="F18" s="297">
        <f t="shared" si="1"/>
        <v>0</v>
      </c>
      <c r="I18" s="212" t="s">
        <v>202</v>
      </c>
      <c r="J18" s="419" t="s">
        <v>195</v>
      </c>
      <c r="K18" s="205"/>
      <c r="L18" s="206" t="s">
        <v>203</v>
      </c>
      <c r="M18" s="419" t="s">
        <v>204</v>
      </c>
      <c r="N18" s="519"/>
      <c r="R18" s="212" t="s">
        <v>202</v>
      </c>
      <c r="S18" s="419" t="s">
        <v>195</v>
      </c>
      <c r="T18" s="205"/>
      <c r="U18" s="206" t="s">
        <v>203</v>
      </c>
      <c r="V18" s="419" t="s">
        <v>204</v>
      </c>
      <c r="W18" s="519"/>
    </row>
    <row r="19" spans="1:24" ht="15.75" x14ac:dyDescent="0.25">
      <c r="A19" s="343">
        <v>42322</v>
      </c>
      <c r="B19" s="496" t="s">
        <v>873</v>
      </c>
      <c r="C19" s="450">
        <v>88371.07</v>
      </c>
      <c r="D19" s="534">
        <v>42327</v>
      </c>
      <c r="E19" s="450">
        <v>88371.07</v>
      </c>
      <c r="F19" s="297">
        <f t="shared" si="1"/>
        <v>0</v>
      </c>
      <c r="I19" s="496" t="s">
        <v>836</v>
      </c>
      <c r="J19" s="432">
        <v>654.86</v>
      </c>
      <c r="K19" s="216"/>
      <c r="L19" s="331" t="s">
        <v>674</v>
      </c>
      <c r="M19" s="522">
        <v>92813.03</v>
      </c>
      <c r="N19" s="523">
        <v>42311</v>
      </c>
      <c r="O19" s="21">
        <v>42308</v>
      </c>
      <c r="R19" s="496" t="s">
        <v>855</v>
      </c>
      <c r="S19" s="432">
        <v>4460.76</v>
      </c>
      <c r="T19" s="744" t="s">
        <v>857</v>
      </c>
      <c r="U19" s="331" t="s">
        <v>674</v>
      </c>
      <c r="V19" s="522">
        <v>46450</v>
      </c>
      <c r="W19" s="523">
        <v>42313</v>
      </c>
      <c r="X19" s="21">
        <v>42312</v>
      </c>
    </row>
    <row r="20" spans="1:24" ht="15.75" x14ac:dyDescent="0.25">
      <c r="A20" s="343">
        <v>42324</v>
      </c>
      <c r="B20" s="496" t="s">
        <v>874</v>
      </c>
      <c r="C20" s="450">
        <v>120151.81</v>
      </c>
      <c r="D20" s="534">
        <v>42327</v>
      </c>
      <c r="E20" s="450">
        <v>120151.81</v>
      </c>
      <c r="F20" s="297">
        <f t="shared" si="1"/>
        <v>0</v>
      </c>
      <c r="I20" s="483" t="s">
        <v>838</v>
      </c>
      <c r="J20" s="450">
        <v>567</v>
      </c>
      <c r="K20" s="234"/>
      <c r="L20" s="331" t="s">
        <v>674</v>
      </c>
      <c r="M20" s="521">
        <v>80905</v>
      </c>
      <c r="N20" s="525">
        <v>42308</v>
      </c>
      <c r="O20" s="21">
        <v>42307</v>
      </c>
      <c r="R20" s="496" t="s">
        <v>872</v>
      </c>
      <c r="S20" s="450">
        <v>7368.9</v>
      </c>
      <c r="T20" s="234"/>
      <c r="U20" s="331" t="s">
        <v>674</v>
      </c>
      <c r="V20" s="521">
        <v>49532</v>
      </c>
      <c r="W20" s="525">
        <v>42319</v>
      </c>
      <c r="X20" s="21">
        <v>42318</v>
      </c>
    </row>
    <row r="21" spans="1:24" ht="15.75" x14ac:dyDescent="0.25">
      <c r="A21" s="343">
        <v>42325</v>
      </c>
      <c r="B21" s="496" t="s">
        <v>875</v>
      </c>
      <c r="C21" s="450">
        <v>22993</v>
      </c>
      <c r="D21" s="704" t="s">
        <v>889</v>
      </c>
      <c r="E21" s="450">
        <f>575.04+14785.46+7632.5</f>
        <v>22993</v>
      </c>
      <c r="F21" s="297">
        <f t="shared" si="1"/>
        <v>0</v>
      </c>
      <c r="I21" s="483" t="s">
        <v>839</v>
      </c>
      <c r="J21" s="450">
        <v>68142.02</v>
      </c>
      <c r="K21" s="234"/>
      <c r="L21" s="331" t="s">
        <v>674</v>
      </c>
      <c r="M21" s="522"/>
      <c r="N21" s="523"/>
      <c r="O21" s="21"/>
      <c r="R21" s="496" t="s">
        <v>873</v>
      </c>
      <c r="S21" s="450">
        <v>88371.07</v>
      </c>
      <c r="T21" s="234"/>
      <c r="U21" s="331" t="s">
        <v>674</v>
      </c>
      <c r="V21" s="522">
        <v>85156</v>
      </c>
      <c r="W21" s="523">
        <v>42325</v>
      </c>
      <c r="X21" s="21">
        <v>42321</v>
      </c>
    </row>
    <row r="22" spans="1:24" ht="15.75" x14ac:dyDescent="0.25">
      <c r="A22" s="343">
        <v>42327</v>
      </c>
      <c r="B22" s="496" t="s">
        <v>886</v>
      </c>
      <c r="C22" s="450">
        <v>134216.51999999999</v>
      </c>
      <c r="D22" s="617">
        <v>42332</v>
      </c>
      <c r="E22" s="450">
        <v>134216.51999999999</v>
      </c>
      <c r="F22" s="297">
        <f t="shared" si="1"/>
        <v>0</v>
      </c>
      <c r="I22" s="483" t="s">
        <v>840</v>
      </c>
      <c r="J22" s="81">
        <v>104354.15</v>
      </c>
      <c r="K22" s="234" t="s">
        <v>236</v>
      </c>
      <c r="L22" s="331" t="s">
        <v>674</v>
      </c>
      <c r="M22" s="522"/>
      <c r="N22" s="523"/>
      <c r="O22" s="21"/>
      <c r="R22" s="496" t="s">
        <v>874</v>
      </c>
      <c r="S22" s="450">
        <v>120151.81</v>
      </c>
      <c r="T22" s="234"/>
      <c r="U22" s="331" t="s">
        <v>674</v>
      </c>
      <c r="V22" s="522">
        <v>54000</v>
      </c>
      <c r="W22" s="523">
        <v>42325</v>
      </c>
      <c r="X22" s="21">
        <v>42323</v>
      </c>
    </row>
    <row r="23" spans="1:24" ht="15.75" x14ac:dyDescent="0.25">
      <c r="A23" s="343">
        <v>42328</v>
      </c>
      <c r="B23" s="496" t="s">
        <v>885</v>
      </c>
      <c r="C23" s="450">
        <v>4925.5</v>
      </c>
      <c r="D23" s="534">
        <v>42332</v>
      </c>
      <c r="E23" s="450">
        <v>4925.5</v>
      </c>
      <c r="F23" s="297">
        <f t="shared" si="1"/>
        <v>0</v>
      </c>
      <c r="I23" s="483"/>
      <c r="J23" s="450">
        <v>0</v>
      </c>
      <c r="K23" s="234"/>
      <c r="L23" s="331" t="s">
        <v>674</v>
      </c>
      <c r="M23" s="522"/>
      <c r="N23" s="523"/>
      <c r="R23" s="496" t="s">
        <v>875</v>
      </c>
      <c r="S23" s="450">
        <v>14785.46</v>
      </c>
      <c r="T23" s="745" t="s">
        <v>236</v>
      </c>
      <c r="U23" s="331" t="s">
        <v>674</v>
      </c>
      <c r="V23" s="522"/>
      <c r="W23" s="523"/>
    </row>
    <row r="24" spans="1:24" ht="15.75" x14ac:dyDescent="0.25">
      <c r="A24" s="343">
        <v>42329</v>
      </c>
      <c r="B24" s="496" t="s">
        <v>887</v>
      </c>
      <c r="C24" s="450">
        <v>154867.35</v>
      </c>
      <c r="D24" s="617">
        <v>42332</v>
      </c>
      <c r="E24" s="369">
        <v>154867.35</v>
      </c>
      <c r="F24" s="297">
        <f t="shared" si="1"/>
        <v>0</v>
      </c>
      <c r="I24" s="483"/>
      <c r="J24" s="450"/>
      <c r="K24" s="234"/>
      <c r="L24" s="331" t="s">
        <v>674</v>
      </c>
      <c r="M24" s="521"/>
      <c r="N24" s="525"/>
      <c r="R24" s="496"/>
      <c r="S24" s="450"/>
      <c r="T24" s="234"/>
      <c r="U24" s="331" t="s">
        <v>674</v>
      </c>
      <c r="V24" s="521"/>
      <c r="W24" s="525"/>
    </row>
    <row r="25" spans="1:24" ht="15.75" x14ac:dyDescent="0.25">
      <c r="A25" s="343">
        <v>42330</v>
      </c>
      <c r="B25" s="496" t="s">
        <v>888</v>
      </c>
      <c r="C25" s="450">
        <v>5252.8</v>
      </c>
      <c r="D25" s="564" t="s">
        <v>900</v>
      </c>
      <c r="E25" s="369">
        <f>1206.13+4046.67</f>
        <v>5252.8</v>
      </c>
      <c r="F25" s="297">
        <f t="shared" si="1"/>
        <v>0</v>
      </c>
      <c r="I25" s="344"/>
      <c r="J25" s="81"/>
      <c r="K25" s="714"/>
      <c r="L25" s="331" t="s">
        <v>674</v>
      </c>
      <c r="M25" s="522"/>
      <c r="N25" s="523"/>
      <c r="R25" s="496"/>
      <c r="S25" s="450"/>
      <c r="T25" s="714"/>
      <c r="U25" s="331" t="s">
        <v>674</v>
      </c>
      <c r="V25" s="522"/>
      <c r="W25" s="523"/>
    </row>
    <row r="26" spans="1:24" ht="15.75" x14ac:dyDescent="0.25">
      <c r="A26" s="343">
        <v>42332</v>
      </c>
      <c r="B26" s="496" t="s">
        <v>895</v>
      </c>
      <c r="C26" s="81">
        <v>23149.8</v>
      </c>
      <c r="D26" s="480">
        <v>42340</v>
      </c>
      <c r="E26" s="366">
        <v>23149.8</v>
      </c>
      <c r="F26" s="297">
        <f t="shared" si="1"/>
        <v>0</v>
      </c>
      <c r="I26" s="732"/>
      <c r="J26" s="432"/>
      <c r="K26" s="714"/>
      <c r="L26" s="331" t="s">
        <v>674</v>
      </c>
      <c r="M26" s="521">
        <v>0</v>
      </c>
      <c r="N26" s="525"/>
      <c r="R26" s="496"/>
      <c r="S26" s="450"/>
      <c r="T26" s="714"/>
      <c r="U26" s="331" t="s">
        <v>674</v>
      </c>
      <c r="V26" s="521">
        <v>0</v>
      </c>
      <c r="W26" s="525"/>
    </row>
    <row r="27" spans="1:24" x14ac:dyDescent="0.25">
      <c r="A27" s="343">
        <v>42333</v>
      </c>
      <c r="B27" s="496" t="s">
        <v>890</v>
      </c>
      <c r="C27" s="81">
        <v>138609.54</v>
      </c>
      <c r="D27" s="480">
        <v>42340</v>
      </c>
      <c r="E27" s="366">
        <v>138609.54</v>
      </c>
      <c r="F27" s="297">
        <f>C27-E27</f>
        <v>0</v>
      </c>
      <c r="I27" s="230"/>
      <c r="J27" s="232">
        <v>0</v>
      </c>
      <c r="K27" s="230"/>
      <c r="L27" s="230"/>
      <c r="M27" s="232">
        <v>0</v>
      </c>
      <c r="N27" s="230"/>
      <c r="R27" s="230"/>
      <c r="S27" s="232">
        <v>0</v>
      </c>
      <c r="T27" s="230"/>
      <c r="U27" s="230"/>
      <c r="V27" s="232">
        <v>0</v>
      </c>
      <c r="W27" s="230"/>
    </row>
    <row r="28" spans="1:24" x14ac:dyDescent="0.25">
      <c r="A28" s="343">
        <v>42334</v>
      </c>
      <c r="B28" s="496" t="s">
        <v>896</v>
      </c>
      <c r="C28" s="81">
        <v>25351.7</v>
      </c>
      <c r="D28" s="480">
        <v>42340</v>
      </c>
      <c r="E28" s="366">
        <v>25351.7</v>
      </c>
      <c r="F28" s="297">
        <f>C28-E28</f>
        <v>0</v>
      </c>
      <c r="J28" s="59">
        <f>SUM(J19:J27)</f>
        <v>173718.03</v>
      </c>
      <c r="K28" s="44"/>
      <c r="L28" s="44"/>
      <c r="M28" s="59">
        <f>SUM(M19:M27)</f>
        <v>173718.03</v>
      </c>
      <c r="S28" s="59">
        <f>SUM(S19:S27)</f>
        <v>235138</v>
      </c>
      <c r="T28" s="44"/>
      <c r="U28" s="44"/>
      <c r="V28" s="59">
        <f>SUM(V19:V27)</f>
        <v>235138</v>
      </c>
    </row>
    <row r="29" spans="1:24" x14ac:dyDescent="0.25">
      <c r="A29" s="545">
        <v>42335</v>
      </c>
      <c r="B29" s="496" t="s">
        <v>891</v>
      </c>
      <c r="C29" s="81">
        <v>88799.2</v>
      </c>
      <c r="D29" s="480">
        <v>42340</v>
      </c>
      <c r="E29" s="366">
        <v>88799.2</v>
      </c>
      <c r="F29" s="297">
        <f>C29-E29</f>
        <v>0</v>
      </c>
    </row>
    <row r="30" spans="1:24" ht="15.75" thickBot="1" x14ac:dyDescent="0.3">
      <c r="A30" s="343">
        <v>42336</v>
      </c>
      <c r="B30" s="496" t="s">
        <v>897</v>
      </c>
      <c r="C30" s="81">
        <v>37854.400000000001</v>
      </c>
      <c r="D30" s="480">
        <v>42340</v>
      </c>
      <c r="E30" s="369">
        <v>37854.400000000001</v>
      </c>
      <c r="F30" s="297">
        <f>C30-E30</f>
        <v>0</v>
      </c>
    </row>
    <row r="31" spans="1:24" ht="19.5" thickBot="1" x14ac:dyDescent="0.35">
      <c r="A31" s="725">
        <v>42336</v>
      </c>
      <c r="B31" s="585" t="s">
        <v>898</v>
      </c>
      <c r="C31" s="450">
        <v>40198.400000000001</v>
      </c>
      <c r="D31" s="480">
        <v>42340</v>
      </c>
      <c r="E31" s="366">
        <v>40198.400000000001</v>
      </c>
      <c r="F31" s="596">
        <f>C31-E31</f>
        <v>0</v>
      </c>
      <c r="J31" s="474" t="s">
        <v>205</v>
      </c>
      <c r="K31" s="204"/>
      <c r="L31" s="740"/>
      <c r="M31" s="544">
        <v>42320</v>
      </c>
      <c r="N31" s="276"/>
      <c r="S31" s="474" t="s">
        <v>205</v>
      </c>
      <c r="T31" s="204"/>
      <c r="U31" s="749"/>
      <c r="V31" s="730">
        <v>42332</v>
      </c>
      <c r="W31" s="276"/>
    </row>
    <row r="32" spans="1:24" ht="15.75" x14ac:dyDescent="0.25">
      <c r="A32" s="602">
        <v>42338</v>
      </c>
      <c r="B32" s="618" t="s">
        <v>899</v>
      </c>
      <c r="C32" s="81">
        <v>3210</v>
      </c>
      <c r="D32" s="480" t="s">
        <v>901</v>
      </c>
      <c r="E32" s="531">
        <f>2739.88+470.12</f>
        <v>3210</v>
      </c>
      <c r="F32" s="596">
        <f t="shared" si="1"/>
        <v>0</v>
      </c>
      <c r="I32" s="205"/>
      <c r="J32" s="419"/>
      <c r="K32" s="205"/>
      <c r="L32" s="206"/>
      <c r="M32" s="419"/>
      <c r="N32" s="519"/>
      <c r="R32" s="205"/>
      <c r="S32" s="419"/>
      <c r="T32" s="205"/>
      <c r="U32" s="206"/>
      <c r="V32" s="419"/>
      <c r="W32" s="519"/>
    </row>
    <row r="33" spans="1:24" ht="15.75" x14ac:dyDescent="0.25">
      <c r="A33" s="602"/>
      <c r="B33" s="618"/>
      <c r="C33" s="81"/>
      <c r="D33" s="287"/>
      <c r="E33" s="81"/>
      <c r="F33" s="596">
        <f t="shared" si="1"/>
        <v>0</v>
      </c>
      <c r="I33" s="212" t="s">
        <v>202</v>
      </c>
      <c r="J33" s="419" t="s">
        <v>195</v>
      </c>
      <c r="K33" s="205"/>
      <c r="L33" s="206" t="s">
        <v>203</v>
      </c>
      <c r="M33" s="419" t="s">
        <v>204</v>
      </c>
      <c r="N33" s="519"/>
      <c r="R33" s="212" t="s">
        <v>202</v>
      </c>
      <c r="S33" s="419" t="s">
        <v>195</v>
      </c>
      <c r="T33" s="205"/>
      <c r="U33" s="206" t="s">
        <v>203</v>
      </c>
      <c r="V33" s="419" t="s">
        <v>204</v>
      </c>
      <c r="W33" s="519"/>
    </row>
    <row r="34" spans="1:24" ht="15.75" x14ac:dyDescent="0.25">
      <c r="A34" s="249"/>
      <c r="B34" s="619"/>
      <c r="C34" s="81"/>
      <c r="D34" s="287"/>
      <c r="E34" s="81"/>
      <c r="F34" s="596">
        <f t="shared" si="1"/>
        <v>0</v>
      </c>
      <c r="I34" s="496" t="s">
        <v>840</v>
      </c>
      <c r="J34" s="432">
        <v>559.17999999999995</v>
      </c>
      <c r="K34" s="216"/>
      <c r="L34" s="331" t="s">
        <v>674</v>
      </c>
      <c r="M34" s="522">
        <v>37338.5</v>
      </c>
      <c r="N34" s="523">
        <v>42306</v>
      </c>
      <c r="O34" s="21">
        <v>42305</v>
      </c>
      <c r="R34" s="496" t="s">
        <v>875</v>
      </c>
      <c r="S34" s="432">
        <v>7632.5</v>
      </c>
      <c r="T34" s="744" t="s">
        <v>857</v>
      </c>
      <c r="U34" s="331">
        <v>3359226</v>
      </c>
      <c r="V34" s="522">
        <v>85100</v>
      </c>
      <c r="W34" s="523">
        <v>42326</v>
      </c>
      <c r="X34" s="21">
        <v>42315</v>
      </c>
    </row>
    <row r="35" spans="1:24" ht="15.75" x14ac:dyDescent="0.25">
      <c r="A35" s="249"/>
      <c r="B35" s="727"/>
      <c r="C35" s="81"/>
      <c r="D35" s="286"/>
      <c r="E35" s="81"/>
      <c r="F35" s="596">
        <f t="shared" si="1"/>
        <v>0</v>
      </c>
      <c r="I35" s="483" t="s">
        <v>841</v>
      </c>
      <c r="J35" s="450">
        <v>11140</v>
      </c>
      <c r="K35" s="234"/>
      <c r="L35" s="331" t="s">
        <v>674</v>
      </c>
      <c r="M35" s="521">
        <v>26983</v>
      </c>
      <c r="N35" s="525">
        <v>42311</v>
      </c>
      <c r="O35" s="21">
        <v>42310</v>
      </c>
      <c r="R35" s="496" t="s">
        <v>886</v>
      </c>
      <c r="S35" s="450">
        <v>134216.51999999999</v>
      </c>
      <c r="T35" s="234"/>
      <c r="U35" s="331">
        <v>3359228</v>
      </c>
      <c r="V35" s="521">
        <v>40268</v>
      </c>
      <c r="W35" s="525">
        <v>42326</v>
      </c>
      <c r="X35" s="21">
        <v>42316</v>
      </c>
    </row>
    <row r="36" spans="1:24" ht="15.75" x14ac:dyDescent="0.25">
      <c r="A36" s="249"/>
      <c r="B36" s="727"/>
      <c r="C36" s="81"/>
      <c r="D36" s="286"/>
      <c r="E36" s="81"/>
      <c r="F36" s="596">
        <f t="shared" si="1"/>
        <v>0</v>
      </c>
      <c r="I36" s="483" t="s">
        <v>842</v>
      </c>
      <c r="J36" s="450">
        <v>5200.2</v>
      </c>
      <c r="K36" s="234"/>
      <c r="L36" s="331" t="s">
        <v>674</v>
      </c>
      <c r="M36" s="522">
        <v>53550</v>
      </c>
      <c r="N36" s="523">
        <v>42311</v>
      </c>
      <c r="O36" s="21">
        <v>42309</v>
      </c>
      <c r="R36" s="496" t="s">
        <v>885</v>
      </c>
      <c r="S36" s="450">
        <v>4925.5</v>
      </c>
      <c r="T36" s="234"/>
      <c r="U36" s="331">
        <v>3359227</v>
      </c>
      <c r="V36" s="522">
        <v>89027</v>
      </c>
      <c r="W36" s="523">
        <v>42326</v>
      </c>
      <c r="X36" s="21">
        <v>42322</v>
      </c>
    </row>
    <row r="37" spans="1:24" ht="16.5" thickBot="1" x14ac:dyDescent="0.3">
      <c r="B37" s="263"/>
      <c r="C37" s="180">
        <v>0</v>
      </c>
      <c r="D37" s="467"/>
      <c r="E37" s="295">
        <v>0</v>
      </c>
      <c r="F37" s="596">
        <f t="shared" si="1"/>
        <v>0</v>
      </c>
      <c r="I37" s="344" t="s">
        <v>850</v>
      </c>
      <c r="J37" s="81">
        <v>104261.15</v>
      </c>
      <c r="K37" s="234"/>
      <c r="L37" s="331" t="s">
        <v>674</v>
      </c>
      <c r="M37" s="522">
        <v>41927</v>
      </c>
      <c r="N37" s="523">
        <v>42312</v>
      </c>
      <c r="O37" s="21">
        <v>42311</v>
      </c>
      <c r="R37" s="496" t="s">
        <v>887</v>
      </c>
      <c r="S37" s="450">
        <v>154867.35</v>
      </c>
      <c r="T37" s="234"/>
      <c r="U37" s="331" t="s">
        <v>674</v>
      </c>
      <c r="V37" s="522">
        <v>1759</v>
      </c>
      <c r="W37" s="523">
        <v>42325</v>
      </c>
      <c r="X37" s="21">
        <v>42323</v>
      </c>
    </row>
    <row r="38" spans="1:24" ht="16.5" thickTop="1" x14ac:dyDescent="0.25">
      <c r="B38" s="614"/>
      <c r="C38" s="450">
        <f>SUM(C3:C37)</f>
        <v>1503898.52</v>
      </c>
      <c r="D38" s="178"/>
      <c r="E38" s="336">
        <f>SUM(E3:E37)</f>
        <v>1503898.52</v>
      </c>
      <c r="F38" s="336">
        <f>SUM(F3:F37)</f>
        <v>0</v>
      </c>
      <c r="I38" s="344" t="s">
        <v>849</v>
      </c>
      <c r="J38" s="81">
        <v>7531.4</v>
      </c>
      <c r="K38" s="234"/>
      <c r="L38" s="331" t="s">
        <v>674</v>
      </c>
      <c r="M38" s="522">
        <v>61131.5</v>
      </c>
      <c r="N38" s="523">
        <v>42315</v>
      </c>
      <c r="O38" s="21">
        <v>42314</v>
      </c>
      <c r="R38" s="496" t="s">
        <v>888</v>
      </c>
      <c r="S38" s="450">
        <v>1206.1300000000001</v>
      </c>
      <c r="T38" s="745" t="s">
        <v>236</v>
      </c>
      <c r="U38" s="331" t="s">
        <v>674</v>
      </c>
      <c r="V38" s="522">
        <v>42921</v>
      </c>
      <c r="W38" s="523">
        <v>42325</v>
      </c>
      <c r="X38" s="21">
        <v>42324</v>
      </c>
    </row>
    <row r="39" spans="1:24" ht="15.75" x14ac:dyDescent="0.25">
      <c r="C39" s="450"/>
      <c r="I39" s="344" t="s">
        <v>848</v>
      </c>
      <c r="J39" s="81">
        <v>24071.599999999999</v>
      </c>
      <c r="K39" s="234"/>
      <c r="L39" s="331" t="s">
        <v>674</v>
      </c>
      <c r="M39" s="521"/>
      <c r="N39" s="525"/>
      <c r="R39" s="496"/>
      <c r="S39" s="450"/>
      <c r="T39" s="234"/>
      <c r="U39" s="331" t="s">
        <v>674</v>
      </c>
      <c r="V39" s="521">
        <v>43773</v>
      </c>
      <c r="W39" s="525">
        <v>42326</v>
      </c>
      <c r="X39" s="21">
        <v>42325</v>
      </c>
    </row>
    <row r="40" spans="1:24" ht="15.75" x14ac:dyDescent="0.25">
      <c r="B40" s="25" t="s">
        <v>101</v>
      </c>
      <c r="E40" s="25"/>
      <c r="F40" s="25"/>
      <c r="I40" s="344" t="s">
        <v>851</v>
      </c>
      <c r="J40" s="81">
        <v>68166.47</v>
      </c>
      <c r="K40" s="714" t="s">
        <v>236</v>
      </c>
      <c r="L40" s="331" t="s">
        <v>674</v>
      </c>
      <c r="M40" s="522"/>
      <c r="N40" s="523"/>
      <c r="R40" s="496"/>
      <c r="S40" s="450"/>
      <c r="T40" s="714"/>
      <c r="U40" s="331" t="s">
        <v>674</v>
      </c>
      <c r="V40" s="522"/>
      <c r="W40" s="523"/>
    </row>
    <row r="41" spans="1:24" ht="15.75" x14ac:dyDescent="0.25">
      <c r="B41" s="450"/>
      <c r="C41" s="534"/>
      <c r="D41" s="196"/>
      <c r="E41" s="25"/>
      <c r="F41" s="25"/>
      <c r="H41" s="5"/>
      <c r="I41" s="732"/>
      <c r="J41" s="432"/>
      <c r="K41" s="714"/>
      <c r="L41" s="331" t="s">
        <v>674</v>
      </c>
      <c r="M41" s="521">
        <v>0</v>
      </c>
      <c r="N41" s="525"/>
      <c r="R41" s="496"/>
      <c r="S41" s="450"/>
      <c r="T41" s="714"/>
      <c r="U41" s="331" t="s">
        <v>674</v>
      </c>
      <c r="V41" s="521">
        <v>0</v>
      </c>
      <c r="W41" s="525"/>
    </row>
    <row r="42" spans="1:24" x14ac:dyDescent="0.25">
      <c r="E42" s="25"/>
      <c r="F42" s="25"/>
      <c r="I42" s="230"/>
      <c r="J42" s="232">
        <v>0</v>
      </c>
      <c r="K42" s="230"/>
      <c r="L42" s="230"/>
      <c r="M42" s="232">
        <v>0</v>
      </c>
      <c r="N42" s="230"/>
      <c r="R42" s="230"/>
      <c r="S42" s="232">
        <v>0</v>
      </c>
      <c r="T42" s="230"/>
      <c r="U42" s="230"/>
      <c r="V42" s="232">
        <v>0</v>
      </c>
      <c r="W42" s="230"/>
    </row>
    <row r="43" spans="1:24" x14ac:dyDescent="0.25">
      <c r="A43" s="25"/>
      <c r="J43" s="59">
        <f>SUM(J34:J42)</f>
        <v>220930</v>
      </c>
      <c r="K43" s="44"/>
      <c r="L43" s="44"/>
      <c r="M43" s="59">
        <f>SUM(M34:M42)</f>
        <v>220930</v>
      </c>
      <c r="S43" s="59">
        <f>SUM(S34:S42)</f>
        <v>302848</v>
      </c>
      <c r="T43" s="44"/>
      <c r="U43" s="44"/>
      <c r="V43" s="59">
        <f>SUM(V34:V42)</f>
        <v>302848</v>
      </c>
    </row>
    <row r="44" spans="1:24" x14ac:dyDescent="0.25">
      <c r="A44" s="25"/>
      <c r="C44" s="25"/>
      <c r="E44" s="25"/>
      <c r="F44" s="25"/>
    </row>
    <row r="45" spans="1:24" x14ac:dyDescent="0.25">
      <c r="A45" s="25"/>
      <c r="C45" s="25"/>
      <c r="E45" s="25"/>
      <c r="F45" s="25"/>
    </row>
    <row r="46" spans="1:24" x14ac:dyDescent="0.25">
      <c r="A46" s="25"/>
      <c r="C46" s="25"/>
      <c r="E46" s="25"/>
      <c r="F46" s="25"/>
    </row>
    <row r="47" spans="1:24" x14ac:dyDescent="0.25">
      <c r="A47" s="25"/>
      <c r="C47" s="25"/>
      <c r="E47" s="25"/>
      <c r="F47" s="25"/>
      <c r="H47" s="59"/>
    </row>
    <row r="48" spans="1:24" x14ac:dyDescent="0.25">
      <c r="A48" s="25"/>
      <c r="C48" s="25"/>
      <c r="E48" s="25"/>
      <c r="F48" s="25"/>
      <c r="G48"/>
    </row>
    <row r="49" spans="1:8" x14ac:dyDescent="0.25">
      <c r="A49" s="25"/>
      <c r="C49" s="25"/>
      <c r="E49" s="25"/>
      <c r="F49" s="25"/>
      <c r="G49"/>
      <c r="H49" s="5"/>
    </row>
  </sheetData>
  <sortState ref="A26:C32">
    <sortCondition ref="B26:B32"/>
  </sortState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52"/>
  <sheetViews>
    <sheetView topLeftCell="E1" workbookViewId="0">
      <selection activeCell="K23" sqref="K23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  <col min="17" max="17" width="22.28515625" bestFit="1" customWidth="1"/>
    <col min="20" max="20" width="12.7109375" bestFit="1" customWidth="1"/>
  </cols>
  <sheetData>
    <row r="1" spans="2:21" ht="15.75" thickBot="1" x14ac:dyDescent="0.3"/>
    <row r="2" spans="2:21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  <c r="Q2" s="204" t="s">
        <v>205</v>
      </c>
      <c r="R2" s="204"/>
      <c r="S2" s="613"/>
      <c r="T2" s="238"/>
      <c r="U2" s="222"/>
    </row>
    <row r="3" spans="2:21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709">
        <v>42036</v>
      </c>
      <c r="L3" s="206"/>
      <c r="M3" s="207"/>
      <c r="N3" s="223"/>
      <c r="P3" s="205"/>
      <c r="Q3" s="205" t="s">
        <v>640</v>
      </c>
      <c r="R3" s="205"/>
      <c r="S3" s="206"/>
      <c r="T3" s="207"/>
      <c r="U3" s="223"/>
    </row>
    <row r="4" spans="2:21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  <c r="P4" s="212"/>
      <c r="Q4" s="205" t="s">
        <v>195</v>
      </c>
      <c r="R4" s="205"/>
      <c r="S4" s="206"/>
      <c r="T4" s="207" t="s">
        <v>229</v>
      </c>
      <c r="U4" s="223"/>
    </row>
    <row r="5" spans="2:21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  <c r="P5" s="306" t="s">
        <v>641</v>
      </c>
      <c r="Q5" s="307">
        <v>600</v>
      </c>
      <c r="R5" s="623">
        <v>42218</v>
      </c>
      <c r="S5" s="305"/>
      <c r="T5" s="218"/>
      <c r="U5" s="224"/>
    </row>
    <row r="6" spans="2:21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7">
        <v>2500</v>
      </c>
      <c r="K6" s="216" t="s">
        <v>420</v>
      </c>
      <c r="L6" s="305">
        <v>42073</v>
      </c>
      <c r="M6" s="218">
        <v>800</v>
      </c>
      <c r="N6" s="224"/>
      <c r="P6" s="462"/>
      <c r="Q6" s="234"/>
      <c r="R6" s="216"/>
      <c r="S6" s="305"/>
      <c r="T6" s="218"/>
      <c r="U6" s="224"/>
    </row>
    <row r="7" spans="2:21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528</v>
      </c>
      <c r="J7" s="234"/>
      <c r="K7" s="216" t="s">
        <v>421</v>
      </c>
      <c r="L7" s="305">
        <v>42079</v>
      </c>
      <c r="M7" s="218">
        <v>800</v>
      </c>
      <c r="N7" s="224"/>
      <c r="P7" s="233"/>
      <c r="Q7" s="234">
        <v>2000</v>
      </c>
      <c r="R7" s="623">
        <v>42281</v>
      </c>
      <c r="S7" s="305"/>
      <c r="T7" s="218">
        <v>600</v>
      </c>
      <c r="U7" s="224">
        <v>42303</v>
      </c>
    </row>
    <row r="8" spans="2:21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6" t="s">
        <v>401</v>
      </c>
      <c r="K8" s="216" t="s">
        <v>422</v>
      </c>
      <c r="L8" s="305">
        <v>42086</v>
      </c>
      <c r="M8" s="218">
        <v>800</v>
      </c>
      <c r="N8" s="224"/>
      <c r="P8" s="233"/>
      <c r="Q8" s="234"/>
      <c r="R8" s="216"/>
      <c r="S8" s="305"/>
      <c r="T8" s="218">
        <v>300</v>
      </c>
      <c r="U8" s="224">
        <v>42303</v>
      </c>
    </row>
    <row r="9" spans="2:21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  <c r="P9" s="233"/>
      <c r="Q9" s="234"/>
      <c r="R9" s="216"/>
      <c r="S9" s="305"/>
      <c r="T9" s="218">
        <v>300</v>
      </c>
      <c r="U9" s="224">
        <v>42309</v>
      </c>
    </row>
    <row r="10" spans="2:21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  <c r="P10" s="233"/>
      <c r="Q10" s="234"/>
      <c r="R10" s="216"/>
      <c r="S10" s="305"/>
      <c r="T10" s="218"/>
      <c r="U10" s="224"/>
    </row>
    <row r="11" spans="2:21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  <c r="P11" s="233"/>
      <c r="Q11" s="234"/>
      <c r="R11" s="216"/>
      <c r="S11" s="305"/>
      <c r="T11" s="218"/>
      <c r="U11" s="224"/>
    </row>
    <row r="12" spans="2:21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  <c r="P12" s="233"/>
      <c r="Q12" s="234"/>
      <c r="R12" s="216"/>
      <c r="S12" s="305"/>
      <c r="T12" s="218"/>
      <c r="U12" s="224"/>
    </row>
    <row r="13" spans="2:21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  <c r="P13" s="233"/>
      <c r="Q13" s="234"/>
      <c r="R13" s="216"/>
      <c r="S13" s="305"/>
      <c r="T13" s="218"/>
      <c r="U13" s="224"/>
    </row>
    <row r="14" spans="2:21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  <c r="P14" s="233"/>
      <c r="Q14" s="234"/>
      <c r="R14" s="216"/>
      <c r="S14" s="305"/>
      <c r="T14" s="218"/>
      <c r="U14" s="224"/>
    </row>
    <row r="15" spans="2:21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  <c r="P15" s="233"/>
      <c r="Q15" s="234"/>
      <c r="R15" s="216"/>
      <c r="S15" s="305"/>
      <c r="T15" s="218"/>
      <c r="U15" s="224"/>
    </row>
    <row r="16" spans="2:21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  <c r="P16" s="233"/>
      <c r="Q16" s="234"/>
      <c r="R16" s="216"/>
      <c r="S16" s="305"/>
      <c r="T16" s="218"/>
      <c r="U16" s="224"/>
    </row>
    <row r="17" spans="2:21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  <c r="P17" s="233"/>
      <c r="Q17" s="234"/>
      <c r="R17" s="216"/>
      <c r="S17" s="305"/>
      <c r="T17" s="218"/>
      <c r="U17" s="224"/>
    </row>
    <row r="18" spans="2:21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  <c r="P18" s="233"/>
      <c r="Q18" s="234"/>
      <c r="R18" s="216"/>
      <c r="S18" s="305"/>
      <c r="T18" s="218"/>
      <c r="U18" s="224"/>
    </row>
    <row r="19" spans="2:21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  <c r="P19" s="233"/>
      <c r="Q19" s="234"/>
      <c r="R19" s="216"/>
      <c r="S19" s="305"/>
      <c r="T19" s="218"/>
      <c r="U19" s="224"/>
    </row>
    <row r="20" spans="2:21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  <c r="P20" s="233"/>
      <c r="Q20" s="234"/>
      <c r="R20" s="234"/>
      <c r="S20" s="305"/>
      <c r="T20" s="218"/>
      <c r="U20" s="224"/>
    </row>
    <row r="21" spans="2:21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  <c r="P21" s="233"/>
      <c r="Q21" s="234"/>
      <c r="R21" s="216"/>
      <c r="S21" s="305"/>
      <c r="T21" s="218"/>
      <c r="U21" s="224"/>
    </row>
    <row r="22" spans="2:21" ht="15.75" x14ac:dyDescent="0.25">
      <c r="B22" s="233"/>
      <c r="C22" s="234"/>
      <c r="D22" s="234"/>
      <c r="E22" s="305"/>
      <c r="F22" s="218"/>
      <c r="G22" s="224"/>
      <c r="I22" s="462">
        <v>42324</v>
      </c>
      <c r="J22" s="234" t="s">
        <v>882</v>
      </c>
      <c r="K22" s="234"/>
      <c r="L22" s="305"/>
      <c r="M22" s="218"/>
      <c r="N22" s="224"/>
      <c r="P22" s="233"/>
      <c r="Q22" s="234"/>
      <c r="R22" s="234"/>
      <c r="S22" s="305"/>
      <c r="T22" s="218"/>
      <c r="U22" s="224"/>
    </row>
    <row r="23" spans="2:21" ht="15.75" x14ac:dyDescent="0.25">
      <c r="B23" s="233"/>
      <c r="C23" s="234"/>
      <c r="D23" s="234"/>
      <c r="E23" s="305"/>
      <c r="F23" s="218"/>
      <c r="G23" s="224"/>
      <c r="I23" s="233"/>
      <c r="J23" s="234">
        <v>2500</v>
      </c>
      <c r="K23" s="234"/>
      <c r="L23" s="305"/>
      <c r="M23" s="218"/>
      <c r="N23" s="224"/>
      <c r="P23" s="233"/>
      <c r="Q23" s="234"/>
      <c r="R23" s="234"/>
      <c r="S23" s="305"/>
      <c r="T23" s="218"/>
      <c r="U23" s="224"/>
    </row>
    <row r="24" spans="2:21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  <c r="P24" s="233"/>
      <c r="Q24" s="234"/>
      <c r="R24" s="234"/>
      <c r="S24" s="305"/>
      <c r="T24" s="218"/>
      <c r="U24" s="224"/>
    </row>
    <row r="25" spans="2:21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  <c r="P25" s="233"/>
      <c r="Q25" s="234"/>
      <c r="R25" s="234"/>
      <c r="S25" s="305"/>
      <c r="T25" s="218"/>
      <c r="U25" s="224"/>
    </row>
    <row r="26" spans="2:21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  <c r="P26" s="233"/>
      <c r="Q26" s="234"/>
      <c r="R26" s="234"/>
      <c r="S26" s="305"/>
      <c r="T26" s="218"/>
      <c r="U26" s="224"/>
    </row>
    <row r="27" spans="2:21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  <c r="P27" s="233"/>
      <c r="Q27" s="234"/>
      <c r="R27" s="234"/>
      <c r="S27" s="305"/>
      <c r="T27" s="218"/>
      <c r="U27" s="224"/>
    </row>
    <row r="28" spans="2:21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  <c r="P28" s="233"/>
      <c r="Q28" s="234"/>
      <c r="R28" s="234"/>
      <c r="S28" s="305"/>
      <c r="T28" s="218"/>
      <c r="U28" s="224"/>
    </row>
    <row r="29" spans="2:21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  <c r="P29" s="233"/>
      <c r="Q29" s="234"/>
      <c r="R29" s="234"/>
      <c r="S29" s="305"/>
      <c r="T29" s="218"/>
      <c r="U29" s="224"/>
    </row>
    <row r="30" spans="2:21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  <c r="P30" s="233"/>
      <c r="Q30" s="234"/>
      <c r="R30" s="234"/>
      <c r="S30" s="305"/>
      <c r="T30" s="218"/>
      <c r="U30" s="224"/>
    </row>
    <row r="31" spans="2:21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  <c r="P31" s="233"/>
      <c r="Q31" s="234"/>
      <c r="R31" s="234"/>
      <c r="S31" s="305"/>
      <c r="T31" s="218"/>
      <c r="U31" s="224"/>
    </row>
    <row r="32" spans="2:21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  <c r="P32" s="233"/>
      <c r="Q32" s="234"/>
      <c r="R32" s="234"/>
      <c r="S32" s="305"/>
      <c r="T32" s="218"/>
      <c r="U32" s="224"/>
    </row>
    <row r="33" spans="2:21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  <c r="P33" s="233"/>
      <c r="Q33" s="234"/>
      <c r="R33" s="234"/>
      <c r="S33" s="305"/>
      <c r="T33" s="218"/>
      <c r="U33" s="224"/>
    </row>
    <row r="34" spans="2:21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  <c r="P34" s="233"/>
      <c r="Q34" s="234"/>
      <c r="R34" s="234"/>
      <c r="S34" s="305"/>
      <c r="T34" s="218"/>
      <c r="U34" s="224"/>
    </row>
    <row r="35" spans="2:21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  <c r="P35" s="233"/>
      <c r="Q35" s="234"/>
      <c r="R35" s="234"/>
      <c r="S35" s="305"/>
      <c r="T35" s="218"/>
      <c r="U35" s="224"/>
    </row>
    <row r="36" spans="2:21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  <c r="P36" s="233"/>
      <c r="Q36" s="234"/>
      <c r="R36" s="234"/>
      <c r="S36" s="305"/>
      <c r="T36" s="218"/>
      <c r="U36" s="224"/>
    </row>
    <row r="37" spans="2:21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  <c r="P37" s="233"/>
      <c r="Q37" s="234"/>
      <c r="R37" s="234"/>
      <c r="S37" s="305"/>
      <c r="T37" s="218"/>
      <c r="U37" s="224"/>
    </row>
    <row r="38" spans="2:21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  <c r="P38" s="233"/>
      <c r="Q38" s="234"/>
      <c r="R38" s="234"/>
      <c r="S38" s="305"/>
      <c r="T38" s="218"/>
      <c r="U38" s="224"/>
    </row>
    <row r="39" spans="2:21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  <c r="P39" s="233"/>
      <c r="Q39" s="234"/>
      <c r="R39" s="234"/>
      <c r="S39" s="305"/>
      <c r="T39" s="218"/>
      <c r="U39" s="224"/>
    </row>
    <row r="40" spans="2:21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  <c r="P40" s="233"/>
      <c r="Q40" s="234"/>
      <c r="R40" s="234"/>
      <c r="S40" s="305"/>
      <c r="T40" s="218"/>
      <c r="U40" s="224"/>
    </row>
    <row r="41" spans="2:21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  <c r="P41" s="233"/>
      <c r="Q41" s="234"/>
      <c r="R41" s="234"/>
      <c r="S41" s="305"/>
      <c r="T41" s="218"/>
      <c r="U41" s="224"/>
    </row>
    <row r="42" spans="2:21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  <c r="P42" s="233"/>
      <c r="Q42" s="234"/>
      <c r="R42" s="234"/>
      <c r="S42" s="305"/>
      <c r="T42" s="218"/>
      <c r="U42" s="224"/>
    </row>
    <row r="43" spans="2:21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  <c r="P43" s="233"/>
      <c r="Q43" s="234"/>
      <c r="R43" s="234"/>
      <c r="S43" s="305"/>
      <c r="T43" s="218"/>
      <c r="U43" s="224"/>
    </row>
    <row r="44" spans="2:21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  <c r="P44" s="233"/>
      <c r="Q44" s="234"/>
      <c r="R44" s="234"/>
      <c r="S44" s="305"/>
      <c r="T44" s="218"/>
      <c r="U44" s="224"/>
    </row>
    <row r="45" spans="2:21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  <c r="P45" s="233"/>
      <c r="Q45" s="234"/>
      <c r="R45" s="234"/>
      <c r="S45" s="305"/>
      <c r="T45" s="218"/>
      <c r="U45" s="224"/>
    </row>
    <row r="46" spans="2:21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  <c r="P46" s="233"/>
      <c r="Q46" s="234"/>
      <c r="R46" s="234"/>
      <c r="S46" s="217"/>
      <c r="T46" s="218"/>
      <c r="U46" s="224"/>
    </row>
    <row r="47" spans="2:21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  <c r="P47" s="242"/>
      <c r="Q47" s="240"/>
      <c r="R47" s="240"/>
      <c r="S47" s="225"/>
      <c r="T47" s="228"/>
      <c r="U47" s="243"/>
    </row>
    <row r="48" spans="2:21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  <c r="P48" s="244"/>
      <c r="Q48" s="226">
        <v>0</v>
      </c>
      <c r="R48" s="226"/>
      <c r="S48" s="227"/>
      <c r="T48" s="58">
        <v>0</v>
      </c>
      <c r="U48" s="245"/>
    </row>
    <row r="49" spans="3:21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15540</v>
      </c>
      <c r="K49" s="208"/>
      <c r="L49" s="206"/>
      <c r="M49" s="207">
        <f>SUM(M5:M48)</f>
        <v>11200</v>
      </c>
      <c r="N49" s="222"/>
      <c r="Q49" s="208">
        <f>SUM(Q5:Q48)</f>
        <v>2600</v>
      </c>
      <c r="R49" s="208"/>
      <c r="S49" s="206"/>
      <c r="T49" s="207">
        <f>SUM(T5:T48)</f>
        <v>1200</v>
      </c>
      <c r="U49" s="222"/>
    </row>
    <row r="50" spans="3:21" ht="15.75" thickBot="1" x14ac:dyDescent="0.3">
      <c r="C50" s="44"/>
    </row>
    <row r="51" spans="3:21" x14ac:dyDescent="0.25">
      <c r="K51" s="818">
        <f>J49-M49</f>
        <v>4340</v>
      </c>
      <c r="L51" s="819"/>
      <c r="R51" s="818">
        <f>Q49-T49</f>
        <v>1400</v>
      </c>
      <c r="S51" s="819"/>
    </row>
    <row r="52" spans="3:21" ht="15.75" thickBot="1" x14ac:dyDescent="0.3">
      <c r="K52" s="820"/>
      <c r="L52" s="821"/>
      <c r="R52" s="820"/>
      <c r="S52" s="821"/>
    </row>
  </sheetData>
  <mergeCells count="2">
    <mergeCell ref="K51:L52"/>
    <mergeCell ref="R51:S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760" t="s">
        <v>82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779" t="s">
        <v>107</v>
      </c>
      <c r="K22" s="780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781">
        <f>SUM(N5:N36)</f>
        <v>1464875.7</v>
      </c>
      <c r="N37" s="782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765" t="s">
        <v>11</v>
      </c>
      <c r="I40" s="766"/>
      <c r="J40" s="77"/>
      <c r="K40" s="767">
        <f>I38+L38</f>
        <v>108721.5</v>
      </c>
      <c r="L40" s="768"/>
      <c r="M40" s="72"/>
      <c r="P40"/>
    </row>
    <row r="41" spans="1:16" ht="15.75" x14ac:dyDescent="0.25">
      <c r="D41" s="759" t="s">
        <v>12</v>
      </c>
      <c r="E41" s="759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769">
        <v>105856</v>
      </c>
      <c r="J44" s="769"/>
      <c r="K44" s="769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758" t="s">
        <v>13</v>
      </c>
      <c r="E46" s="758"/>
      <c r="F46" s="60">
        <v>105856</v>
      </c>
      <c r="I46" s="770"/>
      <c r="J46" s="770"/>
      <c r="K46" s="770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771" t="s">
        <v>18</v>
      </c>
      <c r="J48" s="772"/>
      <c r="K48" s="783">
        <f>F48+L46</f>
        <v>38843.179999999935</v>
      </c>
      <c r="L48" s="775"/>
      <c r="P48"/>
    </row>
    <row r="49" spans="4:15" customFormat="1" ht="15.75" customHeight="1" thickBot="1" x14ac:dyDescent="0.3">
      <c r="D49" s="757"/>
      <c r="E49" s="757"/>
      <c r="F49" s="56"/>
      <c r="I49" s="773"/>
      <c r="J49" s="774"/>
      <c r="K49" s="784"/>
      <c r="L49" s="776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A13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760" t="s">
        <v>164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3" t="s">
        <v>551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81">
        <f>SUM(N5:N36)</f>
        <v>72464.17</v>
      </c>
      <c r="N37" s="782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765" t="s">
        <v>11</v>
      </c>
      <c r="I40" s="766"/>
      <c r="J40" s="143"/>
      <c r="K40" s="767">
        <f>I38+L38</f>
        <v>60366.65</v>
      </c>
      <c r="L40" s="768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759" t="s">
        <v>12</v>
      </c>
      <c r="E41" s="759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769">
        <v>105856</v>
      </c>
      <c r="J44" s="769"/>
      <c r="K44" s="769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758" t="s">
        <v>13</v>
      </c>
      <c r="E46" s="758"/>
      <c r="F46" s="60">
        <v>142316.12</v>
      </c>
      <c r="I46" s="770"/>
      <c r="J46" s="770"/>
      <c r="K46" s="770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771" t="s">
        <v>18</v>
      </c>
      <c r="J48" s="772"/>
      <c r="K48" s="783">
        <f>F48+L46</f>
        <v>137497.94999999995</v>
      </c>
      <c r="L48" s="775"/>
      <c r="P48" s="38"/>
      <c r="S48"/>
    </row>
    <row r="49" spans="4:22" customFormat="1" ht="15.75" customHeight="1" thickBot="1" x14ac:dyDescent="0.3">
      <c r="D49" s="757"/>
      <c r="E49" s="757"/>
      <c r="F49" s="56"/>
      <c r="I49" s="773"/>
      <c r="J49" s="774"/>
      <c r="K49" s="784"/>
      <c r="L49" s="776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14" sqref="F14"/>
    </sheetView>
  </sheetViews>
  <sheetFormatPr baseColWidth="10" defaultRowHeight="15" x14ac:dyDescent="0.25"/>
  <cols>
    <col min="2" max="2" width="15.5703125" customWidth="1"/>
    <col min="3" max="3" width="28.5703125" style="44" customWidth="1"/>
  </cols>
  <sheetData>
    <row r="3" spans="2:6" ht="21" x14ac:dyDescent="0.35">
      <c r="B3" s="822" t="s">
        <v>787</v>
      </c>
      <c r="C3" s="822"/>
      <c r="D3" s="822"/>
    </row>
    <row r="4" spans="2:6" x14ac:dyDescent="0.25">
      <c r="C4" s="450" t="s">
        <v>800</v>
      </c>
      <c r="D4" s="614" t="s">
        <v>801</v>
      </c>
      <c r="E4" s="614"/>
      <c r="F4" s="614"/>
    </row>
    <row r="5" spans="2:6" ht="15.75" x14ac:dyDescent="0.25">
      <c r="B5" s="711" t="s">
        <v>788</v>
      </c>
      <c r="C5" s="332">
        <v>1440983.5</v>
      </c>
    </row>
    <row r="6" spans="2:6" ht="15.75" x14ac:dyDescent="0.25">
      <c r="B6" s="711"/>
      <c r="C6" s="332"/>
    </row>
    <row r="7" spans="2:6" ht="15.75" x14ac:dyDescent="0.25">
      <c r="B7" s="711" t="s">
        <v>789</v>
      </c>
      <c r="C7" s="332">
        <v>1400399.5</v>
      </c>
    </row>
    <row r="8" spans="2:6" ht="15.75" x14ac:dyDescent="0.25">
      <c r="B8" s="711"/>
      <c r="C8" s="332"/>
      <c r="F8" s="25"/>
    </row>
    <row r="9" spans="2:6" ht="15.75" x14ac:dyDescent="0.25">
      <c r="B9" s="711" t="s">
        <v>790</v>
      </c>
      <c r="C9" s="332">
        <v>2048827.28</v>
      </c>
    </row>
    <row r="10" spans="2:6" ht="15.75" x14ac:dyDescent="0.25">
      <c r="B10" s="711"/>
      <c r="C10" s="332"/>
    </row>
    <row r="11" spans="2:6" ht="15.75" x14ac:dyDescent="0.25">
      <c r="B11" s="711"/>
      <c r="C11" s="332"/>
    </row>
    <row r="12" spans="2:6" ht="15.75" x14ac:dyDescent="0.25">
      <c r="B12" s="711" t="s">
        <v>791</v>
      </c>
      <c r="C12" s="332">
        <v>1471722</v>
      </c>
    </row>
    <row r="13" spans="2:6" ht="15.75" x14ac:dyDescent="0.25">
      <c r="B13" s="711"/>
      <c r="C13" s="332"/>
    </row>
    <row r="14" spans="2:6" ht="15.75" x14ac:dyDescent="0.25">
      <c r="B14" s="711" t="s">
        <v>792</v>
      </c>
      <c r="C14" s="332">
        <v>1231978.8</v>
      </c>
    </row>
    <row r="15" spans="2:6" ht="15.75" x14ac:dyDescent="0.25">
      <c r="B15" s="711"/>
      <c r="C15" s="332"/>
    </row>
    <row r="16" spans="2:6" ht="15.75" x14ac:dyDescent="0.25">
      <c r="B16" s="711" t="s">
        <v>793</v>
      </c>
      <c r="C16" s="332">
        <v>1160975</v>
      </c>
    </row>
    <row r="17" spans="2:3" ht="15.75" x14ac:dyDescent="0.25">
      <c r="B17" s="711"/>
      <c r="C17" s="332"/>
    </row>
    <row r="18" spans="2:3" ht="15.75" x14ac:dyDescent="0.25">
      <c r="B18" s="711" t="s">
        <v>794</v>
      </c>
      <c r="C18" s="332">
        <v>1222912</v>
      </c>
    </row>
    <row r="19" spans="2:3" ht="15.75" x14ac:dyDescent="0.25">
      <c r="B19" s="711"/>
      <c r="C19" s="332"/>
    </row>
    <row r="20" spans="2:3" ht="15.75" x14ac:dyDescent="0.25">
      <c r="B20" s="711" t="s">
        <v>795</v>
      </c>
      <c r="C20" s="332">
        <v>1425486.77</v>
      </c>
    </row>
    <row r="21" spans="2:3" ht="15.75" x14ac:dyDescent="0.25">
      <c r="B21" s="711"/>
      <c r="C21" s="332"/>
    </row>
    <row r="22" spans="2:3" ht="15.75" x14ac:dyDescent="0.25">
      <c r="B22" s="711" t="s">
        <v>796</v>
      </c>
      <c r="C22" s="332">
        <v>1202646.44</v>
      </c>
    </row>
    <row r="23" spans="2:3" ht="15.75" x14ac:dyDescent="0.25">
      <c r="B23" s="711"/>
      <c r="C23" s="332"/>
    </row>
    <row r="24" spans="2:3" ht="15.75" x14ac:dyDescent="0.25">
      <c r="B24" s="711" t="s">
        <v>797</v>
      </c>
      <c r="C24" s="332">
        <v>1202646.44</v>
      </c>
    </row>
    <row r="25" spans="2:3" ht="15.75" x14ac:dyDescent="0.25">
      <c r="B25" s="711"/>
      <c r="C25" s="332"/>
    </row>
    <row r="26" spans="2:3" ht="15.75" x14ac:dyDescent="0.25">
      <c r="B26" s="711" t="s">
        <v>798</v>
      </c>
      <c r="C26" s="332">
        <v>1468792.14</v>
      </c>
    </row>
    <row r="27" spans="2:3" ht="15.75" x14ac:dyDescent="0.25">
      <c r="B27" s="711"/>
      <c r="C27" s="332"/>
    </row>
    <row r="28" spans="2:3" ht="15.75" x14ac:dyDescent="0.25">
      <c r="B28" s="711" t="s">
        <v>799</v>
      </c>
      <c r="C28" s="332">
        <v>1368763.45</v>
      </c>
    </row>
  </sheetData>
  <mergeCells count="1">
    <mergeCell ref="B3:D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22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760" t="s">
        <v>191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81">
        <f>SUM(N5:N36)</f>
        <v>835879</v>
      </c>
      <c r="N37" s="782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765" t="s">
        <v>11</v>
      </c>
      <c r="I40" s="766"/>
      <c r="J40" s="162"/>
      <c r="K40" s="767">
        <f>I38+L38</f>
        <v>62561.18</v>
      </c>
      <c r="L40" s="768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759" t="s">
        <v>12</v>
      </c>
      <c r="E41" s="759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785" t="s">
        <v>246</v>
      </c>
      <c r="E42" s="785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793" t="s">
        <v>248</v>
      </c>
      <c r="J44" s="794"/>
      <c r="K44" s="783">
        <f>F48+L46</f>
        <v>211149.93</v>
      </c>
      <c r="L44" s="775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795"/>
      <c r="J45" s="796"/>
      <c r="K45" s="784"/>
      <c r="L45" s="776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758" t="s">
        <v>13</v>
      </c>
      <c r="E46" s="758"/>
      <c r="F46" s="60">
        <v>84436.98</v>
      </c>
      <c r="I46" s="770"/>
      <c r="J46" s="770"/>
      <c r="K46" s="792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786">
        <v>142316.12</v>
      </c>
      <c r="L47" s="787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757"/>
      <c r="E49" s="757"/>
      <c r="F49" s="56"/>
      <c r="I49" s="790" t="s">
        <v>249</v>
      </c>
      <c r="J49" s="791"/>
      <c r="K49" s="788">
        <f>K44-K47</f>
        <v>68833.81</v>
      </c>
      <c r="L49" s="789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25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760" t="s">
        <v>260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781">
        <f>SUM(N5:N36)</f>
        <v>1212068.6499999999</v>
      </c>
      <c r="N37" s="782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378"/>
      <c r="K40" s="767">
        <f>I38+L38</f>
        <v>82452</v>
      </c>
      <c r="L40" s="768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759" t="s">
        <v>12</v>
      </c>
      <c r="E41" s="759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785" t="s">
        <v>246</v>
      </c>
      <c r="E42" s="785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793" t="s">
        <v>248</v>
      </c>
      <c r="J44" s="794"/>
      <c r="K44" s="783">
        <f>F48+L46</f>
        <v>168656.53000000003</v>
      </c>
      <c r="L44" s="775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795"/>
      <c r="J45" s="796"/>
      <c r="K45" s="784"/>
      <c r="L45" s="776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758" t="s">
        <v>13</v>
      </c>
      <c r="E46" s="758"/>
      <c r="F46" s="60">
        <v>105169.23</v>
      </c>
      <c r="I46" s="770"/>
      <c r="J46" s="770"/>
      <c r="K46" s="792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786">
        <v>84436.98</v>
      </c>
      <c r="L47" s="787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K44-K47</f>
        <v>84219.550000000032</v>
      </c>
      <c r="L49" s="789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797" t="s">
        <v>261</v>
      </c>
      <c r="K1" s="797"/>
      <c r="L1" s="797"/>
      <c r="M1" s="797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25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760" t="s">
        <v>320</v>
      </c>
      <c r="D1" s="760"/>
      <c r="E1" s="760"/>
      <c r="F1" s="760"/>
      <c r="G1" s="760"/>
      <c r="H1" s="760"/>
      <c r="I1" s="760"/>
      <c r="J1" s="760"/>
      <c r="K1" s="760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777" t="s">
        <v>19</v>
      </c>
      <c r="F4" s="778"/>
      <c r="I4" s="763" t="s">
        <v>4</v>
      </c>
      <c r="J4" s="764"/>
      <c r="K4" s="764"/>
      <c r="L4" s="764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781">
        <f>SUM(N5:N36)</f>
        <v>1101958.49</v>
      </c>
      <c r="N37" s="782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765" t="s">
        <v>11</v>
      </c>
      <c r="I40" s="766"/>
      <c r="J40" s="355"/>
      <c r="K40" s="767">
        <f>I38+L38</f>
        <v>89885.69</v>
      </c>
      <c r="L40" s="768"/>
      <c r="M40" s="72"/>
    </row>
    <row r="41" spans="1:14" ht="15.75" x14ac:dyDescent="0.25">
      <c r="B41" s="281"/>
      <c r="C41" s="56"/>
      <c r="D41" s="759" t="s">
        <v>12</v>
      </c>
      <c r="E41" s="759"/>
      <c r="F41" s="57">
        <f>F38-K40</f>
        <v>1071089.31</v>
      </c>
      <c r="I41" s="66"/>
      <c r="J41" s="66"/>
      <c r="M41" s="72"/>
    </row>
    <row r="42" spans="1:14" ht="15.75" x14ac:dyDescent="0.25">
      <c r="D42" s="785" t="s">
        <v>246</v>
      </c>
      <c r="E42" s="785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793" t="s">
        <v>248</v>
      </c>
      <c r="J44" s="794"/>
      <c r="K44" s="783">
        <f>F48+L46</f>
        <v>224404.37000000008</v>
      </c>
      <c r="L44" s="775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795"/>
      <c r="J45" s="796"/>
      <c r="K45" s="784"/>
      <c r="L45" s="776"/>
      <c r="M45" s="110"/>
    </row>
    <row r="46" spans="1:14" ht="17.25" thickTop="1" thickBot="1" x14ac:dyDescent="0.3">
      <c r="C46" s="55"/>
      <c r="D46" s="758" t="s">
        <v>13</v>
      </c>
      <c r="E46" s="758"/>
      <c r="F46" s="60">
        <v>143402.01999999999</v>
      </c>
      <c r="I46" s="770"/>
      <c r="J46" s="770"/>
      <c r="K46" s="792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786">
        <v>105169.23</v>
      </c>
      <c r="L47" s="787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757"/>
      <c r="E49" s="757"/>
      <c r="F49" s="56"/>
      <c r="I49" s="790" t="s">
        <v>249</v>
      </c>
      <c r="J49" s="791"/>
      <c r="K49" s="788">
        <f>K44-K47</f>
        <v>119235.14000000009</v>
      </c>
      <c r="L49" s="789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I57" sqref="I5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J U L I O   2015</vt:lpstr>
      <vt:lpstr>Remisiones  JULIO 2015</vt:lpstr>
      <vt:lpstr>AGOSTO 2015</vt:lpstr>
      <vt:lpstr>REMISIONES AGOSTO 2015</vt:lpstr>
      <vt:lpstr>SEPTIEMBRE  2 0 1 5   </vt:lpstr>
      <vt:lpstr>REMISIONES SEPTIEMBRE 2015</vt:lpstr>
      <vt:lpstr>OCTUBRE 2015</vt:lpstr>
      <vt:lpstr>REMISIONES OCTUBRE 2015</vt:lpstr>
      <vt:lpstr>NOVIEMBRE 2015</vt:lpstr>
      <vt:lpstr>REMISIONES NOVIEMBRE 2015</vt:lpstr>
      <vt:lpstr>Hoja15</vt:lpstr>
      <vt:lpstr>Hoja2</vt:lpstr>
      <vt:lpstr>Hoja1</vt:lpstr>
      <vt:lpstr>JULIANA   &amp;&amp;&amp;&amp;   MARCOS </vt:lpstr>
      <vt:lpstr>Hoja8</vt:lpstr>
      <vt:lpstr>Hoja9</vt:lpstr>
      <vt:lpstr>Hoja10</vt:lpstr>
      <vt:lpstr>Hoja3</vt:lpstr>
      <vt:lpstr>Hoja4</vt:lpstr>
      <vt:lpstr>Hoja5</vt:lpstr>
      <vt:lpstr>Hoja6</vt:lpstr>
      <vt:lpstr>Hoja7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2015-12-05T19:00:17Z</cp:lastPrinted>
  <dcterms:created xsi:type="dcterms:W3CDTF">2009-02-04T18:28:43Z</dcterms:created>
  <dcterms:modified xsi:type="dcterms:W3CDTF">2015-12-21T14:51:45Z</dcterms:modified>
</cp:coreProperties>
</file>