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60" windowWidth="14040" windowHeight="6615" firstSheet="13" activeTab="15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AGOSTO      2015" sheetId="15" r:id="rId11"/>
    <sheet name="SEPTIEMBRE   2 0 1 5    " sheetId="16" r:id="rId12"/>
    <sheet name="REMISIONES Septiembre 2015" sheetId="17" r:id="rId13"/>
    <sheet name="OCTUBRE  2015" sheetId="18" r:id="rId14"/>
    <sheet name="REMISIONES OCTUBRE 2015" sheetId="19" r:id="rId15"/>
    <sheet name="NOVIEMBRE 2015" sheetId="20" r:id="rId16"/>
    <sheet name="REMISIONES NOVIEMBRE 2015" sheetId="21" r:id="rId17"/>
    <sheet name="Hoja1" sheetId="22" r:id="rId18"/>
    <sheet name="Hoja2" sheetId="23" r:id="rId19"/>
    <sheet name="Hoja3" sheetId="24" r:id="rId20"/>
    <sheet name="Hoja4" sheetId="25" r:id="rId21"/>
    <sheet name="Hoja5" sheetId="26" r:id="rId22"/>
  </sheets>
  <calcPr calcId="144525"/>
</workbook>
</file>

<file path=xl/calcChain.xml><?xml version="1.0" encoding="utf-8"?>
<calcChain xmlns="http://schemas.openxmlformats.org/spreadsheetml/2006/main">
  <c r="K6" i="20" l="1"/>
  <c r="K7" i="20"/>
  <c r="K37" i="20" l="1"/>
  <c r="I37" i="20"/>
  <c r="J39" i="20" s="1"/>
  <c r="C37" i="20"/>
  <c r="L33" i="20"/>
  <c r="L32" i="20"/>
  <c r="L31" i="20"/>
  <c r="L30" i="20"/>
  <c r="L29" i="20"/>
  <c r="L28" i="20"/>
  <c r="L26" i="20"/>
  <c r="L25" i="20"/>
  <c r="L24" i="20"/>
  <c r="L23" i="20"/>
  <c r="L22" i="20"/>
  <c r="L21" i="20"/>
  <c r="L19" i="20"/>
  <c r="L18" i="20"/>
  <c r="L17" i="20"/>
  <c r="L13" i="20"/>
  <c r="F13" i="20"/>
  <c r="L12" i="20"/>
  <c r="F12" i="20"/>
  <c r="L11" i="20"/>
  <c r="F11" i="20"/>
  <c r="L10" i="20"/>
  <c r="F10" i="20"/>
  <c r="L9" i="20"/>
  <c r="L8" i="20"/>
  <c r="F8" i="20"/>
  <c r="L7" i="20"/>
  <c r="F7" i="20"/>
  <c r="L6" i="20"/>
  <c r="F6" i="20"/>
  <c r="F37" i="20" s="1"/>
  <c r="F40" i="20" s="1"/>
  <c r="F43" i="20" s="1"/>
  <c r="F45" i="20" s="1"/>
  <c r="K43" i="20" s="1"/>
  <c r="K45" i="20" s="1"/>
  <c r="L5" i="20"/>
  <c r="L4" i="20"/>
  <c r="L37" i="20" s="1"/>
  <c r="AM7" i="20"/>
  <c r="AM6" i="20"/>
  <c r="Y37" i="20"/>
  <c r="W37" i="20"/>
  <c r="X39" i="20" s="1"/>
  <c r="Q37" i="20"/>
  <c r="Z26" i="20"/>
  <c r="Z25" i="20"/>
  <c r="Z24" i="20"/>
  <c r="Z23" i="20"/>
  <c r="Z22" i="20"/>
  <c r="Z21" i="20"/>
  <c r="Z19" i="20"/>
  <c r="Z18" i="20"/>
  <c r="Z17" i="20"/>
  <c r="Z13" i="20"/>
  <c r="T13" i="20"/>
  <c r="Z12" i="20"/>
  <c r="T12" i="20"/>
  <c r="Z11" i="20"/>
  <c r="T11" i="20"/>
  <c r="Z10" i="20"/>
  <c r="T10" i="20"/>
  <c r="Z9" i="20"/>
  <c r="Z8" i="20"/>
  <c r="T8" i="20"/>
  <c r="Z7" i="20"/>
  <c r="T7" i="20"/>
  <c r="Z6" i="20"/>
  <c r="T6" i="20"/>
  <c r="T37" i="20" s="1"/>
  <c r="T40" i="20" s="1"/>
  <c r="T43" i="20" s="1"/>
  <c r="T45" i="20" s="1"/>
  <c r="Y43" i="20" s="1"/>
  <c r="Y45" i="20" s="1"/>
  <c r="Z5" i="20"/>
  <c r="Z4" i="20"/>
  <c r="Z37" i="20" s="1"/>
  <c r="F29" i="21" l="1"/>
  <c r="W44" i="21"/>
  <c r="T44" i="21"/>
  <c r="AN19" i="20" l="1"/>
  <c r="AN18" i="20" l="1"/>
  <c r="AN17" i="20"/>
  <c r="BC12" i="20"/>
  <c r="F25" i="21" l="1"/>
  <c r="W19" i="21"/>
  <c r="T19" i="21" l="1"/>
  <c r="F16" i="21" l="1"/>
  <c r="O89" i="21"/>
  <c r="L89" i="21"/>
  <c r="BE21" i="20" l="1"/>
  <c r="AM37" i="20" l="1"/>
  <c r="AK37" i="20"/>
  <c r="AL39" i="20" s="1"/>
  <c r="AE37" i="20"/>
  <c r="AN13" i="20"/>
  <c r="AH13" i="20"/>
  <c r="AN12" i="20"/>
  <c r="AH12" i="20"/>
  <c r="AN11" i="20"/>
  <c r="AH11" i="20"/>
  <c r="AN10" i="20"/>
  <c r="AH10" i="20"/>
  <c r="AN9" i="20"/>
  <c r="AN8" i="20"/>
  <c r="AH8" i="20"/>
  <c r="AN7" i="20"/>
  <c r="AH7" i="20"/>
  <c r="AN6" i="20"/>
  <c r="AH6" i="20"/>
  <c r="AH37" i="20" s="1"/>
  <c r="AH40" i="20" s="1"/>
  <c r="AH43" i="20" s="1"/>
  <c r="AH45" i="20" s="1"/>
  <c r="AM43" i="20" s="1"/>
  <c r="AM45" i="20" s="1"/>
  <c r="AN5" i="20"/>
  <c r="AN4" i="20"/>
  <c r="AN37" i="20" s="1"/>
  <c r="AA38" i="18" l="1"/>
  <c r="M38" i="18"/>
  <c r="BO37" i="18"/>
  <c r="BM37" i="18"/>
  <c r="BN39" i="18" s="1"/>
  <c r="BJ37" i="18"/>
  <c r="BG37" i="18"/>
  <c r="BA37" i="18"/>
  <c r="AY37" i="18"/>
  <c r="AZ39" i="18" s="1"/>
  <c r="AV37" i="18"/>
  <c r="AS37" i="18"/>
  <c r="AM37" i="18"/>
  <c r="AK37" i="18"/>
  <c r="AL39" i="18" s="1"/>
  <c r="AE37" i="18"/>
  <c r="Y37" i="18"/>
  <c r="W37" i="18"/>
  <c r="X39" i="18" s="1"/>
  <c r="Q37" i="18"/>
  <c r="K37" i="18"/>
  <c r="I37" i="18"/>
  <c r="J39" i="18" s="1"/>
  <c r="C37" i="18"/>
  <c r="L33" i="18"/>
  <c r="F33" i="18"/>
  <c r="F32" i="18"/>
  <c r="L31" i="18"/>
  <c r="F31" i="18"/>
  <c r="Z30" i="18"/>
  <c r="L30" i="18"/>
  <c r="Z29" i="18"/>
  <c r="L29" i="18"/>
  <c r="Z27" i="18"/>
  <c r="L27" i="18"/>
  <c r="Z26" i="18"/>
  <c r="L26" i="18"/>
  <c r="Z25" i="18"/>
  <c r="L25" i="18"/>
  <c r="Z24" i="18"/>
  <c r="L24" i="18"/>
  <c r="AN23" i="18"/>
  <c r="Z23" i="18"/>
  <c r="L23" i="18"/>
  <c r="AN22" i="18"/>
  <c r="AH22" i="18"/>
  <c r="AH37" i="18" s="1"/>
  <c r="AH40" i="18" s="1"/>
  <c r="AH43" i="18" s="1"/>
  <c r="AH45" i="18" s="1"/>
  <c r="AM43" i="18" s="1"/>
  <c r="AM45" i="18" s="1"/>
  <c r="Z22" i="18"/>
  <c r="T22" i="18"/>
  <c r="T37" i="18" s="1"/>
  <c r="T40" i="18" s="1"/>
  <c r="T43" i="18" s="1"/>
  <c r="T45" i="18" s="1"/>
  <c r="Y43" i="18" s="1"/>
  <c r="Y45" i="18" s="1"/>
  <c r="L22" i="18"/>
  <c r="F22" i="18"/>
  <c r="F37" i="18" s="1"/>
  <c r="F40" i="18" s="1"/>
  <c r="F43" i="18" s="1"/>
  <c r="F45" i="18" s="1"/>
  <c r="K43" i="18" s="1"/>
  <c r="K45" i="18" s="1"/>
  <c r="AN21" i="18"/>
  <c r="Z21" i="18"/>
  <c r="L21" i="18"/>
  <c r="AO20" i="18"/>
  <c r="AN20" i="18"/>
  <c r="Z20" i="18"/>
  <c r="L20" i="18"/>
  <c r="AN19" i="18"/>
  <c r="Z19" i="18"/>
  <c r="L19" i="18"/>
  <c r="AN18" i="18"/>
  <c r="Z18" i="18"/>
  <c r="L18" i="18"/>
  <c r="BB16" i="18"/>
  <c r="AN16" i="18"/>
  <c r="Z16" i="18"/>
  <c r="L16" i="18"/>
  <c r="BB15" i="18"/>
  <c r="AN15" i="18"/>
  <c r="Z15" i="18"/>
  <c r="L15" i="18"/>
  <c r="BB14" i="18"/>
  <c r="AN14" i="18"/>
  <c r="Z14" i="18"/>
  <c r="L14" i="18"/>
  <c r="BB13" i="18"/>
  <c r="AN13" i="18"/>
  <c r="Z13" i="18"/>
  <c r="L13" i="18"/>
  <c r="BB12" i="18"/>
  <c r="AN12" i="18"/>
  <c r="Z12" i="18"/>
  <c r="L12" i="18"/>
  <c r="BB11" i="18"/>
  <c r="AN11" i="18"/>
  <c r="Z11" i="18"/>
  <c r="L11" i="18"/>
  <c r="BB10" i="18"/>
  <c r="AN10" i="18"/>
  <c r="Z10" i="18"/>
  <c r="L10" i="18"/>
  <c r="BB9" i="18"/>
  <c r="AN9" i="18"/>
  <c r="Z9" i="18"/>
  <c r="L9" i="18"/>
  <c r="BB8" i="18"/>
  <c r="AN8" i="18"/>
  <c r="Z8" i="18"/>
  <c r="L8" i="18"/>
  <c r="BB7" i="18"/>
  <c r="AN7" i="18"/>
  <c r="Z7" i="18"/>
  <c r="L7" i="18"/>
  <c r="BB6" i="18"/>
  <c r="AN6" i="18"/>
  <c r="Z6" i="18"/>
  <c r="L6" i="18"/>
  <c r="BP5" i="18"/>
  <c r="BB5" i="18"/>
  <c r="AN5" i="18"/>
  <c r="Z5" i="18"/>
  <c r="L5" i="18"/>
  <c r="BP4" i="18"/>
  <c r="BP37" i="18" s="1"/>
  <c r="BB4" i="18"/>
  <c r="BB37" i="18" s="1"/>
  <c r="AN4" i="18"/>
  <c r="AN37" i="18" s="1"/>
  <c r="Z4" i="18"/>
  <c r="Z37" i="18" s="1"/>
  <c r="L4" i="18"/>
  <c r="L37" i="18" s="1"/>
  <c r="BA37" i="20"/>
  <c r="AY37" i="20"/>
  <c r="AZ39" i="20" s="1"/>
  <c r="AS37" i="20"/>
  <c r="BB13" i="20"/>
  <c r="AV13" i="20"/>
  <c r="BB12" i="20"/>
  <c r="AV12" i="20"/>
  <c r="BB11" i="20"/>
  <c r="AV11" i="20"/>
  <c r="BB10" i="20"/>
  <c r="AV10" i="20"/>
  <c r="BB9" i="20"/>
  <c r="BB8" i="20"/>
  <c r="AV8" i="20"/>
  <c r="BB7" i="20"/>
  <c r="AV7" i="20"/>
  <c r="BB6" i="20"/>
  <c r="AV6" i="20"/>
  <c r="AV37" i="20" s="1"/>
  <c r="AV40" i="20" s="1"/>
  <c r="AV43" i="20" s="1"/>
  <c r="AV45" i="20" s="1"/>
  <c r="BA43" i="20" s="1"/>
  <c r="BA45" i="20" s="1"/>
  <c r="BB5" i="20"/>
  <c r="BB4" i="20"/>
  <c r="BB37" i="20" s="1"/>
  <c r="AV40" i="18" l="1"/>
  <c r="AV43" i="18" s="1"/>
  <c r="AV45" i="18" s="1"/>
  <c r="BA43" i="18" s="1"/>
  <c r="BA45" i="18" s="1"/>
  <c r="BJ40" i="18"/>
  <c r="BJ43" i="18" s="1"/>
  <c r="BJ45" i="18" s="1"/>
  <c r="BO43" i="18" s="1"/>
  <c r="BO45" i="18" s="1"/>
  <c r="F13" i="21"/>
  <c r="O71" i="21"/>
  <c r="L71" i="21"/>
  <c r="F11" i="21" l="1"/>
  <c r="O57" i="21"/>
  <c r="L57" i="21"/>
  <c r="F6" i="21" l="1"/>
  <c r="G40" i="21"/>
  <c r="G41" i="21"/>
  <c r="G42" i="21"/>
  <c r="G43" i="21"/>
  <c r="G44" i="21"/>
  <c r="G45" i="21"/>
  <c r="G46" i="21"/>
  <c r="G47" i="21"/>
  <c r="G29" i="21"/>
  <c r="G30" i="21"/>
  <c r="G31" i="21"/>
  <c r="G32" i="21"/>
  <c r="G33" i="21"/>
  <c r="G34" i="21"/>
  <c r="G35" i="21"/>
  <c r="G36" i="21"/>
  <c r="G37" i="21"/>
  <c r="G38" i="21"/>
  <c r="G39" i="21"/>
  <c r="O45" i="21" l="1"/>
  <c r="L45" i="21"/>
  <c r="F48" i="19" l="1"/>
  <c r="O15" i="21"/>
  <c r="L15" i="21"/>
  <c r="D69" i="21" l="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9" i="21"/>
  <c r="G10" i="21"/>
  <c r="G8" i="21"/>
  <c r="G7" i="21"/>
  <c r="G6" i="21"/>
  <c r="F69" i="21"/>
  <c r="G4" i="21"/>
  <c r="G5" i="21" l="1"/>
  <c r="G69" i="21" s="1"/>
  <c r="F45" i="19"/>
  <c r="Y74" i="19"/>
  <c r="V73" i="19"/>
  <c r="F42" i="19" l="1"/>
  <c r="Y61" i="19"/>
  <c r="V61" i="19"/>
  <c r="F36" i="19" l="1"/>
  <c r="F34" i="19"/>
  <c r="Y42" i="19"/>
  <c r="V42" i="19"/>
  <c r="F31" i="19" l="1"/>
  <c r="Y16" i="19"/>
  <c r="V16" i="19"/>
  <c r="F20" i="19" l="1"/>
  <c r="P91" i="19" l="1"/>
  <c r="M91" i="19"/>
  <c r="E71" i="17" l="1"/>
  <c r="F5" i="19" l="1"/>
  <c r="P50" i="19"/>
  <c r="M50" i="19"/>
  <c r="L33" i="16"/>
  <c r="L32" i="16"/>
  <c r="L29" i="16"/>
  <c r="G45" i="17" l="1"/>
  <c r="P25" i="19"/>
  <c r="M25" i="19"/>
  <c r="L28" i="16"/>
  <c r="L27" i="16"/>
  <c r="L26" i="16"/>
  <c r="L25" i="16"/>
  <c r="L24" i="16"/>
  <c r="D69" i="19" l="1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7" i="19"/>
  <c r="G9" i="19"/>
  <c r="G28" i="19"/>
  <c r="G26" i="19"/>
  <c r="G25" i="19"/>
  <c r="G24" i="19"/>
  <c r="G23" i="19"/>
  <c r="G22" i="19"/>
  <c r="G18" i="19"/>
  <c r="G17" i="19"/>
  <c r="G21" i="19"/>
  <c r="G20" i="19"/>
  <c r="G19" i="19"/>
  <c r="G16" i="19"/>
  <c r="G15" i="19"/>
  <c r="G14" i="19"/>
  <c r="G13" i="19"/>
  <c r="G12" i="19"/>
  <c r="G11" i="19"/>
  <c r="G10" i="19"/>
  <c r="G8" i="19"/>
  <c r="G7" i="19"/>
  <c r="G6" i="19"/>
  <c r="F69" i="19"/>
  <c r="G4" i="19"/>
  <c r="G5" i="19" l="1"/>
  <c r="G69" i="19" s="1"/>
  <c r="G44" i="17"/>
  <c r="AA102" i="17"/>
  <c r="X102" i="17"/>
  <c r="G40" i="17" l="1"/>
  <c r="AA93" i="17"/>
  <c r="X93" i="17"/>
  <c r="G36" i="17" l="1"/>
  <c r="AA78" i="17"/>
  <c r="X78" i="17"/>
  <c r="C37" i="16"/>
  <c r="F37" i="16"/>
  <c r="H40" i="17" l="1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U37" i="16" l="1"/>
  <c r="AC41" i="16"/>
  <c r="K37" i="16"/>
  <c r="I37" i="16"/>
  <c r="J39" i="16" s="1"/>
  <c r="F40" i="16" s="1"/>
  <c r="L23" i="16"/>
  <c r="L22" i="16"/>
  <c r="L21" i="16"/>
  <c r="L20" i="16"/>
  <c r="L19" i="16"/>
  <c r="L18" i="16"/>
  <c r="L17" i="16"/>
  <c r="L16" i="16"/>
  <c r="L15" i="16"/>
  <c r="L14" i="16"/>
  <c r="L13" i="16"/>
  <c r="L12" i="16"/>
  <c r="L10" i="16"/>
  <c r="L9" i="16"/>
  <c r="L8" i="16"/>
  <c r="L7" i="16"/>
  <c r="L6" i="16"/>
  <c r="L5" i="16"/>
  <c r="L37" i="16" s="1"/>
  <c r="AA61" i="17"/>
  <c r="X61" i="17"/>
  <c r="AA42" i="17"/>
  <c r="X42" i="17"/>
  <c r="AA26" i="17"/>
  <c r="X26" i="17"/>
  <c r="Q85" i="17"/>
  <c r="N85" i="17"/>
  <c r="Q45" i="17"/>
  <c r="N45" i="17"/>
  <c r="Q19" i="17"/>
  <c r="N19" i="17"/>
  <c r="H70" i="17"/>
  <c r="H39" i="17"/>
  <c r="H38" i="17"/>
  <c r="H37" i="17"/>
  <c r="H36" i="17"/>
  <c r="H35" i="17"/>
  <c r="H34" i="17"/>
  <c r="H33" i="17"/>
  <c r="G32" i="17"/>
  <c r="H32" i="17" s="1"/>
  <c r="H31" i="17"/>
  <c r="G30" i="17"/>
  <c r="H30" i="17" s="1"/>
  <c r="H29" i="17"/>
  <c r="H28" i="17"/>
  <c r="H27" i="17"/>
  <c r="H26" i="17"/>
  <c r="H25" i="17"/>
  <c r="H24" i="17"/>
  <c r="H23" i="17"/>
  <c r="H22" i="17"/>
  <c r="H21" i="17"/>
  <c r="H20" i="17"/>
  <c r="H19" i="17"/>
  <c r="G18" i="17"/>
  <c r="H18" i="17" s="1"/>
  <c r="H17" i="17"/>
  <c r="H16" i="17"/>
  <c r="H15" i="17"/>
  <c r="H14" i="17"/>
  <c r="H13" i="17"/>
  <c r="H12" i="17"/>
  <c r="H11" i="17"/>
  <c r="H10" i="17"/>
  <c r="H9" i="17"/>
  <c r="H8" i="17"/>
  <c r="H7" i="17"/>
  <c r="G6" i="17"/>
  <c r="H6" i="17" s="1"/>
  <c r="G5" i="17"/>
  <c r="G71" i="17" s="1"/>
  <c r="H4" i="17"/>
  <c r="F43" i="16" l="1"/>
  <c r="F45" i="16" s="1"/>
  <c r="K43" i="16" s="1"/>
  <c r="K45" i="16" s="1"/>
  <c r="H5" i="17"/>
  <c r="H71" i="17" s="1"/>
  <c r="AI32" i="16"/>
  <c r="AY61" i="16"/>
  <c r="BB61" i="16"/>
  <c r="AI30" i="16" l="1"/>
  <c r="AA16" i="16" l="1"/>
  <c r="AA17" i="16"/>
  <c r="BB42" i="16"/>
  <c r="AY42" i="16"/>
  <c r="AY26" i="16" l="1"/>
  <c r="AI18" i="16"/>
  <c r="AA18" i="16" l="1"/>
  <c r="AA15" i="16"/>
  <c r="AA14" i="16"/>
  <c r="AA13" i="16"/>
  <c r="AA12" i="16"/>
  <c r="AA10" i="16"/>
  <c r="AA9" i="16"/>
  <c r="AA8" i="16"/>
  <c r="AA7" i="16"/>
  <c r="AA6" i="16"/>
  <c r="AA5" i="16"/>
  <c r="BB26" i="16" l="1"/>
  <c r="AI6" i="16" l="1"/>
  <c r="AS85" i="16" l="1"/>
  <c r="AP85" i="16"/>
  <c r="AI5" i="16" l="1"/>
  <c r="AP45" i="16"/>
  <c r="AS45" i="16"/>
  <c r="N9" i="14" l="1"/>
  <c r="N13" i="14" s="1"/>
  <c r="T41" i="15" l="1"/>
  <c r="AP19" i="16"/>
  <c r="AS19" i="16"/>
  <c r="AG71" i="16" l="1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39" i="16"/>
  <c r="AJ38" i="16"/>
  <c r="AJ37" i="16"/>
  <c r="AA37" i="16"/>
  <c r="Z37" i="16"/>
  <c r="X37" i="16"/>
  <c r="Y39" i="16" s="1"/>
  <c r="R37" i="16"/>
  <c r="AJ36" i="16"/>
  <c r="AJ35" i="16"/>
  <c r="AJ34" i="16"/>
  <c r="AJ33" i="16"/>
  <c r="AJ32" i="16"/>
  <c r="AJ27" i="16"/>
  <c r="AJ31" i="16"/>
  <c r="AJ30" i="16"/>
  <c r="AJ29" i="16"/>
  <c r="AJ28" i="16"/>
  <c r="AJ26" i="16"/>
  <c r="AJ25" i="16"/>
  <c r="AJ24" i="16"/>
  <c r="AI71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U40" i="16" l="1"/>
  <c r="U43" i="16" s="1"/>
  <c r="U45" i="16" s="1"/>
  <c r="Z43" i="16" s="1"/>
  <c r="Z45" i="16" s="1"/>
  <c r="AJ23" i="16"/>
  <c r="AJ71" i="16" s="1"/>
  <c r="T32" i="15"/>
  <c r="AC124" i="15"/>
  <c r="Z124" i="15"/>
  <c r="C37" i="14" l="1"/>
  <c r="F37" i="14" l="1"/>
  <c r="T23" i="15" l="1"/>
  <c r="AC84" i="15"/>
  <c r="Z84" i="15"/>
  <c r="R73" i="14" l="1"/>
  <c r="T49" i="14" l="1"/>
  <c r="AE46" i="15"/>
  <c r="AE20" i="15"/>
  <c r="AC52" i="15"/>
  <c r="Z52" i="15"/>
  <c r="I37" i="14" l="1"/>
  <c r="L24" i="14"/>
  <c r="L37" i="14" s="1"/>
  <c r="K9" i="14"/>
  <c r="K37" i="14" s="1"/>
  <c r="J39" i="14" l="1"/>
  <c r="R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6" i="15"/>
  <c r="U35" i="15"/>
  <c r="U39" i="15"/>
  <c r="L37" i="15"/>
  <c r="I37" i="15"/>
  <c r="F37" i="15"/>
  <c r="C37" i="15"/>
  <c r="U38" i="15"/>
  <c r="U37" i="15"/>
  <c r="U34" i="15"/>
  <c r="T71" i="15"/>
  <c r="U32" i="15"/>
  <c r="U31" i="15"/>
  <c r="U30" i="15"/>
  <c r="U29" i="15"/>
  <c r="U28" i="15"/>
  <c r="U27" i="15"/>
  <c r="U26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K37" i="15"/>
  <c r="U25" i="15"/>
  <c r="U7" i="15"/>
  <c r="U6" i="15"/>
  <c r="U5" i="15"/>
  <c r="U4" i="15"/>
  <c r="F40" i="14" l="1"/>
  <c r="F43" i="14" s="1"/>
  <c r="F45" i="14" s="1"/>
  <c r="K43" i="14" s="1"/>
  <c r="K45" i="14" s="1"/>
  <c r="J39" i="15"/>
  <c r="F40" i="15" s="1"/>
  <c r="F43" i="15" s="1"/>
  <c r="F45" i="15" s="1"/>
  <c r="K43" i="15" s="1"/>
  <c r="K45" i="15" s="1"/>
  <c r="U33" i="15"/>
  <c r="U71" i="15" s="1"/>
  <c r="T33" i="14"/>
  <c r="AC118" i="14"/>
  <c r="Z118" i="14"/>
  <c r="T57" i="13" l="1"/>
  <c r="R73" i="13" l="1"/>
  <c r="F37" i="13"/>
  <c r="C37" i="13"/>
  <c r="C37" i="12"/>
  <c r="L37" i="12"/>
  <c r="I37" i="13" l="1"/>
  <c r="L28" i="13" l="1"/>
  <c r="L37" i="13" s="1"/>
  <c r="AC92" i="14" l="1"/>
  <c r="Z92" i="14"/>
  <c r="U72" i="14"/>
  <c r="U71" i="14"/>
  <c r="U70" i="14"/>
  <c r="U69" i="14"/>
  <c r="U68" i="14"/>
  <c r="U67" i="14"/>
  <c r="U66" i="14"/>
  <c r="U65" i="14"/>
  <c r="U64" i="14"/>
  <c r="U63" i="14"/>
  <c r="U62" i="14"/>
  <c r="U35" i="14"/>
  <c r="U61" i="14"/>
  <c r="U58" i="14"/>
  <c r="U60" i="14"/>
  <c r="U59" i="14"/>
  <c r="U57" i="14"/>
  <c r="U56" i="14"/>
  <c r="U55" i="14"/>
  <c r="U54" i="14"/>
  <c r="U53" i="14"/>
  <c r="U52" i="14"/>
  <c r="U51" i="14"/>
  <c r="U50" i="14"/>
  <c r="U40" i="14"/>
  <c r="U49" i="14"/>
  <c r="AC46" i="14"/>
  <c r="AC94" i="14" s="1"/>
  <c r="Z46" i="14"/>
  <c r="U48" i="14"/>
  <c r="U47" i="14"/>
  <c r="U46" i="14"/>
  <c r="U45" i="14"/>
  <c r="U44" i="14"/>
  <c r="U43" i="14"/>
  <c r="U42" i="14"/>
  <c r="U41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AC95" i="14" l="1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C37" i="11"/>
  <c r="F40" i="11" l="1"/>
  <c r="F43" i="11" s="1"/>
  <c r="F45" i="11" s="1"/>
  <c r="K43" i="11" l="1"/>
  <c r="K45" i="11" s="1"/>
  <c r="P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F40" i="12" l="1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L37" i="10" l="1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F43" i="10" l="1"/>
  <c r="K43" i="9"/>
  <c r="K45" i="9" s="1"/>
  <c r="F45" i="10"/>
  <c r="K43" i="10" s="1"/>
  <c r="K45" i="10" s="1"/>
  <c r="S4" i="10"/>
  <c r="S73" i="10" s="1"/>
  <c r="J43" i="7" l="1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C37" i="8"/>
  <c r="F41" i="8" l="1"/>
  <c r="F43" i="8" l="1"/>
  <c r="F45" i="8" s="1"/>
  <c r="K43" i="8" s="1"/>
  <c r="K45" i="8" s="1"/>
  <c r="N47" i="7"/>
  <c r="C36" i="7" s="1"/>
  <c r="C37" i="7" s="1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<sst xmlns="http://schemas.openxmlformats.org/spreadsheetml/2006/main" count="2854" uniqueCount="741">
  <si>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</si>
  <si>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</si>
  <si>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</si>
  <si>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</si>
  <si>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</si>
  <si>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</si>
  <si>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</si>
  <si>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</si>
  <si>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</si>
  <si>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</si>
  <si>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</si>
  <si>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</si>
  <si>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</si>
  <si>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</si>
  <si>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</si>
  <si>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</si>
  <si>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</si>
  <si>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</si>
  <si>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</si>
  <si>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</si>
  <si>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</si>
  <si>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</si>
  <si>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</si>
  <si>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</si>
  <si>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</si>
  <si>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</si>
  <si>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</si>
  <si>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</si>
  <si>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</si>
  <si>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</si>
  <si>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</si>
  <si>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</si>
  <si>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</si>
  <si>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</si>
  <si>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</si>
  <si>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</si>
  <si>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</si>
  <si>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</si>
  <si>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</si>
  <si>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</si>
  <si>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</si>
  <si>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</si>
  <si>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</si>
  <si>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</si>
  <si>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</si>
  <si>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</si>
  <si>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</si>
  <si>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</si>
  <si>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</si>
  <si>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</si>
  <si>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</si>
  <si>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</si>
  <si>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</si>
  <si>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</si>
  <si>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</si>
  <si>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</si>
  <si>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</si>
  <si>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</si>
  <si>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</si>
  <si>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</si>
  <si>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</si>
  <si>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</si>
  <si>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</si>
  <si>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</si>
  <si>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</si>
  <si>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</si>
  <si>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</si>
  <si>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</si>
  <si>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</si>
  <si>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</si>
  <si>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</si>
  <si>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</si>
  <si>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</si>
  <si>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</si>
  <si>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</si>
  <si>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</si>
  <si>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</si>
  <si>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</si>
  <si>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</si>
  <si>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</si>
  <si>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</si>
  <si>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</si>
  <si>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</si>
  <si>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</si>
  <si>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</si>
  <si>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</si>
  <si>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</si>
  <si>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</si>
  <si>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</si>
  <si>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</si>
  <si>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</si>
  <si>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</si>
  <si>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</si>
  <si>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</si>
  <si>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</si>
  <si>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</si>
  <si>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</si>
  <si>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</si>
  <si>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</si>
  <si>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</si>
  <si>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</si>
  <si>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</si>
  <si>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</si>
  <si>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</si>
  <si>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</si>
  <si>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</si>
  <si>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</si>
  <si>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</si>
  <si>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</si>
  <si>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</si>
  <si>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</si>
  <si>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</si>
  <si>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</si>
  <si>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</si>
  <si>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</si>
  <si>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</si>
  <si>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</si>
  <si>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</si>
  <si>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</si>
  <si>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</si>
  <si>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</si>
  <si>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</si>
  <si>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</si>
  <si>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</si>
  <si>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</si>
  <si>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</si>
  <si>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</si>
  <si>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</si>
  <si>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</si>
  <si>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</si>
  <si>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</si>
  <si>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</si>
  <si>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</si>
  <si>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</si>
  <si>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</si>
  <si>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</si>
  <si>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</si>
  <si>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</si>
  <si>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</si>
  <si>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</si>
  <si>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</si>
  <si>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</si>
  <si>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</si>
  <si>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</si>
  <si>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</si>
  <si>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</si>
  <si>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</si>
  <si>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</si>
  <si>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</si>
  <si>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</si>
  <si>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</si>
  <si>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</si>
  <si>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</si>
  <si>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</si>
  <si>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</si>
  <si>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</si>
  <si>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</si>
  <si>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</si>
  <si>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</si>
  <si>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</si>
  <si>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</si>
  <si>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</si>
  <si>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</si>
  <si>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</si>
  <si>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</si>
  <si>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</si>
  <si>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</si>
  <si>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</si>
  <si>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</si>
  <si>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</si>
  <si>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</si>
  <si>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</si>
  <si>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</si>
  <si>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</si>
  <si>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</si>
  <si>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</si>
  <si>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</si>
  <si>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</si>
  <si>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</si>
  <si>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</si>
  <si>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</si>
  <si>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</si>
  <si>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</si>
  <si>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</si>
  <si>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</si>
  <si>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</si>
  <si>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</si>
  <si>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</si>
  <si>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</si>
  <si>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</si>
  <si>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</si>
  <si>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</si>
  <si>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</si>
  <si>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</si>
  <si>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</si>
  <si>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</si>
  <si>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</si>
  <si>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</si>
  <si>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</si>
  <si>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</si>
  <si>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</si>
  <si>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</si>
  <si>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</si>
  <si>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</si>
  <si>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</si>
  <si>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</si>
  <si>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</si>
  <si>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</si>
  <si>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</si>
  <si>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</si>
  <si>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</si>
  <si>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</si>
  <si>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</si>
  <si>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</si>
  <si>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</si>
  <si>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</si>
  <si>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</si>
  <si>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</si>
  <si>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</si>
  <si>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</si>
  <si>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</si>
  <si>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</si>
  <si>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</si>
  <si>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</si>
  <si>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</si>
  <si>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</si>
  <si>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</si>
  <si>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</si>
  <si>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</si>
  <si>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</si>
  <si>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</si>
  <si>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</si>
  <si>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</si>
  <si>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</si>
  <si>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</si>
  <si>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</si>
  <si>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</si>
  <si>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</si>
  <si>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</si>
  <si>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</si>
  <si>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</si>
  <si>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</si>
  <si>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</si>
  <si>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</si>
  <si>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</si>
  <si>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</si>
  <si>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</si>
  <si>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</si>
  <si>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</si>
  <si>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</si>
  <si>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</si>
  <si>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</si>
  <si>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</si>
  <si>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</si>
  <si>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</si>
  <si>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</si>
  <si>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</si>
  <si>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</si>
  <si>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</si>
  <si>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</si>
  <si>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</si>
  <si>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</si>
  <si>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</si>
  <si>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</si>
  <si>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</si>
  <si>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</si>
  <si>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</si>
  <si>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</si>
  <si>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</si>
  <si>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</si>
  <si>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</si>
  <si>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</si>
  <si>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</si>
  <si>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</si>
  <si>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</si>
  <si>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</si>
  <si>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</si>
  <si>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</si>
  <si>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</si>
  <si>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</si>
  <si>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</si>
  <si>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</si>
  <si>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</si>
  <si>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</si>
  <si>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</si>
  <si>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</si>
  <si>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</si>
  <si>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</si>
  <si>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</si>
  <si>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</si>
  <si>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</si>
  <si>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</si>
  <si>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</si>
  <si>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</si>
  <si>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</si>
  <si>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</si>
  <si>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</si>
  <si>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</si>
  <si>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</si>
  <si>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</si>
  <si>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</si>
  <si>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</si>
  <si>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</si>
  <si>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</si>
  <si>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</si>
  <si>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</si>
  <si>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</si>
  <si>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</si>
  <si>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</si>
  <si>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</si>
  <si>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</si>
  <si>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</si>
  <si>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</si>
  <si>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</si>
  <si>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</si>
  <si>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</si>
  <si>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</si>
  <si>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</si>
  <si>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</si>
  <si>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</si>
  <si>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</si>
  <si>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</si>
  <si>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</si>
  <si>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</si>
  <si>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</si>
  <si>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</si>
  <si>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</si>
  <si>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</si>
  <si>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</si>
  <si>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</si>
  <si>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</si>
  <si>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</si>
  <si>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</si>
  <si>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</si>
  <si>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</si>
  <si>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</si>
  <si>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</si>
  <si>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</si>
  <si>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</si>
  <si>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</si>
  <si>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</si>
  <si>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</si>
  <si>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</si>
  <si>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</si>
  <si>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</si>
  <si>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</si>
  <si>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</si>
  <si>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</si>
  <si>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</si>
  <si>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</si>
  <si>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</si>
  <si>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</si>
  <si>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</si>
  <si>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</si>
  <si>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</si>
  <si>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</si>
  <si>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</si>
  <si>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</si>
  <si>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</si>
  <si>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</si>
  <si>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</si>
  <si>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</si>
  <si>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</si>
  <si>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</si>
  <si>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</si>
  <si>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</si>
  <si>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</si>
  <si>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</si>
  <si>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</si>
  <si>
    <t>1558 A</t>
  </si>
  <si>
    <t>1892 A</t>
  </si>
  <si>
    <t>1893 A</t>
  </si>
  <si>
    <t>1974 A</t>
  </si>
  <si>
    <t>2002 A</t>
  </si>
  <si>
    <t>2017 A</t>
  </si>
  <si>
    <t>2116 A</t>
  </si>
  <si>
    <t>2223 A</t>
  </si>
  <si>
    <t>2248 A</t>
  </si>
  <si>
    <t>2251 A</t>
  </si>
  <si>
    <t>2331 A</t>
  </si>
  <si>
    <t>2359 A</t>
  </si>
  <si>
    <t>2281 A</t>
  </si>
  <si>
    <t>2439 A</t>
  </si>
  <si>
    <t>2553 A</t>
  </si>
  <si>
    <t>2561 A</t>
  </si>
  <si>
    <t>2570 A</t>
  </si>
  <si>
    <t>2385 A</t>
  </si>
  <si>
    <t>2788 A</t>
  </si>
  <si>
    <t>2790 A</t>
  </si>
  <si>
    <t>2869 A</t>
  </si>
  <si>
    <t>2874 A</t>
  </si>
  <si>
    <t>2680 A</t>
  </si>
  <si>
    <t>2902 A</t>
  </si>
  <si>
    <t>3002 A</t>
  </si>
  <si>
    <t xml:space="preserve">TOCINO </t>
  </si>
  <si>
    <t>LUZ  Julio</t>
  </si>
  <si>
    <t>Delantero-Chuletas</t>
  </si>
  <si>
    <t>Albicia-pecho-chuleta</t>
  </si>
  <si>
    <t>TOCINO--Sancocho</t>
  </si>
  <si>
    <t>Albicia--tripas</t>
  </si>
  <si>
    <t>NOMINA 27</t>
  </si>
  <si>
    <t>NOMINA 28</t>
  </si>
  <si>
    <t>NOMINA 29</t>
  </si>
  <si>
    <t>NOMINA 30</t>
  </si>
  <si>
    <t>chuleta-sancocho-tripas</t>
  </si>
  <si>
    <t>Res--Albicia</t>
  </si>
  <si>
    <t>Cabezas</t>
  </si>
  <si>
    <t>Albicia-Sancocho</t>
  </si>
  <si>
    <t>costilla-bisteck</t>
  </si>
  <si>
    <t>combos</t>
  </si>
  <si>
    <t>Res ---Capotes</t>
  </si>
  <si>
    <t>21-JUN--27-JUN</t>
  </si>
  <si>
    <t>0833 A</t>
  </si>
  <si>
    <t>03-Jul --23-Jul</t>
  </si>
  <si>
    <t>3106 A</t>
  </si>
  <si>
    <t>3226 A</t>
  </si>
  <si>
    <t>3356 A</t>
  </si>
  <si>
    <t>3436 A</t>
  </si>
  <si>
    <t>3493 A</t>
  </si>
  <si>
    <t>3528 A</t>
  </si>
  <si>
    <t>3100 A</t>
  </si>
  <si>
    <t>3664 A</t>
  </si>
  <si>
    <t>3761 A</t>
  </si>
  <si>
    <t>3926 A</t>
  </si>
  <si>
    <t>3775 A</t>
  </si>
  <si>
    <t>3804 A</t>
  </si>
  <si>
    <t>3849 A</t>
  </si>
  <si>
    <t>3859 A</t>
  </si>
  <si>
    <t>3867 A</t>
  </si>
  <si>
    <t>3973 A</t>
  </si>
  <si>
    <t>3998 A</t>
  </si>
  <si>
    <t>4090 A</t>
  </si>
  <si>
    <t>4130 A</t>
  </si>
  <si>
    <t>Chuleta --sancocho</t>
  </si>
  <si>
    <t>canal-cuero</t>
  </si>
  <si>
    <t>RES--TOCINO</t>
  </si>
  <si>
    <t xml:space="preserve">23-Jul -1-Ago </t>
  </si>
  <si>
    <t>3099 A</t>
  </si>
  <si>
    <t xml:space="preserve">BALANCE    DE   AGOSTO       2015    C O M E R C I O </t>
  </si>
  <si>
    <t>4030 A</t>
  </si>
  <si>
    <t>4223 A</t>
  </si>
  <si>
    <t>4237 A</t>
  </si>
  <si>
    <t>4275 A</t>
  </si>
  <si>
    <t>4291 A</t>
  </si>
  <si>
    <t>4326 A</t>
  </si>
  <si>
    <t>4403 A</t>
  </si>
  <si>
    <t>4507 A</t>
  </si>
  <si>
    <t>4589 A</t>
  </si>
  <si>
    <t>4597 A</t>
  </si>
  <si>
    <t>4699 A</t>
  </si>
  <si>
    <t>4733 A</t>
  </si>
  <si>
    <t>4754 A</t>
  </si>
  <si>
    <t>4832 A</t>
  </si>
  <si>
    <t>4929 A</t>
  </si>
  <si>
    <t>4965 A</t>
  </si>
  <si>
    <t>5062 A</t>
  </si>
  <si>
    <t>5153 A</t>
  </si>
  <si>
    <t>5103 A</t>
  </si>
  <si>
    <t>5321 A</t>
  </si>
  <si>
    <t>5261 A</t>
  </si>
  <si>
    <t>5282 A</t>
  </si>
  <si>
    <t>2850 A</t>
  </si>
  <si>
    <t>5366 A</t>
  </si>
  <si>
    <t>NOMINA 31</t>
  </si>
  <si>
    <t>NOMINA 32</t>
  </si>
  <si>
    <t>NOMINA 33</t>
  </si>
  <si>
    <t>NOMINA 34</t>
  </si>
  <si>
    <t>jamon</t>
  </si>
  <si>
    <t>Res--Capotes</t>
  </si>
  <si>
    <t>Albicia--pecho</t>
  </si>
  <si>
    <t>Santander</t>
  </si>
  <si>
    <t>01-Ago--14-Ago</t>
  </si>
  <si>
    <t>5462 A</t>
  </si>
  <si>
    <t>5486 A</t>
  </si>
  <si>
    <t>5596 A</t>
  </si>
  <si>
    <t>5732 A</t>
  </si>
  <si>
    <t>5831 A</t>
  </si>
  <si>
    <t>5975 A</t>
  </si>
  <si>
    <t>5445 A</t>
  </si>
  <si>
    <t>5446 A</t>
  </si>
  <si>
    <t>6113 A</t>
  </si>
  <si>
    <t>6132 A</t>
  </si>
  <si>
    <t>6149 A</t>
  </si>
  <si>
    <t>6261 A</t>
  </si>
  <si>
    <t>res herrera</t>
  </si>
  <si>
    <t>Albicia-sancocho</t>
  </si>
  <si>
    <t>Res-Jamon-Albicia</t>
  </si>
  <si>
    <t>cecina</t>
  </si>
  <si>
    <t>Albicia -Delantero</t>
  </si>
  <si>
    <t>Res --ALBICIA</t>
  </si>
  <si>
    <t xml:space="preserve">14-ago --22-Ago </t>
  </si>
  <si>
    <t>6125 A</t>
  </si>
  <si>
    <t>6126 A</t>
  </si>
  <si>
    <t>6528 A</t>
  </si>
  <si>
    <t>6552 A</t>
  </si>
  <si>
    <t>6571 A</t>
  </si>
  <si>
    <t>6659 A</t>
  </si>
  <si>
    <t>6710 A</t>
  </si>
  <si>
    <t>LUZ  17-Ago</t>
  </si>
  <si>
    <t>tripas-pecho-albicia</t>
  </si>
  <si>
    <t>CAPOTE-PECHO-RES</t>
  </si>
  <si>
    <t>canales-cuero-albicia</t>
  </si>
  <si>
    <t>chuleta</t>
  </si>
  <si>
    <t xml:space="preserve">22-Ago --26-Ago </t>
  </si>
  <si>
    <t>6909 A</t>
  </si>
  <si>
    <t>6930 A</t>
  </si>
  <si>
    <t>7019 A</t>
  </si>
  <si>
    <t>7199 A</t>
  </si>
  <si>
    <t>7249 A</t>
  </si>
  <si>
    <t>7281 A</t>
  </si>
  <si>
    <t>7370 A</t>
  </si>
  <si>
    <t>7479 A</t>
  </si>
  <si>
    <t>7499 A</t>
  </si>
  <si>
    <t>7542 A</t>
  </si>
  <si>
    <t>7612 A</t>
  </si>
  <si>
    <t xml:space="preserve">BALANCE    DE  SEPTIEMBRE       2015    C O M E R C I O </t>
  </si>
  <si>
    <t>7636 A</t>
  </si>
  <si>
    <t>7738 A</t>
  </si>
  <si>
    <t xml:space="preserve">cuero </t>
  </si>
  <si>
    <t>grasa-jamonpecho</t>
  </si>
  <si>
    <t>papada-canal-sancocho</t>
  </si>
  <si>
    <t>CUERO-JAMON-ALBICIA</t>
  </si>
  <si>
    <t>SEMANA 35</t>
  </si>
  <si>
    <t>pata--sancocho--albicia</t>
  </si>
  <si>
    <t xml:space="preserve">26-Ago --03-Sep </t>
  </si>
  <si>
    <t>COSTILLA--Res--Albicia</t>
  </si>
  <si>
    <t>faltante MARY ARROYO</t>
  </si>
  <si>
    <t>7119 A</t>
  </si>
  <si>
    <t>7120 A</t>
  </si>
  <si>
    <t>FONDO DE CAJA 2,000.00</t>
  </si>
  <si>
    <t>7840 A</t>
  </si>
  <si>
    <t xml:space="preserve">03-Sep --04-Sep </t>
  </si>
  <si>
    <t>7977-A</t>
  </si>
  <si>
    <t>8053-A</t>
  </si>
  <si>
    <t>8074-A</t>
  </si>
  <si>
    <t>8091-A</t>
  </si>
  <si>
    <t>8111-A</t>
  </si>
  <si>
    <t>8147-A</t>
  </si>
  <si>
    <t>8284 A</t>
  </si>
  <si>
    <t>8313 A</t>
  </si>
  <si>
    <t>8417 A</t>
  </si>
  <si>
    <t>8478 A</t>
  </si>
  <si>
    <t>8520 A</t>
  </si>
  <si>
    <t>grasa</t>
  </si>
  <si>
    <t>sancocho--Albicia</t>
  </si>
  <si>
    <t>GRASA--PAPADA</t>
  </si>
  <si>
    <t>Res-Albicia</t>
  </si>
  <si>
    <t>NOMINA 36</t>
  </si>
  <si>
    <t>NOMINA 37</t>
  </si>
  <si>
    <t>NOMINA 38</t>
  </si>
  <si>
    <t>NOMINA 39</t>
  </si>
  <si>
    <t>8702 A</t>
  </si>
  <si>
    <t>8780 A</t>
  </si>
  <si>
    <t>8916 A</t>
  </si>
  <si>
    <t>8960 A</t>
  </si>
  <si>
    <t xml:space="preserve">04-Sep --12-Sep </t>
  </si>
  <si>
    <t>8881 A</t>
  </si>
  <si>
    <t>9303 A</t>
  </si>
  <si>
    <t>9384 A</t>
  </si>
  <si>
    <t>9390 A</t>
  </si>
  <si>
    <t>9412 A</t>
  </si>
  <si>
    <t>9466 A</t>
  </si>
  <si>
    <t>9532 A</t>
  </si>
  <si>
    <t xml:space="preserve">Sancocho   </t>
  </si>
  <si>
    <t>Cabeza --Albicia</t>
  </si>
  <si>
    <t>CENTRAL-PECHO-CABEZA</t>
  </si>
  <si>
    <t>Jamon-sancocho-Res</t>
  </si>
  <si>
    <t>9559 A</t>
  </si>
  <si>
    <t xml:space="preserve">12-Sep--18-Sep </t>
  </si>
  <si>
    <t>9728 A</t>
  </si>
  <si>
    <t>9846 A</t>
  </si>
  <si>
    <t>9453 A</t>
  </si>
  <si>
    <t>9883 A</t>
  </si>
  <si>
    <t>9942 A</t>
  </si>
  <si>
    <t>9972 A</t>
  </si>
  <si>
    <t xml:space="preserve">18-Sep --21-Sep </t>
  </si>
  <si>
    <t>Albicia-Chorizo-cuero</t>
  </si>
  <si>
    <t>10072 A</t>
  </si>
  <si>
    <t xml:space="preserve">21-Sep --23-Sep </t>
  </si>
  <si>
    <t>10519 A</t>
  </si>
  <si>
    <t>10525 A</t>
  </si>
  <si>
    <t>10532 A</t>
  </si>
  <si>
    <t>Chuleta ahum</t>
  </si>
  <si>
    <t>10408 A</t>
  </si>
  <si>
    <t xml:space="preserve">23-Sep ---26-Sep </t>
  </si>
  <si>
    <t>10549 A</t>
  </si>
  <si>
    <t>10656 A</t>
  </si>
  <si>
    <t>10742 A</t>
  </si>
  <si>
    <t>10756 A</t>
  </si>
  <si>
    <t xml:space="preserve">26-Sep --29-Sep </t>
  </si>
  <si>
    <t>LUZ  24-Sept</t>
  </si>
  <si>
    <t xml:space="preserve">Cabeza   </t>
  </si>
  <si>
    <t>Chuleta--Albicia</t>
  </si>
  <si>
    <t>patas-+cabeza</t>
  </si>
  <si>
    <t>10831 A</t>
  </si>
  <si>
    <t xml:space="preserve">29-Sep --30-Sep </t>
  </si>
  <si>
    <t>10977 A</t>
  </si>
  <si>
    <t>10969 A</t>
  </si>
  <si>
    <t>11081 A</t>
  </si>
  <si>
    <t>11090 A</t>
  </si>
  <si>
    <t>11357 A</t>
  </si>
  <si>
    <t xml:space="preserve">30-Sep --03-Oct </t>
  </si>
  <si>
    <t>11472 A</t>
  </si>
  <si>
    <t>11557 A</t>
  </si>
  <si>
    <t>11686 A</t>
  </si>
  <si>
    <t>11898 A</t>
  </si>
  <si>
    <t>12008 A</t>
  </si>
  <si>
    <t>12132 A</t>
  </si>
  <si>
    <t>12135 A</t>
  </si>
  <si>
    <t>12160 A</t>
  </si>
  <si>
    <t>12249 A</t>
  </si>
  <si>
    <t>12242 A</t>
  </si>
  <si>
    <t>12339 A</t>
  </si>
  <si>
    <t>12359 A</t>
  </si>
  <si>
    <t>12357 A</t>
  </si>
  <si>
    <t xml:space="preserve">03-Oct ---12-Oct </t>
  </si>
  <si>
    <t>12266 A</t>
  </si>
  <si>
    <t>12276 A</t>
  </si>
  <si>
    <t>12458 A</t>
  </si>
  <si>
    <t>12462 A</t>
  </si>
  <si>
    <t>12485 A</t>
  </si>
  <si>
    <t>12564 A</t>
  </si>
  <si>
    <t>12568 A</t>
  </si>
  <si>
    <t>12616 A</t>
  </si>
  <si>
    <t>NOMINA 41</t>
  </si>
  <si>
    <t>NOMINA 42</t>
  </si>
  <si>
    <t>11795 A</t>
  </si>
  <si>
    <t>12613 A</t>
  </si>
  <si>
    <t>12746 A</t>
  </si>
  <si>
    <t>12832 A</t>
  </si>
  <si>
    <t>12834 A</t>
  </si>
  <si>
    <t>transfer</t>
  </si>
  <si>
    <t xml:space="preserve">12-Oct --16-Oct </t>
  </si>
  <si>
    <t>camara comercio</t>
  </si>
  <si>
    <t>BUJES NISSAN</t>
  </si>
  <si>
    <t>12881 A</t>
  </si>
  <si>
    <t>12967 A</t>
  </si>
  <si>
    <t>13036 A</t>
  </si>
  <si>
    <t>13059 A</t>
  </si>
  <si>
    <t>13139 A</t>
  </si>
  <si>
    <t>13267 A</t>
  </si>
  <si>
    <t>C</t>
  </si>
  <si>
    <t xml:space="preserve">16-Oct --19-Oct </t>
  </si>
  <si>
    <t>13387 A</t>
  </si>
  <si>
    <t>13415 A</t>
  </si>
  <si>
    <t>13513 A</t>
  </si>
  <si>
    <t>13511 A</t>
  </si>
  <si>
    <t>13633 A</t>
  </si>
  <si>
    <t>Sin remision</t>
  </si>
  <si>
    <t xml:space="preserve">19-Oct --23-Oct </t>
  </si>
  <si>
    <t>13709 A</t>
  </si>
  <si>
    <t>13774 A</t>
  </si>
  <si>
    <t>13943 A</t>
  </si>
  <si>
    <t>13921 A</t>
  </si>
  <si>
    <t>14123 A</t>
  </si>
  <si>
    <t xml:space="preserve">23-Oct--26-Oct </t>
  </si>
  <si>
    <t>14149 A</t>
  </si>
  <si>
    <t xml:space="preserve">26-Oct --29-Oct </t>
  </si>
  <si>
    <t>14434 A</t>
  </si>
  <si>
    <t>14642 A</t>
  </si>
  <si>
    <t>14862 A</t>
  </si>
  <si>
    <t>14871 A</t>
  </si>
  <si>
    <t>14889 A</t>
  </si>
  <si>
    <t xml:space="preserve">BALANCE    DE  NOVIEMBRE        2015    C O M E R C I O </t>
  </si>
  <si>
    <t>15059 A</t>
  </si>
  <si>
    <t>15170 A</t>
  </si>
  <si>
    <t>15374 A</t>
  </si>
  <si>
    <t>15005 A</t>
  </si>
  <si>
    <t>15034 A</t>
  </si>
  <si>
    <t xml:space="preserve">29-Oct--04-Nov </t>
  </si>
  <si>
    <t>sin firma</t>
  </si>
  <si>
    <t>15730 A</t>
  </si>
  <si>
    <t>15620 A</t>
  </si>
  <si>
    <t>15967 A</t>
  </si>
  <si>
    <t>15874 A</t>
  </si>
  <si>
    <t>16000 A</t>
  </si>
  <si>
    <t xml:space="preserve">04-Nov -10-Nov </t>
  </si>
  <si>
    <t>16105 A</t>
  </si>
  <si>
    <t>16433 A</t>
  </si>
  <si>
    <t>resto</t>
  </si>
  <si>
    <t xml:space="preserve">10-Nov --12-Nov </t>
  </si>
  <si>
    <t>16654 A</t>
  </si>
  <si>
    <t>16655 A</t>
  </si>
  <si>
    <t>16672 A</t>
  </si>
  <si>
    <t xml:space="preserve">12-Nov --13-Nov </t>
  </si>
  <si>
    <t>pecho--albicia</t>
  </si>
  <si>
    <t>chuleta-pecho</t>
  </si>
  <si>
    <t>NOMINA 46</t>
  </si>
  <si>
    <t>NOMINA 47</t>
  </si>
  <si>
    <t xml:space="preserve">Chuleta  </t>
  </si>
  <si>
    <t>cubo</t>
  </si>
  <si>
    <t xml:space="preserve">BALANCE    DE  OCTUBRE       2015    C O M E R C I O </t>
  </si>
  <si>
    <t>ALBICIA-ABIERTA</t>
  </si>
  <si>
    <t xml:space="preserve">ALBICIA  </t>
  </si>
  <si>
    <t>Chuleta Nat</t>
  </si>
  <si>
    <t>Res --chuleta</t>
  </si>
  <si>
    <t>CUERO-SUADERO-ALBICIA</t>
  </si>
  <si>
    <t xml:space="preserve">ALBERTO 20-Oct </t>
  </si>
  <si>
    <t>Pecho--Albicia</t>
  </si>
  <si>
    <t>Central</t>
  </si>
  <si>
    <t>Sancocho--Albicia</t>
  </si>
  <si>
    <t>lomo-grasa-albicia</t>
  </si>
  <si>
    <t>chuletas</t>
  </si>
  <si>
    <t>TRIPAS</t>
  </si>
  <si>
    <t xml:space="preserve">LUZ  13-Nov </t>
  </si>
  <si>
    <t>de - 200.00</t>
  </si>
  <si>
    <t>de + 200.00</t>
  </si>
  <si>
    <t>16840 A</t>
  </si>
  <si>
    <t>16933 A</t>
  </si>
  <si>
    <t>16975 A</t>
  </si>
  <si>
    <t>17021 A</t>
  </si>
  <si>
    <t>17077 A</t>
  </si>
  <si>
    <t>17145 A</t>
  </si>
  <si>
    <t xml:space="preserve">GANANCIA </t>
  </si>
  <si>
    <t>17364 A</t>
  </si>
  <si>
    <t>17373 A</t>
  </si>
  <si>
    <t>17516 A</t>
  </si>
  <si>
    <t>13-Nov --19-Nov</t>
  </si>
  <si>
    <t>17675 A</t>
  </si>
  <si>
    <t>17877 A</t>
  </si>
  <si>
    <t>18000 A</t>
  </si>
  <si>
    <t>18120 A</t>
  </si>
  <si>
    <t xml:space="preserve">19-Nov--24-Nov </t>
  </si>
  <si>
    <t>18381 A</t>
  </si>
  <si>
    <t>18674 A</t>
  </si>
  <si>
    <t>18756 A</t>
  </si>
  <si>
    <t>pierna-chul--proledo</t>
  </si>
  <si>
    <t>burro</t>
  </si>
  <si>
    <t>pollo</t>
  </si>
  <si>
    <t xml:space="preserve">Albicia "CENTRAL" 17-Nov </t>
  </si>
  <si>
    <t>cabeza de lomo--chuleta-tocino</t>
  </si>
  <si>
    <t>Cabeza de lomo--Espinazo</t>
  </si>
  <si>
    <t>18905 A</t>
  </si>
  <si>
    <t>18958 A</t>
  </si>
  <si>
    <t>19063 A</t>
  </si>
  <si>
    <t>19203 A</t>
  </si>
  <si>
    <t>19220 A</t>
  </si>
  <si>
    <t>RESTO</t>
  </si>
  <si>
    <t xml:space="preserve">24-Nov --02-Dic </t>
  </si>
  <si>
    <t>sancocho--caporte</t>
  </si>
  <si>
    <t>faltante de $ 2,296.20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</si>
</sst>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00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0" fontId="1" fillId="0" borderId="12" xfId="0" applyFont="1" applyFill="1" applyBorder="1"/>
    <xf numFmtId="0" fontId="31" fillId="0" borderId="25" xfId="0" applyFont="1" applyFill="1" applyBorder="1" applyAlignment="1">
      <alignment horizontal="center"/>
    </xf>
    <xf numFmtId="0" fontId="18" fillId="0" borderId="31" xfId="0" applyFont="1" applyFill="1" applyBorder="1"/>
    <xf numFmtId="44" fontId="18" fillId="0" borderId="25" xfId="1" applyFont="1" applyFill="1" applyBorder="1"/>
    <xf numFmtId="14" fontId="1" fillId="0" borderId="31" xfId="0" applyNumberFormat="1" applyFont="1" applyFill="1" applyBorder="1"/>
    <xf numFmtId="1" fontId="26" fillId="0" borderId="25" xfId="0" applyNumberFormat="1" applyFont="1" applyFill="1" applyBorder="1" applyAlignment="1">
      <alignment horizontal="center"/>
    </xf>
    <xf numFmtId="18" fontId="26" fillId="0" borderId="25" xfId="0" applyNumberFormat="1" applyFont="1" applyFill="1" applyBorder="1" applyAlignment="1">
      <alignment horizontal="center"/>
    </xf>
    <xf numFmtId="44" fontId="18" fillId="0" borderId="32" xfId="1" applyFont="1" applyFill="1" applyBorder="1"/>
    <xf numFmtId="44" fontId="0" fillId="0" borderId="0" xfId="0" applyNumberFormat="1" applyFill="1"/>
    <xf numFmtId="44" fontId="1" fillId="10" borderId="0" xfId="1" applyFont="1" applyFill="1" applyBorder="1"/>
    <xf numFmtId="0" fontId="2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1" fillId="9" borderId="35" xfId="1" applyNumberFormat="1" applyFont="1" applyFill="1" applyBorder="1" applyAlignment="1">
      <alignment horizontal="center"/>
    </xf>
    <xf numFmtId="165" fontId="23" fillId="9" borderId="35" xfId="1" applyNumberFormat="1" applyFont="1" applyFill="1" applyBorder="1" applyAlignment="1">
      <alignment horizontal="center"/>
    </xf>
    <xf numFmtId="165" fontId="23" fillId="11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6" borderId="31" xfId="0" applyNumberFormat="1" applyFont="1" applyFill="1" applyBorder="1" applyAlignment="1">
      <alignment horizontal="center"/>
    </xf>
    <xf numFmtId="164" fontId="18" fillId="6" borderId="25" xfId="0" applyNumberFormat="1" applyFont="1" applyFill="1" applyBorder="1"/>
    <xf numFmtId="165" fontId="1" fillId="0" borderId="31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20" fillId="0" borderId="2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4" fontId="1" fillId="12" borderId="0" xfId="1" applyFont="1" applyFill="1" applyBorder="1"/>
    <xf numFmtId="164" fontId="0" fillId="0" borderId="0" xfId="0" applyNumberFormat="1" applyFont="1" applyFill="1"/>
    <xf numFmtId="44" fontId="0" fillId="2" borderId="0" xfId="1" applyFont="1" applyFill="1"/>
    <xf numFmtId="165" fontId="27" fillId="0" borderId="0" xfId="0" applyNumberFormat="1" applyFont="1" applyFill="1" applyBorder="1"/>
    <xf numFmtId="165" fontId="23" fillId="13" borderId="35" xfId="1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165" fontId="23" fillId="8" borderId="35" xfId="1" applyNumberFormat="1" applyFont="1" applyFill="1" applyBorder="1" applyAlignment="1">
      <alignment horizontal="center"/>
    </xf>
    <xf numFmtId="1" fontId="6" fillId="0" borderId="3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24" fillId="0" borderId="25" xfId="0" applyNumberFormat="1" applyFont="1" applyFill="1" applyBorder="1" applyAlignment="1">
      <alignment horizontal="center"/>
    </xf>
    <xf numFmtId="165" fontId="23" fillId="5" borderId="35" xfId="1" applyNumberFormat="1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164" fontId="18" fillId="0" borderId="53" xfId="0" applyNumberFormat="1" applyFont="1" applyFill="1" applyBorder="1"/>
    <xf numFmtId="0" fontId="0" fillId="0" borderId="52" xfId="0" applyFill="1" applyBorder="1"/>
    <xf numFmtId="0" fontId="1" fillId="0" borderId="52" xfId="0" applyFont="1" applyFill="1" applyBorder="1" applyAlignment="1">
      <alignment horizontal="center"/>
    </xf>
    <xf numFmtId="44" fontId="0" fillId="0" borderId="52" xfId="1" applyFont="1" applyFill="1" applyBorder="1"/>
    <xf numFmtId="165" fontId="0" fillId="0" borderId="52" xfId="0" applyNumberFormat="1" applyFont="1" applyFill="1" applyBorder="1"/>
    <xf numFmtId="44" fontId="21" fillId="0" borderId="0" xfId="1" applyFont="1" applyFill="1" applyBorder="1"/>
    <xf numFmtId="0" fontId="0" fillId="12" borderId="0" xfId="0" applyFill="1"/>
    <xf numFmtId="164" fontId="1" fillId="0" borderId="0" xfId="1" applyNumberFormat="1" applyFont="1" applyFill="1" applyBorder="1"/>
    <xf numFmtId="44" fontId="32" fillId="3" borderId="0" xfId="1" applyFont="1" applyFill="1"/>
    <xf numFmtId="0" fontId="33" fillId="3" borderId="0" xfId="0" applyFont="1" applyFill="1"/>
    <xf numFmtId="165" fontId="32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165" fontId="23" fillId="6" borderId="35" xfId="1" applyNumberFormat="1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52" xfId="0" applyBorder="1"/>
    <xf numFmtId="0" fontId="0" fillId="0" borderId="52" xfId="0" applyBorder="1" applyAlignment="1">
      <alignment horizontal="center"/>
    </xf>
    <xf numFmtId="44" fontId="0" fillId="0" borderId="52" xfId="1" applyFont="1" applyBorder="1"/>
    <xf numFmtId="165" fontId="0" fillId="0" borderId="52" xfId="0" applyNumberFormat="1" applyBorder="1"/>
    <xf numFmtId="44" fontId="23" fillId="0" borderId="0" xfId="1" applyFont="1" applyBorder="1"/>
    <xf numFmtId="1" fontId="6" fillId="0" borderId="39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44" fontId="21" fillId="0" borderId="24" xfId="1" applyFont="1" applyBorder="1"/>
    <xf numFmtId="165" fontId="1" fillId="0" borderId="24" xfId="0" applyNumberFormat="1" applyFont="1" applyBorder="1"/>
    <xf numFmtId="165" fontId="23" fillId="14" borderId="35" xfId="1" applyNumberFormat="1" applyFont="1" applyFill="1" applyBorder="1" applyAlignment="1">
      <alignment horizontal="center"/>
    </xf>
    <xf numFmtId="165" fontId="23" fillId="2" borderId="35" xfId="1" applyNumberFormat="1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2" fillId="0" borderId="52" xfId="1" applyFont="1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52" xfId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164" fontId="18" fillId="4" borderId="25" xfId="0" applyNumberFormat="1" applyFont="1" applyFill="1" applyBorder="1"/>
    <xf numFmtId="164" fontId="19" fillId="4" borderId="27" xfId="0" applyNumberFormat="1" applyFont="1" applyFill="1" applyBorder="1"/>
    <xf numFmtId="0" fontId="34" fillId="3" borderId="12" xfId="0" applyFont="1" applyFill="1" applyBorder="1"/>
    <xf numFmtId="164" fontId="1" fillId="0" borderId="0" xfId="1" applyNumberFormat="1" applyFont="1"/>
    <xf numFmtId="165" fontId="23" fillId="3" borderId="35" xfId="1" applyNumberFormat="1" applyFont="1" applyFill="1" applyBorder="1" applyAlignment="1">
      <alignment horizontal="center"/>
    </xf>
    <xf numFmtId="165" fontId="34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44" fontId="18" fillId="0" borderId="31" xfId="1" applyFont="1" applyFill="1" applyBorder="1"/>
    <xf numFmtId="164" fontId="21" fillId="0" borderId="0" xfId="1" applyNumberFormat="1" applyFont="1" applyBorder="1"/>
    <xf numFmtId="16" fontId="0" fillId="0" borderId="31" xfId="0" applyNumberFormat="1" applyBorder="1"/>
    <xf numFmtId="0" fontId="0" fillId="0" borderId="33" xfId="0" applyBorder="1"/>
    <xf numFmtId="44" fontId="0" fillId="0" borderId="33" xfId="1" applyFont="1" applyBorder="1"/>
    <xf numFmtId="0" fontId="0" fillId="0" borderId="33" xfId="0" applyBorder="1" applyAlignment="1">
      <alignment horizontal="center"/>
    </xf>
    <xf numFmtId="165" fontId="0" fillId="0" borderId="33" xfId="0" applyNumberFormat="1" applyBorder="1"/>
    <xf numFmtId="0" fontId="13" fillId="0" borderId="12" xfId="0" applyFont="1" applyFill="1" applyBorder="1"/>
    <xf numFmtId="16" fontId="1" fillId="0" borderId="12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9" xfId="0" applyFill="1" applyBorder="1" applyAlignment="1">
      <alignment horizontal="center"/>
    </xf>
    <xf numFmtId="44" fontId="0" fillId="0" borderId="39" xfId="1" applyFont="1" applyFill="1" applyBorder="1"/>
    <xf numFmtId="44" fontId="18" fillId="0" borderId="0" xfId="1" applyFont="1" applyFill="1" applyBorder="1"/>
    <xf numFmtId="44" fontId="18" fillId="0" borderId="53" xfId="1" applyFont="1" applyFill="1" applyBorder="1"/>
    <xf numFmtId="164" fontId="18" fillId="12" borderId="0" xfId="0" applyNumberFormat="1" applyFont="1" applyFill="1" applyBorder="1"/>
    <xf numFmtId="165" fontId="23" fillId="7" borderId="35" xfId="1" applyNumberFormat="1" applyFont="1" applyFill="1" applyBorder="1" applyAlignment="1">
      <alignment horizontal="center"/>
    </xf>
    <xf numFmtId="164" fontId="1" fillId="0" borderId="31" xfId="0" applyNumberFormat="1" applyFont="1" applyFill="1" applyBorder="1"/>
    <xf numFmtId="0" fontId="1" fillId="12" borderId="0" xfId="0" applyFont="1" applyFill="1"/>
    <xf numFmtId="165" fontId="23" fillId="15" borderId="35" xfId="1" applyNumberFormat="1" applyFont="1" applyFill="1" applyBorder="1" applyAlignment="1">
      <alignment horizontal="center"/>
    </xf>
    <xf numFmtId="0" fontId="24" fillId="0" borderId="39" xfId="0" applyFont="1" applyFill="1" applyBorder="1" applyAlignment="1">
      <alignment horizontal="center"/>
    </xf>
    <xf numFmtId="1" fontId="6" fillId="0" borderId="25" xfId="1" applyNumberFormat="1" applyFont="1" applyFill="1" applyBorder="1" applyAlignment="1">
      <alignment horizontal="center"/>
    </xf>
    <xf numFmtId="164" fontId="18" fillId="0" borderId="39" xfId="0" applyNumberFormat="1" applyFont="1" applyFill="1" applyBorder="1"/>
    <xf numFmtId="44" fontId="21" fillId="0" borderId="25" xfId="1" applyFont="1" applyFill="1" applyBorder="1" applyAlignment="1">
      <alignment horizontal="center"/>
    </xf>
    <xf numFmtId="0" fontId="24" fillId="0" borderId="34" xfId="0" applyFont="1" applyFill="1" applyBorder="1" applyAlignment="1">
      <alignment horizontal="center"/>
    </xf>
    <xf numFmtId="44" fontId="18" fillId="0" borderId="34" xfId="1" applyFont="1" applyFill="1" applyBorder="1"/>
    <xf numFmtId="0" fontId="0" fillId="0" borderId="33" xfId="0" applyFill="1" applyBorder="1" applyAlignment="1">
      <alignment horizontal="center"/>
    </xf>
    <xf numFmtId="44" fontId="0" fillId="0" borderId="33" xfId="1" applyFont="1" applyFill="1" applyBorder="1"/>
    <xf numFmtId="165" fontId="0" fillId="0" borderId="33" xfId="0" applyNumberFormat="1" applyFont="1" applyFill="1" applyBorder="1"/>
    <xf numFmtId="0" fontId="4" fillId="0" borderId="0" xfId="0" applyFont="1" applyAlignment="1">
      <alignment horizontal="center"/>
    </xf>
    <xf numFmtId="44" fontId="1" fillId="6" borderId="0" xfId="1" applyFont="1" applyFill="1" applyBorder="1"/>
    <xf numFmtId="0" fontId="24" fillId="4" borderId="25" xfId="0" applyFont="1" applyFill="1" applyBorder="1" applyAlignment="1">
      <alignment horizontal="center"/>
    </xf>
    <xf numFmtId="165" fontId="23" fillId="16" borderId="35" xfId="1" applyNumberFormat="1" applyFont="1" applyFill="1" applyBorder="1" applyAlignment="1">
      <alignment horizontal="center"/>
    </xf>
    <xf numFmtId="44" fontId="17" fillId="0" borderId="33" xfId="1" applyFont="1" applyBorder="1"/>
    <xf numFmtId="44" fontId="17" fillId="0" borderId="31" xfId="1" applyFont="1" applyBorder="1"/>
    <xf numFmtId="44" fontId="17" fillId="0" borderId="52" xfId="1" applyFont="1" applyBorder="1"/>
    <xf numFmtId="164" fontId="18" fillId="10" borderId="0" xfId="0" applyNumberFormat="1" applyFont="1" applyFill="1" applyBorder="1"/>
    <xf numFmtId="164" fontId="18" fillId="0" borderId="27" xfId="0" applyNumberFormat="1" applyFont="1" applyFill="1" applyBorder="1"/>
    <xf numFmtId="164" fontId="25" fillId="4" borderId="25" xfId="0" applyNumberFormat="1" applyFont="1" applyFill="1" applyBorder="1"/>
    <xf numFmtId="0" fontId="4" fillId="0" borderId="0" xfId="0" applyFont="1" applyAlignment="1">
      <alignment horizontal="center"/>
    </xf>
    <xf numFmtId="164" fontId="18" fillId="14" borderId="0" xfId="0" applyNumberFormat="1" applyFont="1" applyFill="1" applyBorder="1"/>
    <xf numFmtId="0" fontId="1" fillId="10" borderId="24" xfId="0" applyFont="1" applyFill="1" applyBorder="1"/>
    <xf numFmtId="164" fontId="1" fillId="10" borderId="24" xfId="0" applyNumberFormat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  <xf numFmtId="0" fontId="14" fillId="0" borderId="33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36</xdr:row>
      <xdr:rowOff>123825</xdr:rowOff>
    </xdr:from>
    <xdr:to>
      <xdr:col>20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16592550" y="7981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16602076" y="8353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13773150" y="7867650"/>
          <a:ext cx="1781175" cy="5905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38100</xdr:colOff>
      <xdr:row>37</xdr:row>
      <xdr:rowOff>38100</xdr:rowOff>
    </xdr:from>
    <xdr:to>
      <xdr:col>62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1873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47626</xdr:colOff>
      <xdr:row>39</xdr:row>
      <xdr:rowOff>9524</xdr:rowOff>
    </xdr:from>
    <xdr:to>
      <xdr:col>62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1968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36</xdr:row>
      <xdr:rowOff>123825</xdr:rowOff>
    </xdr:from>
    <xdr:to>
      <xdr:col>61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483679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396811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396906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368617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281749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281844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53555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66687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66782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8493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5162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5172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2343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56" t="s">
        <v>17</v>
      </c>
      <c r="D1" s="456"/>
      <c r="E1" s="456"/>
      <c r="F1" s="456"/>
      <c r="G1" s="456"/>
      <c r="H1" s="456"/>
      <c r="I1" s="456"/>
      <c r="J1" s="456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465" t="s">
        <v>13</v>
      </c>
      <c r="F3" s="466"/>
      <c r="I3" s="467" t="s">
        <v>4</v>
      </c>
      <c r="J3" s="468"/>
      <c r="K3" s="469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459" t="s">
        <v>7</v>
      </c>
      <c r="I39" s="460"/>
      <c r="J39" s="457">
        <f>I37+K37</f>
        <v>99221.62</v>
      </c>
      <c r="K39" s="458"/>
    </row>
    <row r="40" spans="1:11" ht="15" customHeight="1" x14ac:dyDescent="0.25">
      <c r="D40" s="464" t="s">
        <v>8</v>
      </c>
      <c r="E40" s="464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463" t="s">
        <v>31</v>
      </c>
      <c r="E43" s="463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461" t="s">
        <v>12</v>
      </c>
      <c r="E46" s="462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38"/>
  <sheetViews>
    <sheetView topLeftCell="U109" workbookViewId="0">
      <selection activeCell="AK37" sqref="AK37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56" t="s">
        <v>347</v>
      </c>
      <c r="D1" s="456"/>
      <c r="E1" s="456"/>
      <c r="F1" s="456"/>
      <c r="G1" s="456"/>
      <c r="H1" s="456"/>
      <c r="I1" s="456"/>
      <c r="J1" s="456"/>
      <c r="Y1" s="491">
        <v>1</v>
      </c>
      <c r="Z1" s="96" t="s">
        <v>124</v>
      </c>
      <c r="AA1" s="96"/>
      <c r="AB1" s="97"/>
      <c r="AC1" s="353">
        <v>42208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92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453629.27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42186</v>
      </c>
      <c r="C4" s="176">
        <v>2730</v>
      </c>
      <c r="D4" s="59" t="s">
        <v>242</v>
      </c>
      <c r="E4" s="224">
        <v>42186</v>
      </c>
      <c r="F4" s="28">
        <v>76709.5</v>
      </c>
      <c r="G4" s="23"/>
      <c r="H4" s="46">
        <v>42186</v>
      </c>
      <c r="I4" s="29">
        <v>10</v>
      </c>
      <c r="J4" s="48"/>
      <c r="K4" s="49"/>
      <c r="L4" s="89">
        <v>90433.5</v>
      </c>
      <c r="M4" s="89"/>
      <c r="N4" s="89"/>
      <c r="P4" s="74">
        <v>42186</v>
      </c>
      <c r="Q4" s="126" t="s">
        <v>412</v>
      </c>
      <c r="R4" s="70">
        <v>15595.21</v>
      </c>
      <c r="S4" s="71">
        <v>42208</v>
      </c>
      <c r="T4" s="70">
        <v>15595.21</v>
      </c>
      <c r="U4" s="170">
        <f t="shared" ref="U4:U67" si="0">R4-T4</f>
        <v>0</v>
      </c>
      <c r="V4" s="73"/>
      <c r="Y4" s="105"/>
      <c r="Z4" s="106"/>
      <c r="AA4" s="106"/>
      <c r="AB4" s="186">
        <v>2996890</v>
      </c>
      <c r="AC4" s="187">
        <v>40000</v>
      </c>
      <c r="AD4" s="230">
        <v>42176</v>
      </c>
    </row>
    <row r="5" spans="1:31" x14ac:dyDescent="0.25">
      <c r="B5" s="43">
        <v>42187</v>
      </c>
      <c r="C5" s="176">
        <v>289.44</v>
      </c>
      <c r="D5" s="25" t="s">
        <v>394</v>
      </c>
      <c r="E5" s="225">
        <v>42187</v>
      </c>
      <c r="F5" s="28">
        <v>116876.5</v>
      </c>
      <c r="G5" s="20"/>
      <c r="H5" s="47">
        <v>42187</v>
      </c>
      <c r="I5" s="29">
        <v>0</v>
      </c>
      <c r="J5" s="50" t="s">
        <v>5</v>
      </c>
      <c r="K5" s="34">
        <v>649</v>
      </c>
      <c r="L5" s="89">
        <v>116587</v>
      </c>
      <c r="M5" s="89"/>
      <c r="N5" s="89"/>
      <c r="P5" s="74">
        <v>42188</v>
      </c>
      <c r="Q5" s="126" t="s">
        <v>348</v>
      </c>
      <c r="R5" s="70">
        <v>22995</v>
      </c>
      <c r="S5" s="71">
        <v>42208</v>
      </c>
      <c r="T5" s="70">
        <v>22995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19050.5</v>
      </c>
      <c r="AD5" s="230">
        <v>42177</v>
      </c>
      <c r="AE5" s="82">
        <v>42206</v>
      </c>
    </row>
    <row r="6" spans="1:31" x14ac:dyDescent="0.25">
      <c r="B6" s="43">
        <v>42188</v>
      </c>
      <c r="C6" s="176">
        <v>13956</v>
      </c>
      <c r="D6" s="25" t="s">
        <v>322</v>
      </c>
      <c r="E6" s="225">
        <v>42188</v>
      </c>
      <c r="F6" s="28">
        <v>116852</v>
      </c>
      <c r="G6" s="23"/>
      <c r="H6" s="47">
        <v>42188</v>
      </c>
      <c r="I6" s="29">
        <v>0</v>
      </c>
      <c r="J6" s="260" t="s">
        <v>395</v>
      </c>
      <c r="K6" s="367">
        <v>10000</v>
      </c>
      <c r="L6" s="89">
        <v>102808</v>
      </c>
      <c r="M6" s="89"/>
      <c r="N6" s="89"/>
      <c r="P6" s="74">
        <v>42188</v>
      </c>
      <c r="Q6" s="126" t="s">
        <v>351</v>
      </c>
      <c r="R6" s="70">
        <v>33853.040000000001</v>
      </c>
      <c r="S6" s="71">
        <v>42208</v>
      </c>
      <c r="T6" s="70">
        <v>33853.040000000001</v>
      </c>
      <c r="U6" s="72">
        <f t="shared" si="0"/>
        <v>0</v>
      </c>
      <c r="V6" s="76"/>
      <c r="Y6" s="126"/>
      <c r="Z6" s="70"/>
      <c r="AA6" s="111"/>
      <c r="AB6" s="186" t="s">
        <v>203</v>
      </c>
      <c r="AC6" s="187">
        <v>38500</v>
      </c>
      <c r="AD6" s="230">
        <v>42207</v>
      </c>
    </row>
    <row r="7" spans="1:31" x14ac:dyDescent="0.25">
      <c r="B7" s="43">
        <v>42189</v>
      </c>
      <c r="C7" s="176">
        <v>5670.8</v>
      </c>
      <c r="D7" s="24" t="s">
        <v>396</v>
      </c>
      <c r="E7" s="225">
        <v>42189</v>
      </c>
      <c r="F7" s="28">
        <v>171051.5</v>
      </c>
      <c r="G7" s="23"/>
      <c r="H7" s="47">
        <v>42189</v>
      </c>
      <c r="I7" s="29">
        <v>0</v>
      </c>
      <c r="J7" s="50" t="s">
        <v>6</v>
      </c>
      <c r="K7" s="34">
        <v>28750</v>
      </c>
      <c r="L7" s="89">
        <v>178598</v>
      </c>
      <c r="M7" s="89"/>
      <c r="N7" s="89"/>
      <c r="P7" s="74">
        <v>42189</v>
      </c>
      <c r="Q7" s="126" t="s">
        <v>352</v>
      </c>
      <c r="R7" s="70">
        <v>27897.5</v>
      </c>
      <c r="S7" s="71">
        <v>42208</v>
      </c>
      <c r="T7" s="70">
        <v>27897.5</v>
      </c>
      <c r="U7" s="77">
        <f t="shared" si="0"/>
        <v>0</v>
      </c>
      <c r="V7" s="76"/>
      <c r="Y7" s="126"/>
      <c r="Z7" s="70"/>
      <c r="AA7" s="111"/>
      <c r="AB7" s="186">
        <v>2996886</v>
      </c>
      <c r="AC7" s="187">
        <v>17420</v>
      </c>
      <c r="AD7" s="230">
        <v>42177</v>
      </c>
    </row>
    <row r="8" spans="1:31" x14ac:dyDescent="0.25">
      <c r="B8" s="43">
        <v>42190</v>
      </c>
      <c r="C8" s="176">
        <v>7618</v>
      </c>
      <c r="D8" s="24" t="s">
        <v>397</v>
      </c>
      <c r="E8" s="225">
        <v>42190</v>
      </c>
      <c r="F8" s="28">
        <v>63707</v>
      </c>
      <c r="G8" s="23"/>
      <c r="H8" s="47">
        <v>42190</v>
      </c>
      <c r="I8" s="29">
        <v>100</v>
      </c>
      <c r="J8" s="50" t="s">
        <v>400</v>
      </c>
      <c r="K8" s="367">
        <v>11868.74</v>
      </c>
      <c r="L8" s="89">
        <v>55989</v>
      </c>
      <c r="M8" s="89"/>
      <c r="N8" s="367">
        <v>11868.74</v>
      </c>
      <c r="P8" s="74">
        <v>42191</v>
      </c>
      <c r="Q8" s="126" t="s">
        <v>353</v>
      </c>
      <c r="R8" s="70">
        <v>19686.2</v>
      </c>
      <c r="S8" s="71">
        <v>42208</v>
      </c>
      <c r="T8" s="70">
        <v>19686.2</v>
      </c>
      <c r="U8" s="72">
        <f t="shared" si="0"/>
        <v>0</v>
      </c>
      <c r="V8" s="76"/>
      <c r="Y8" s="126"/>
      <c r="Z8" s="70"/>
      <c r="AA8" s="111"/>
      <c r="AB8" s="186">
        <v>2996889</v>
      </c>
      <c r="AC8" s="187">
        <v>16980</v>
      </c>
      <c r="AD8" s="230">
        <v>42178</v>
      </c>
    </row>
    <row r="9" spans="1:31" x14ac:dyDescent="0.25">
      <c r="B9" s="43">
        <v>42191</v>
      </c>
      <c r="C9" s="176">
        <v>8605</v>
      </c>
      <c r="D9" s="24" t="s">
        <v>59</v>
      </c>
      <c r="E9" s="225">
        <v>42191</v>
      </c>
      <c r="F9" s="28">
        <v>166180.79999999999</v>
      </c>
      <c r="G9" s="23"/>
      <c r="H9" s="47">
        <v>42191</v>
      </c>
      <c r="I9" s="29">
        <v>0</v>
      </c>
      <c r="J9" s="50" t="s">
        <v>401</v>
      </c>
      <c r="K9" s="367">
        <f>10201.08+1924</f>
        <v>12125.08</v>
      </c>
      <c r="L9" s="89">
        <v>157576</v>
      </c>
      <c r="M9" s="89"/>
      <c r="N9" s="367">
        <f>10201.08+1924</f>
        <v>12125.08</v>
      </c>
      <c r="P9" s="74">
        <v>42191</v>
      </c>
      <c r="Q9" s="126" t="s">
        <v>354</v>
      </c>
      <c r="R9" s="70">
        <v>24401.200000000001</v>
      </c>
      <c r="S9" s="71">
        <v>42208</v>
      </c>
      <c r="T9" s="70">
        <v>24401.200000000001</v>
      </c>
      <c r="U9" s="72">
        <f t="shared" si="0"/>
        <v>0</v>
      </c>
      <c r="V9" s="76"/>
      <c r="Y9" s="126"/>
      <c r="Z9" s="70"/>
      <c r="AA9" s="190"/>
      <c r="AB9" s="186">
        <v>2961208</v>
      </c>
      <c r="AC9" s="187">
        <v>38544</v>
      </c>
      <c r="AD9" s="230">
        <v>42190</v>
      </c>
      <c r="AE9" s="82" t="s">
        <v>411</v>
      </c>
    </row>
    <row r="10" spans="1:31" x14ac:dyDescent="0.25">
      <c r="A10" s="21"/>
      <c r="B10" s="43">
        <v>42192</v>
      </c>
      <c r="C10" s="176">
        <v>479</v>
      </c>
      <c r="D10" s="24" t="s">
        <v>157</v>
      </c>
      <c r="E10" s="225">
        <v>42192</v>
      </c>
      <c r="F10" s="28">
        <v>112684.7</v>
      </c>
      <c r="G10" s="23"/>
      <c r="H10" s="47">
        <v>42192</v>
      </c>
      <c r="I10" s="29">
        <v>60</v>
      </c>
      <c r="J10" s="50" t="s">
        <v>402</v>
      </c>
      <c r="K10" s="367">
        <v>11568.74</v>
      </c>
      <c r="L10" s="89">
        <v>111345.5</v>
      </c>
      <c r="M10" s="89"/>
      <c r="N10" s="367">
        <v>11568.74</v>
      </c>
      <c r="P10" s="74">
        <v>42191</v>
      </c>
      <c r="Q10" s="126" t="s">
        <v>355</v>
      </c>
      <c r="R10" s="70">
        <v>97509.4</v>
      </c>
      <c r="S10" s="71">
        <v>42208</v>
      </c>
      <c r="T10" s="70">
        <v>97509.4</v>
      </c>
      <c r="U10" s="77">
        <f t="shared" si="0"/>
        <v>0</v>
      </c>
      <c r="V10" s="76"/>
      <c r="Y10" s="126"/>
      <c r="Z10" s="70"/>
      <c r="AA10" s="226"/>
      <c r="AB10" s="186">
        <v>2720543</v>
      </c>
      <c r="AC10" s="187">
        <v>7155</v>
      </c>
      <c r="AD10" s="230">
        <v>42182</v>
      </c>
    </row>
    <row r="11" spans="1:31" ht="15" x14ac:dyDescent="0.25">
      <c r="B11" s="43">
        <v>42193</v>
      </c>
      <c r="C11" s="176">
        <v>986</v>
      </c>
      <c r="D11" s="24" t="s">
        <v>398</v>
      </c>
      <c r="E11" s="225">
        <v>42193</v>
      </c>
      <c r="F11" s="28">
        <v>109860</v>
      </c>
      <c r="G11" s="23"/>
      <c r="H11" s="47">
        <v>42193</v>
      </c>
      <c r="I11" s="29">
        <v>0</v>
      </c>
      <c r="J11" s="50" t="s">
        <v>403</v>
      </c>
      <c r="K11" s="367">
        <v>11503.22</v>
      </c>
      <c r="L11" s="89">
        <v>108874</v>
      </c>
      <c r="M11" s="89"/>
      <c r="N11" s="367">
        <v>11503.22</v>
      </c>
      <c r="P11" s="74">
        <v>42192</v>
      </c>
      <c r="Q11" s="126" t="s">
        <v>356</v>
      </c>
      <c r="R11" s="70">
        <v>27833.4</v>
      </c>
      <c r="S11" s="71">
        <v>42208</v>
      </c>
      <c r="T11" s="70">
        <v>27833.4</v>
      </c>
      <c r="U11" s="77">
        <f t="shared" si="0"/>
        <v>0</v>
      </c>
      <c r="V11" s="76"/>
      <c r="Y11" s="126"/>
      <c r="Z11" s="70"/>
      <c r="AA11" s="111"/>
      <c r="AB11" s="192" t="s">
        <v>203</v>
      </c>
      <c r="AC11" s="193">
        <v>2745.5</v>
      </c>
      <c r="AD11" s="230">
        <v>42184</v>
      </c>
      <c r="AE11" s="82">
        <v>42183</v>
      </c>
    </row>
    <row r="12" spans="1:31" ht="15" x14ac:dyDescent="0.25">
      <c r="A12" s="13"/>
      <c r="B12" s="43">
        <v>42194</v>
      </c>
      <c r="C12" s="176">
        <v>2764</v>
      </c>
      <c r="D12" s="24" t="s">
        <v>399</v>
      </c>
      <c r="E12" s="225">
        <v>42194</v>
      </c>
      <c r="F12" s="28">
        <v>130249.35</v>
      </c>
      <c r="G12" s="23"/>
      <c r="H12" s="47">
        <v>42194</v>
      </c>
      <c r="I12" s="29">
        <v>0</v>
      </c>
      <c r="J12" s="50" t="s">
        <v>463</v>
      </c>
      <c r="K12" s="367">
        <v>11803.22</v>
      </c>
      <c r="L12" s="89">
        <v>127533</v>
      </c>
      <c r="M12" s="89"/>
      <c r="N12" s="367">
        <v>11803.22</v>
      </c>
      <c r="P12" s="74">
        <v>42192</v>
      </c>
      <c r="Q12" s="126" t="s">
        <v>369</v>
      </c>
      <c r="R12" s="70">
        <v>13118.3</v>
      </c>
      <c r="S12" s="71">
        <v>42208</v>
      </c>
      <c r="T12" s="70">
        <v>13118.3</v>
      </c>
      <c r="U12" s="77">
        <f t="shared" si="0"/>
        <v>0</v>
      </c>
      <c r="V12" s="76"/>
      <c r="Y12" s="126"/>
      <c r="Z12" s="70"/>
      <c r="AA12" s="111"/>
      <c r="AB12" s="192">
        <v>2720544</v>
      </c>
      <c r="AC12" s="193">
        <v>35000</v>
      </c>
      <c r="AD12" s="230">
        <v>42183</v>
      </c>
      <c r="AE12" s="82"/>
    </row>
    <row r="13" spans="1:31" ht="15" x14ac:dyDescent="0.25">
      <c r="A13" s="13"/>
      <c r="B13" s="43">
        <v>42195</v>
      </c>
      <c r="C13" s="176">
        <v>12512</v>
      </c>
      <c r="D13" s="291" t="s">
        <v>322</v>
      </c>
      <c r="E13" s="225">
        <v>42195</v>
      </c>
      <c r="F13" s="28">
        <v>170332.5</v>
      </c>
      <c r="G13" s="23"/>
      <c r="H13" s="47">
        <v>42195</v>
      </c>
      <c r="I13" s="29">
        <v>50</v>
      </c>
      <c r="J13" s="51" t="s">
        <v>292</v>
      </c>
      <c r="K13" s="367">
        <v>800</v>
      </c>
      <c r="L13" s="89">
        <v>157770</v>
      </c>
      <c r="M13" s="89"/>
      <c r="N13" s="381">
        <f>SUM(N8:N12)</f>
        <v>58869</v>
      </c>
      <c r="P13" s="74">
        <v>42193</v>
      </c>
      <c r="Q13" s="126" t="s">
        <v>367</v>
      </c>
      <c r="R13" s="70">
        <v>30281.4</v>
      </c>
      <c r="S13" s="71">
        <v>42208</v>
      </c>
      <c r="T13" s="70">
        <v>30281.4</v>
      </c>
      <c r="U13" s="77">
        <f t="shared" si="0"/>
        <v>0</v>
      </c>
      <c r="V13" s="73"/>
      <c r="Y13" s="126"/>
      <c r="Z13" s="70"/>
      <c r="AA13" s="111"/>
      <c r="AB13" s="192" t="s">
        <v>203</v>
      </c>
      <c r="AC13" s="193">
        <v>38000</v>
      </c>
      <c r="AD13" s="230">
        <v>42184</v>
      </c>
    </row>
    <row r="14" spans="1:31" ht="15" x14ac:dyDescent="0.25">
      <c r="B14" s="43">
        <v>42196</v>
      </c>
      <c r="C14" s="176">
        <v>5505</v>
      </c>
      <c r="D14" s="24" t="s">
        <v>404</v>
      </c>
      <c r="E14" s="225">
        <v>42196</v>
      </c>
      <c r="F14" s="28">
        <v>208305.27</v>
      </c>
      <c r="G14" s="23"/>
      <c r="H14" s="47">
        <v>42196</v>
      </c>
      <c r="I14" s="29">
        <v>0</v>
      </c>
      <c r="J14" s="335">
        <v>42192</v>
      </c>
      <c r="K14" s="28">
        <v>0</v>
      </c>
      <c r="L14" s="89">
        <v>202800</v>
      </c>
      <c r="M14" s="89"/>
      <c r="N14" s="89"/>
      <c r="P14" s="74">
        <v>42195</v>
      </c>
      <c r="Q14" s="126" t="s">
        <v>368</v>
      </c>
      <c r="R14" s="70">
        <v>30110.799999999999</v>
      </c>
      <c r="S14" s="71">
        <v>42208</v>
      </c>
      <c r="T14" s="70">
        <v>30110.799999999999</v>
      </c>
      <c r="U14" s="77">
        <f t="shared" si="0"/>
        <v>0</v>
      </c>
      <c r="V14" s="73"/>
      <c r="Y14" s="126"/>
      <c r="Z14" s="70"/>
      <c r="AA14" s="111"/>
      <c r="AB14" s="192">
        <v>3209298</v>
      </c>
      <c r="AC14" s="193">
        <v>43000</v>
      </c>
      <c r="AD14" s="230">
        <v>42184</v>
      </c>
    </row>
    <row r="15" spans="1:31" ht="15" x14ac:dyDescent="0.25">
      <c r="A15" s="13"/>
      <c r="B15" s="43">
        <v>42197</v>
      </c>
      <c r="C15" s="176">
        <v>249</v>
      </c>
      <c r="D15" s="24" t="s">
        <v>162</v>
      </c>
      <c r="E15" s="225">
        <v>42197</v>
      </c>
      <c r="F15" s="28">
        <v>115824.34</v>
      </c>
      <c r="G15" s="23"/>
      <c r="H15" s="47">
        <v>42197</v>
      </c>
      <c r="I15" s="29">
        <v>100</v>
      </c>
      <c r="J15" s="57"/>
      <c r="K15" s="28">
        <v>0</v>
      </c>
      <c r="L15" s="89">
        <v>113551</v>
      </c>
      <c r="M15" s="89"/>
      <c r="N15" s="89"/>
      <c r="P15" s="74">
        <v>42195</v>
      </c>
      <c r="Q15" s="126" t="s">
        <v>370</v>
      </c>
      <c r="R15" s="70">
        <v>306728.5</v>
      </c>
      <c r="S15" s="71">
        <v>42208</v>
      </c>
      <c r="T15" s="70">
        <v>306728.5</v>
      </c>
      <c r="U15" s="77">
        <f t="shared" si="0"/>
        <v>0</v>
      </c>
      <c r="V15" s="73"/>
      <c r="Y15" s="126"/>
      <c r="Z15" s="70"/>
      <c r="AA15" s="226"/>
      <c r="AB15" s="192">
        <v>2720546</v>
      </c>
      <c r="AC15" s="193">
        <v>24782.5</v>
      </c>
      <c r="AD15" s="230">
        <v>42184</v>
      </c>
    </row>
    <row r="16" spans="1:31" ht="15" x14ac:dyDescent="0.25">
      <c r="A16" s="13"/>
      <c r="B16" s="43">
        <v>42198</v>
      </c>
      <c r="C16" s="176">
        <v>0</v>
      </c>
      <c r="D16" s="24"/>
      <c r="E16" s="225">
        <v>42198</v>
      </c>
      <c r="F16" s="28">
        <v>58311.8</v>
      </c>
      <c r="G16" s="23"/>
      <c r="H16" s="47">
        <v>42198</v>
      </c>
      <c r="I16" s="29">
        <v>0</v>
      </c>
      <c r="J16" s="50"/>
      <c r="K16" s="28">
        <v>0</v>
      </c>
      <c r="L16" s="89">
        <v>58312</v>
      </c>
      <c r="M16" s="89"/>
      <c r="N16" s="89"/>
      <c r="P16" s="74">
        <v>42195</v>
      </c>
      <c r="Q16" s="126" t="s">
        <v>371</v>
      </c>
      <c r="R16" s="70">
        <v>165489.10999999999</v>
      </c>
      <c r="S16" s="71">
        <v>42208</v>
      </c>
      <c r="T16" s="70">
        <v>165489.10999999999</v>
      </c>
      <c r="U16" s="77">
        <f t="shared" si="0"/>
        <v>0</v>
      </c>
      <c r="Y16" s="126"/>
      <c r="Z16" s="70"/>
      <c r="AA16" s="226"/>
      <c r="AB16" s="192">
        <v>2720545</v>
      </c>
      <c r="AC16" s="193">
        <v>20000</v>
      </c>
      <c r="AD16" s="230">
        <v>42184</v>
      </c>
      <c r="AE16" s="82">
        <v>42185</v>
      </c>
    </row>
    <row r="17" spans="1:31" ht="15" x14ac:dyDescent="0.25">
      <c r="A17" s="13"/>
      <c r="B17" s="43">
        <v>42199</v>
      </c>
      <c r="C17" s="176">
        <v>115</v>
      </c>
      <c r="D17" s="24" t="s">
        <v>162</v>
      </c>
      <c r="E17" s="225">
        <v>42199</v>
      </c>
      <c r="F17" s="28">
        <v>158371.5</v>
      </c>
      <c r="G17" s="23"/>
      <c r="H17" s="47">
        <v>42199</v>
      </c>
      <c r="I17" s="29">
        <v>0</v>
      </c>
      <c r="J17" s="50"/>
      <c r="K17" s="28">
        <v>0</v>
      </c>
      <c r="L17" s="89">
        <v>158256.5</v>
      </c>
      <c r="M17" s="89"/>
      <c r="N17" s="89"/>
      <c r="P17" s="74">
        <v>42196</v>
      </c>
      <c r="Q17" s="126" t="s">
        <v>372</v>
      </c>
      <c r="R17" s="70">
        <v>16419.599999999999</v>
      </c>
      <c r="S17" s="71">
        <v>42208</v>
      </c>
      <c r="T17" s="70">
        <v>16419.599999999999</v>
      </c>
      <c r="U17" s="77">
        <f t="shared" si="0"/>
        <v>0</v>
      </c>
      <c r="Y17" s="126"/>
      <c r="Z17" s="70"/>
      <c r="AA17" s="226"/>
      <c r="AB17" s="192">
        <v>3209299</v>
      </c>
      <c r="AC17" s="193">
        <v>45000</v>
      </c>
      <c r="AD17" s="230">
        <v>42185</v>
      </c>
      <c r="AE17" s="82"/>
    </row>
    <row r="18" spans="1:31" ht="15" x14ac:dyDescent="0.25">
      <c r="B18" s="43">
        <v>42200</v>
      </c>
      <c r="C18" s="176">
        <v>0</v>
      </c>
      <c r="D18" s="24"/>
      <c r="E18" s="225">
        <v>42200</v>
      </c>
      <c r="F18" s="28">
        <v>119416.8</v>
      </c>
      <c r="G18" s="23"/>
      <c r="H18" s="47">
        <v>42200</v>
      </c>
      <c r="I18" s="29">
        <v>15</v>
      </c>
      <c r="J18" s="51"/>
      <c r="K18" s="34">
        <v>0</v>
      </c>
      <c r="L18" s="89">
        <v>119402</v>
      </c>
      <c r="M18" s="89"/>
      <c r="N18" s="89"/>
      <c r="P18" s="74">
        <v>42196</v>
      </c>
      <c r="Q18" s="126" t="s">
        <v>373</v>
      </c>
      <c r="R18" s="70">
        <v>9252.1</v>
      </c>
      <c r="S18" s="71">
        <v>42208</v>
      </c>
      <c r="T18" s="70">
        <v>9252.1</v>
      </c>
      <c r="U18" s="77">
        <f t="shared" si="0"/>
        <v>0</v>
      </c>
      <c r="Y18" s="126"/>
      <c r="Z18" s="70"/>
      <c r="AA18" s="226"/>
      <c r="AB18" s="251">
        <v>3209302</v>
      </c>
      <c r="AC18" s="193">
        <v>16900</v>
      </c>
      <c r="AD18" s="230">
        <v>42185</v>
      </c>
      <c r="AE18" s="82"/>
    </row>
    <row r="19" spans="1:31" ht="15" x14ac:dyDescent="0.25">
      <c r="A19" s="13"/>
      <c r="B19" s="43">
        <v>42201</v>
      </c>
      <c r="C19" s="176">
        <v>17253</v>
      </c>
      <c r="D19" s="24" t="s">
        <v>405</v>
      </c>
      <c r="E19" s="225">
        <v>42201</v>
      </c>
      <c r="F19" s="28">
        <v>170043.1</v>
      </c>
      <c r="G19" s="23"/>
      <c r="H19" s="47">
        <v>42201</v>
      </c>
      <c r="I19" s="29">
        <v>60</v>
      </c>
      <c r="J19" s="334"/>
      <c r="K19" s="28">
        <v>0</v>
      </c>
      <c r="L19" s="89">
        <v>152730</v>
      </c>
      <c r="M19" s="89"/>
      <c r="N19" s="89"/>
      <c r="P19" s="74">
        <v>42196</v>
      </c>
      <c r="Q19" s="126" t="s">
        <v>374</v>
      </c>
      <c r="R19" s="70">
        <v>5474.59</v>
      </c>
      <c r="S19" s="71">
        <v>42208</v>
      </c>
      <c r="T19" s="70">
        <v>5474.59</v>
      </c>
      <c r="U19" s="77">
        <f t="shared" si="0"/>
        <v>0</v>
      </c>
      <c r="Y19" s="126"/>
      <c r="Z19" s="70"/>
      <c r="AA19" s="226"/>
      <c r="AB19" s="192">
        <v>3209306</v>
      </c>
      <c r="AC19" s="193">
        <v>16433.5</v>
      </c>
      <c r="AD19" s="230">
        <v>42186</v>
      </c>
    </row>
    <row r="20" spans="1:31" ht="15" x14ac:dyDescent="0.25">
      <c r="B20" s="43">
        <v>42202</v>
      </c>
      <c r="C20" s="176">
        <v>1684.16</v>
      </c>
      <c r="D20" s="24" t="s">
        <v>406</v>
      </c>
      <c r="E20" s="225">
        <v>42202</v>
      </c>
      <c r="F20" s="28">
        <v>180146.5</v>
      </c>
      <c r="G20" s="23"/>
      <c r="H20" s="47">
        <v>42202</v>
      </c>
      <c r="I20" s="29">
        <v>0</v>
      </c>
      <c r="J20" s="334"/>
      <c r="K20" s="28">
        <v>0</v>
      </c>
      <c r="L20" s="89">
        <v>178462.5</v>
      </c>
      <c r="M20" s="89"/>
      <c r="N20" s="89"/>
      <c r="P20" s="74">
        <v>42198</v>
      </c>
      <c r="Q20" s="126" t="s">
        <v>375</v>
      </c>
      <c r="R20" s="70">
        <v>38498.400000000001</v>
      </c>
      <c r="S20" s="71">
        <v>42208</v>
      </c>
      <c r="T20" s="70">
        <v>38498.400000000001</v>
      </c>
      <c r="U20" s="77">
        <f t="shared" si="0"/>
        <v>0</v>
      </c>
      <c r="Y20" s="126"/>
      <c r="Z20" s="70"/>
      <c r="AA20" s="244"/>
      <c r="AB20" s="192">
        <v>3209304</v>
      </c>
      <c r="AC20" s="193">
        <v>51000</v>
      </c>
      <c r="AD20" s="230">
        <v>42186</v>
      </c>
    </row>
    <row r="21" spans="1:31" ht="15" x14ac:dyDescent="0.25">
      <c r="B21" s="43">
        <v>42203</v>
      </c>
      <c r="C21" s="176">
        <v>16061</v>
      </c>
      <c r="D21" s="59" t="s">
        <v>407</v>
      </c>
      <c r="E21" s="225">
        <v>42203</v>
      </c>
      <c r="F21" s="28">
        <v>213184</v>
      </c>
      <c r="G21" s="23"/>
      <c r="H21" s="47">
        <v>42203</v>
      </c>
      <c r="I21" s="29">
        <v>0</v>
      </c>
      <c r="J21" s="50"/>
      <c r="K21" s="34">
        <v>0</v>
      </c>
      <c r="L21" s="89">
        <v>197123</v>
      </c>
      <c r="M21" s="89"/>
      <c r="N21" s="89"/>
      <c r="P21" s="74">
        <v>42198</v>
      </c>
      <c r="Q21" s="126" t="s">
        <v>376</v>
      </c>
      <c r="R21" s="70">
        <v>36629.839999999997</v>
      </c>
      <c r="S21" s="71">
        <v>42208</v>
      </c>
      <c r="T21" s="70">
        <v>36629.839999999997</v>
      </c>
      <c r="U21" s="77">
        <f t="shared" si="0"/>
        <v>0</v>
      </c>
      <c r="Y21" s="242"/>
      <c r="Z21" s="213"/>
      <c r="AA21" s="226"/>
      <c r="AB21" s="192">
        <v>3209303</v>
      </c>
      <c r="AC21" s="193">
        <v>23000</v>
      </c>
      <c r="AD21" s="230">
        <v>42186</v>
      </c>
    </row>
    <row r="22" spans="1:31" ht="15" x14ac:dyDescent="0.25">
      <c r="B22" s="43">
        <v>42204</v>
      </c>
      <c r="C22" s="176">
        <v>207</v>
      </c>
      <c r="D22" s="59" t="s">
        <v>408</v>
      </c>
      <c r="E22" s="225">
        <v>42204</v>
      </c>
      <c r="F22" s="28">
        <v>80294.5</v>
      </c>
      <c r="G22" s="20"/>
      <c r="H22" s="47">
        <v>42204</v>
      </c>
      <c r="I22" s="29">
        <v>100</v>
      </c>
      <c r="J22" s="50"/>
      <c r="K22" s="34">
        <v>0</v>
      </c>
      <c r="L22" s="89">
        <v>79987.5</v>
      </c>
      <c r="M22" s="89"/>
      <c r="N22" s="89"/>
      <c r="P22" s="74">
        <v>42199</v>
      </c>
      <c r="Q22" s="126" t="s">
        <v>377</v>
      </c>
      <c r="R22" s="70">
        <v>28927.200000000001</v>
      </c>
      <c r="S22" s="71">
        <v>42208</v>
      </c>
      <c r="T22" s="70">
        <v>28927.200000000001</v>
      </c>
      <c r="U22" s="77">
        <f t="shared" si="0"/>
        <v>0</v>
      </c>
      <c r="Y22" s="242"/>
      <c r="Z22" s="213"/>
      <c r="AA22" s="226"/>
      <c r="AB22" s="192">
        <v>3209308</v>
      </c>
      <c r="AC22" s="193">
        <v>24587</v>
      </c>
      <c r="AD22" s="230">
        <v>42187</v>
      </c>
      <c r="AE22" s="82"/>
    </row>
    <row r="23" spans="1:31" ht="15" x14ac:dyDescent="0.25">
      <c r="A23" s="13"/>
      <c r="B23" s="43">
        <v>42205</v>
      </c>
      <c r="C23" s="176">
        <v>48475.5</v>
      </c>
      <c r="D23" s="59" t="s">
        <v>409</v>
      </c>
      <c r="E23" s="225">
        <v>42205</v>
      </c>
      <c r="F23" s="28">
        <v>233447</v>
      </c>
      <c r="G23" s="23"/>
      <c r="H23" s="47">
        <v>42205</v>
      </c>
      <c r="I23" s="29">
        <v>0</v>
      </c>
      <c r="J23" s="57"/>
      <c r="K23" s="28">
        <v>0</v>
      </c>
      <c r="L23" s="89">
        <v>184971.5</v>
      </c>
      <c r="M23" s="89"/>
      <c r="N23" s="89"/>
      <c r="P23" s="74">
        <v>42199</v>
      </c>
      <c r="Q23" s="126" t="s">
        <v>378</v>
      </c>
      <c r="R23" s="70">
        <v>4422</v>
      </c>
      <c r="S23" s="71">
        <v>42208</v>
      </c>
      <c r="T23" s="70">
        <v>4422</v>
      </c>
      <c r="U23" s="77">
        <f t="shared" si="0"/>
        <v>0</v>
      </c>
      <c r="Y23" s="242"/>
      <c r="Z23" s="213"/>
      <c r="AA23" s="226"/>
      <c r="AB23" s="251">
        <v>3209307</v>
      </c>
      <c r="AC23" s="193">
        <v>52000</v>
      </c>
      <c r="AD23" s="230">
        <v>42187</v>
      </c>
      <c r="AE23" s="82"/>
    </row>
    <row r="24" spans="1:31" ht="15" x14ac:dyDescent="0.25">
      <c r="A24" s="13"/>
      <c r="B24" s="43">
        <v>42206</v>
      </c>
      <c r="C24" s="176">
        <v>14400.5</v>
      </c>
      <c r="D24" s="59" t="s">
        <v>410</v>
      </c>
      <c r="E24" s="225">
        <v>42206</v>
      </c>
      <c r="F24" s="28">
        <v>75647.5</v>
      </c>
      <c r="G24" s="23"/>
      <c r="H24" s="47">
        <v>42206</v>
      </c>
      <c r="I24" s="29">
        <v>0</v>
      </c>
      <c r="J24" s="319"/>
      <c r="K24" s="34"/>
      <c r="L24" s="89">
        <f>25553+35694</f>
        <v>61247</v>
      </c>
      <c r="M24" s="89"/>
      <c r="N24" s="89"/>
      <c r="P24" s="74">
        <v>42199</v>
      </c>
      <c r="Q24" s="126" t="s">
        <v>381</v>
      </c>
      <c r="R24" s="70">
        <v>189878.1</v>
      </c>
      <c r="S24" s="71">
        <v>42208</v>
      </c>
      <c r="T24" s="70">
        <v>189878.1</v>
      </c>
      <c r="U24" s="77">
        <f t="shared" si="0"/>
        <v>0</v>
      </c>
      <c r="Y24" s="242"/>
      <c r="Z24" s="213"/>
      <c r="AA24" s="226"/>
      <c r="AB24" s="192">
        <v>3209305</v>
      </c>
      <c r="AC24" s="193">
        <v>40000</v>
      </c>
      <c r="AD24" s="230">
        <v>42187</v>
      </c>
      <c r="AE24" s="82"/>
    </row>
    <row r="25" spans="1:31" ht="15" x14ac:dyDescent="0.25">
      <c r="B25" s="43">
        <v>42207</v>
      </c>
      <c r="C25" s="176">
        <v>3388</v>
      </c>
      <c r="D25" s="24" t="s">
        <v>433</v>
      </c>
      <c r="E25" s="225">
        <v>42207</v>
      </c>
      <c r="F25" s="28">
        <v>108686</v>
      </c>
      <c r="G25" s="23"/>
      <c r="H25" s="47">
        <v>42207</v>
      </c>
      <c r="I25" s="29">
        <v>0</v>
      </c>
      <c r="J25" s="50"/>
      <c r="K25" s="34"/>
      <c r="L25" s="89">
        <v>105298</v>
      </c>
      <c r="M25" s="89"/>
      <c r="N25" s="89"/>
      <c r="P25" s="74">
        <v>42200</v>
      </c>
      <c r="Q25" s="126" t="s">
        <v>379</v>
      </c>
      <c r="R25" s="70">
        <v>29716.400000000001</v>
      </c>
      <c r="S25" s="71">
        <v>42208</v>
      </c>
      <c r="T25" s="70">
        <v>29716.400000000001</v>
      </c>
      <c r="U25" s="77">
        <f t="shared" si="0"/>
        <v>0</v>
      </c>
      <c r="Y25" s="242"/>
      <c r="Z25" s="213"/>
      <c r="AA25" s="226"/>
      <c r="AB25" s="192">
        <v>3209309</v>
      </c>
      <c r="AC25" s="193">
        <v>68000</v>
      </c>
      <c r="AD25" s="230">
        <v>42188</v>
      </c>
    </row>
    <row r="26" spans="1:31" ht="15" x14ac:dyDescent="0.25">
      <c r="B26" s="43">
        <v>42208</v>
      </c>
      <c r="C26" s="176">
        <v>0</v>
      </c>
      <c r="D26" s="24"/>
      <c r="E26" s="225">
        <v>42208</v>
      </c>
      <c r="F26" s="28">
        <v>97012</v>
      </c>
      <c r="G26" s="23"/>
      <c r="H26" s="47">
        <v>42208</v>
      </c>
      <c r="I26" s="29">
        <v>27</v>
      </c>
      <c r="J26" s="50"/>
      <c r="K26" s="34"/>
      <c r="L26" s="89">
        <v>96985</v>
      </c>
      <c r="M26" s="89"/>
      <c r="N26" s="89"/>
      <c r="P26" s="74">
        <v>42200</v>
      </c>
      <c r="Q26" s="126" t="s">
        <v>380</v>
      </c>
      <c r="R26" s="70">
        <v>9386</v>
      </c>
      <c r="S26" s="71">
        <v>42208</v>
      </c>
      <c r="T26" s="70">
        <v>9386</v>
      </c>
      <c r="U26" s="77">
        <f t="shared" si="0"/>
        <v>0</v>
      </c>
      <c r="Y26" s="242"/>
      <c r="Z26" s="213"/>
      <c r="AA26" s="226"/>
      <c r="AB26" s="251">
        <v>3209311</v>
      </c>
      <c r="AC26" s="193">
        <v>34808</v>
      </c>
      <c r="AD26" s="230">
        <v>42188</v>
      </c>
      <c r="AE26" s="82"/>
    </row>
    <row r="27" spans="1:31" ht="15" x14ac:dyDescent="0.25">
      <c r="B27" s="43">
        <v>42209</v>
      </c>
      <c r="C27" s="176">
        <v>3621</v>
      </c>
      <c r="D27" s="24" t="s">
        <v>434</v>
      </c>
      <c r="E27" s="225">
        <v>42209</v>
      </c>
      <c r="F27" s="28">
        <v>199392</v>
      </c>
      <c r="G27" s="23"/>
      <c r="H27" s="47">
        <v>42209</v>
      </c>
      <c r="I27" s="29">
        <v>0</v>
      </c>
      <c r="J27" s="50"/>
      <c r="K27" s="34"/>
      <c r="L27" s="89">
        <v>195771</v>
      </c>
      <c r="M27" s="89"/>
      <c r="N27" s="89"/>
      <c r="P27" s="74">
        <v>42200</v>
      </c>
      <c r="Q27" s="126" t="s">
        <v>386</v>
      </c>
      <c r="R27" s="70">
        <v>239352.91</v>
      </c>
      <c r="S27" s="71">
        <v>42208</v>
      </c>
      <c r="T27" s="70">
        <v>239352.91</v>
      </c>
      <c r="U27" s="77">
        <f t="shared" si="0"/>
        <v>0</v>
      </c>
      <c r="Y27" s="242"/>
      <c r="Z27" s="213"/>
      <c r="AA27" s="244"/>
      <c r="AB27" s="251">
        <v>3209301</v>
      </c>
      <c r="AC27" s="193">
        <v>85000</v>
      </c>
      <c r="AD27" s="230">
        <v>42189</v>
      </c>
      <c r="AE27" s="82"/>
    </row>
    <row r="28" spans="1:31" ht="15" x14ac:dyDescent="0.25">
      <c r="B28" s="43">
        <v>42210</v>
      </c>
      <c r="C28" s="176">
        <v>11989.24</v>
      </c>
      <c r="D28" s="24" t="s">
        <v>435</v>
      </c>
      <c r="E28" s="225">
        <v>42210</v>
      </c>
      <c r="F28" s="28">
        <v>164344</v>
      </c>
      <c r="G28" s="23"/>
      <c r="H28" s="47">
        <v>42210</v>
      </c>
      <c r="I28" s="29">
        <v>760</v>
      </c>
      <c r="J28" s="50"/>
      <c r="K28" s="34"/>
      <c r="L28" s="89">
        <v>151595</v>
      </c>
      <c r="M28" s="89"/>
      <c r="N28" s="89"/>
      <c r="P28" s="74">
        <v>42201</v>
      </c>
      <c r="Q28" s="126" t="s">
        <v>382</v>
      </c>
      <c r="R28" s="70">
        <v>18850.5</v>
      </c>
      <c r="S28" s="71">
        <v>42208</v>
      </c>
      <c r="T28" s="70">
        <v>18850.5</v>
      </c>
      <c r="U28" s="77">
        <f t="shared" ref="U28:U60" si="1">R28-T28</f>
        <v>0</v>
      </c>
      <c r="Y28" s="242"/>
      <c r="Z28" s="213"/>
      <c r="AA28" s="226"/>
      <c r="AB28" s="251">
        <v>3209312</v>
      </c>
      <c r="AC28" s="193">
        <v>48000</v>
      </c>
      <c r="AD28" s="230">
        <v>42189</v>
      </c>
      <c r="AE28" s="82"/>
    </row>
    <row r="29" spans="1:31" ht="15" x14ac:dyDescent="0.25">
      <c r="B29" s="43">
        <v>42211</v>
      </c>
      <c r="C29" s="176">
        <v>17368.5</v>
      </c>
      <c r="D29" s="24" t="s">
        <v>322</v>
      </c>
      <c r="E29" s="225">
        <v>42211</v>
      </c>
      <c r="F29" s="28">
        <v>83233</v>
      </c>
      <c r="G29" s="23"/>
      <c r="H29" s="47">
        <v>42211</v>
      </c>
      <c r="I29" s="29">
        <v>124</v>
      </c>
      <c r="J29" s="50"/>
      <c r="K29" s="34"/>
      <c r="L29" s="89">
        <v>65740.5</v>
      </c>
      <c r="M29" s="89"/>
      <c r="N29" s="89"/>
      <c r="P29" s="74">
        <v>42201</v>
      </c>
      <c r="Q29" s="126" t="s">
        <v>383</v>
      </c>
      <c r="R29" s="70">
        <v>120038.7</v>
      </c>
      <c r="S29" s="71">
        <v>42208</v>
      </c>
      <c r="T29" s="70">
        <v>120038.7</v>
      </c>
      <c r="U29" s="77">
        <f t="shared" si="1"/>
        <v>0</v>
      </c>
      <c r="Y29" s="227"/>
      <c r="Z29" s="213"/>
      <c r="AA29" s="226"/>
      <c r="AB29" s="251">
        <v>3209314</v>
      </c>
      <c r="AC29" s="193">
        <v>45550</v>
      </c>
      <c r="AD29" s="230">
        <v>42189</v>
      </c>
      <c r="AE29" s="82"/>
    </row>
    <row r="30" spans="1:31" ht="15" x14ac:dyDescent="0.25">
      <c r="B30" s="43">
        <v>42212</v>
      </c>
      <c r="C30" s="176">
        <v>0</v>
      </c>
      <c r="D30" s="24"/>
      <c r="E30" s="225">
        <v>42212</v>
      </c>
      <c r="F30" s="28">
        <v>309508.5</v>
      </c>
      <c r="G30" s="23"/>
      <c r="H30" s="47">
        <v>42212</v>
      </c>
      <c r="I30" s="29">
        <v>0</v>
      </c>
      <c r="J30" s="50"/>
      <c r="K30" s="34"/>
      <c r="L30" s="89">
        <v>309508</v>
      </c>
      <c r="M30" s="89"/>
      <c r="N30" s="89"/>
      <c r="P30" s="74">
        <v>42202</v>
      </c>
      <c r="Q30" s="126" t="s">
        <v>384</v>
      </c>
      <c r="R30" s="129">
        <v>23370.799999999999</v>
      </c>
      <c r="S30" s="71">
        <v>42208</v>
      </c>
      <c r="T30" s="129">
        <v>23370.799999999999</v>
      </c>
      <c r="U30" s="77">
        <f t="shared" si="1"/>
        <v>0</v>
      </c>
      <c r="Y30" s="227"/>
      <c r="Z30" s="213"/>
      <c r="AA30" s="244"/>
      <c r="AB30" s="251">
        <v>3209316</v>
      </c>
      <c r="AC30" s="193">
        <v>10989</v>
      </c>
      <c r="AD30" s="230">
        <v>42190</v>
      </c>
    </row>
    <row r="31" spans="1:31" ht="15" x14ac:dyDescent="0.25">
      <c r="B31" s="43">
        <v>42213</v>
      </c>
      <c r="C31" s="176">
        <v>0</v>
      </c>
      <c r="D31" s="24"/>
      <c r="E31" s="225">
        <v>42213</v>
      </c>
      <c r="F31" s="28">
        <v>85490</v>
      </c>
      <c r="G31" s="23"/>
      <c r="H31" s="47">
        <v>42213</v>
      </c>
      <c r="I31" s="29">
        <v>0</v>
      </c>
      <c r="J31" s="50"/>
      <c r="K31" s="34"/>
      <c r="L31" s="89">
        <v>85490</v>
      </c>
      <c r="M31" s="89"/>
      <c r="N31" s="89"/>
      <c r="P31" s="74">
        <v>42202</v>
      </c>
      <c r="Q31" s="126" t="s">
        <v>385</v>
      </c>
      <c r="R31" s="70">
        <v>3944.2</v>
      </c>
      <c r="S31" s="71">
        <v>42208</v>
      </c>
      <c r="T31" s="70">
        <v>3944.2</v>
      </c>
      <c r="U31" s="77">
        <f t="shared" si="1"/>
        <v>0</v>
      </c>
      <c r="Y31" s="226"/>
      <c r="Z31" s="226"/>
      <c r="AA31" s="226"/>
      <c r="AB31" s="251">
        <v>3209313</v>
      </c>
      <c r="AC31" s="193">
        <v>45000</v>
      </c>
      <c r="AD31" s="230">
        <v>42190</v>
      </c>
      <c r="AE31" s="82"/>
    </row>
    <row r="32" spans="1:31" ht="15" x14ac:dyDescent="0.25">
      <c r="B32" s="43">
        <v>42214</v>
      </c>
      <c r="C32" s="176">
        <v>10534</v>
      </c>
      <c r="D32" s="25" t="s">
        <v>59</v>
      </c>
      <c r="E32" s="225">
        <v>42214</v>
      </c>
      <c r="F32" s="28">
        <v>139628</v>
      </c>
      <c r="G32" s="23"/>
      <c r="H32" s="47">
        <v>42214</v>
      </c>
      <c r="I32" s="29">
        <v>0</v>
      </c>
      <c r="J32" s="50"/>
      <c r="K32" s="34"/>
      <c r="L32" s="89">
        <v>129094</v>
      </c>
      <c r="M32" s="89"/>
      <c r="N32" s="89"/>
      <c r="P32" s="74">
        <v>42203</v>
      </c>
      <c r="Q32" s="126" t="s">
        <v>391</v>
      </c>
      <c r="R32" s="70">
        <v>30920.400000000001</v>
      </c>
      <c r="S32" s="71">
        <v>42208</v>
      </c>
      <c r="T32" s="70">
        <v>30920.400000000001</v>
      </c>
      <c r="U32" s="77">
        <f t="shared" si="1"/>
        <v>0</v>
      </c>
      <c r="Y32" s="226"/>
      <c r="Z32" s="226"/>
      <c r="AA32" s="226"/>
      <c r="AB32" s="251">
        <v>3205664</v>
      </c>
      <c r="AC32" s="193">
        <v>25752</v>
      </c>
      <c r="AD32" s="230">
        <v>42191</v>
      </c>
      <c r="AE32" s="82"/>
    </row>
    <row r="33" spans="1:31" ht="15" x14ac:dyDescent="0.25">
      <c r="B33" s="43">
        <v>42215</v>
      </c>
      <c r="C33" s="176">
        <v>3476</v>
      </c>
      <c r="D33" s="24" t="s">
        <v>59</v>
      </c>
      <c r="E33" s="225">
        <v>42215</v>
      </c>
      <c r="F33" s="28">
        <v>84196.5</v>
      </c>
      <c r="G33" s="23"/>
      <c r="H33" s="47">
        <v>42215</v>
      </c>
      <c r="I33" s="29">
        <v>100</v>
      </c>
      <c r="J33" s="50"/>
      <c r="K33" s="34"/>
      <c r="L33" s="89">
        <v>80620</v>
      </c>
      <c r="M33" s="89"/>
      <c r="N33" s="89"/>
      <c r="P33" s="74">
        <v>42203</v>
      </c>
      <c r="Q33" s="126" t="s">
        <v>387</v>
      </c>
      <c r="R33" s="70">
        <v>203821.5</v>
      </c>
      <c r="S33" s="128" t="s">
        <v>436</v>
      </c>
      <c r="T33" s="274">
        <f>78473.76+125347.74</f>
        <v>203821.5</v>
      </c>
      <c r="U33" s="77">
        <f t="shared" si="1"/>
        <v>0</v>
      </c>
      <c r="Y33" s="227"/>
      <c r="Z33" s="213"/>
      <c r="AA33" s="226"/>
      <c r="AB33" s="251">
        <v>3209317</v>
      </c>
      <c r="AC33" s="193">
        <v>60000</v>
      </c>
      <c r="AD33" s="230">
        <v>42191</v>
      </c>
      <c r="AE33" s="82"/>
    </row>
    <row r="34" spans="1:31" thickBot="1" x14ac:dyDescent="0.3">
      <c r="A34" s="13"/>
      <c r="B34" s="43">
        <v>42216</v>
      </c>
      <c r="C34" s="176">
        <v>0</v>
      </c>
      <c r="D34" s="24"/>
      <c r="E34" s="225">
        <v>42216</v>
      </c>
      <c r="F34" s="28">
        <v>223970</v>
      </c>
      <c r="G34" s="23"/>
      <c r="H34" s="47">
        <v>42216</v>
      </c>
      <c r="I34" s="29">
        <v>40</v>
      </c>
      <c r="J34" s="50"/>
      <c r="K34" s="34"/>
      <c r="L34" s="89">
        <v>223930</v>
      </c>
      <c r="M34" s="89"/>
      <c r="N34" s="89"/>
      <c r="O34" s="82"/>
      <c r="P34" s="74">
        <v>42203</v>
      </c>
      <c r="Q34" s="126" t="s">
        <v>388</v>
      </c>
      <c r="R34" s="70">
        <v>213600.75</v>
      </c>
      <c r="S34" s="146">
        <v>42217</v>
      </c>
      <c r="T34" s="70">
        <v>213600.75</v>
      </c>
      <c r="U34" s="77">
        <f t="shared" si="1"/>
        <v>0</v>
      </c>
      <c r="Y34" s="227"/>
      <c r="Z34" s="213"/>
      <c r="AA34" s="226"/>
      <c r="AB34" s="251">
        <v>3209315</v>
      </c>
      <c r="AC34" s="193">
        <v>67000</v>
      </c>
      <c r="AD34" s="230">
        <v>42191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356">
        <v>42204</v>
      </c>
      <c r="Q35" s="248" t="s">
        <v>461</v>
      </c>
      <c r="R35" s="357">
        <v>4599</v>
      </c>
      <c r="S35" s="146">
        <v>42230</v>
      </c>
      <c r="T35" s="274">
        <v>4599</v>
      </c>
      <c r="U35" s="77">
        <f t="shared" si="1"/>
        <v>0</v>
      </c>
      <c r="Y35" s="121"/>
      <c r="Z35" s="121"/>
      <c r="AA35" s="121"/>
      <c r="AB35" s="251">
        <v>3205665</v>
      </c>
      <c r="AC35" s="118">
        <v>29760</v>
      </c>
      <c r="AD35" s="120">
        <v>42192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42205</v>
      </c>
      <c r="Q36" s="126" t="s">
        <v>389</v>
      </c>
      <c r="R36" s="70">
        <v>26062</v>
      </c>
      <c r="S36" s="146">
        <v>42217</v>
      </c>
      <c r="T36" s="70">
        <v>26062</v>
      </c>
      <c r="U36" s="77">
        <f t="shared" si="1"/>
        <v>0</v>
      </c>
      <c r="Y36" s="121"/>
      <c r="Z36" s="121"/>
      <c r="AA36" s="121"/>
      <c r="AB36" s="119">
        <v>3205663</v>
      </c>
      <c r="AC36" s="118">
        <v>60000</v>
      </c>
      <c r="AD36" s="120">
        <v>42192</v>
      </c>
    </row>
    <row r="37" spans="1:31" ht="15" x14ac:dyDescent="0.25">
      <c r="B37" s="5" t="s">
        <v>1</v>
      </c>
      <c r="C37" s="179">
        <f>SUM(C4:C36)</f>
        <v>209937.13999999998</v>
      </c>
      <c r="D37" s="1"/>
      <c r="E37" s="361" t="s">
        <v>1</v>
      </c>
      <c r="F37" s="7">
        <f>SUM(F4:F36)</f>
        <v>4342956.16</v>
      </c>
      <c r="H37" s="4" t="s">
        <v>1</v>
      </c>
      <c r="I37" s="3">
        <f>SUM(I4:I36)</f>
        <v>1546</v>
      </c>
      <c r="J37" s="3"/>
      <c r="K37" s="3">
        <f t="shared" ref="K37" si="2">SUM(K4:K36)</f>
        <v>99068</v>
      </c>
      <c r="L37" s="67">
        <f>SUM(L4:L36)</f>
        <v>4158388.5</v>
      </c>
      <c r="P37" s="74">
        <v>42205</v>
      </c>
      <c r="Q37" s="126" t="s">
        <v>390</v>
      </c>
      <c r="R37" s="70">
        <v>2686.2</v>
      </c>
      <c r="S37" s="146">
        <v>42217</v>
      </c>
      <c r="T37" s="70">
        <v>2686.2</v>
      </c>
      <c r="U37" s="77">
        <f t="shared" si="1"/>
        <v>0</v>
      </c>
      <c r="Y37" s="121"/>
      <c r="Z37" s="121"/>
      <c r="AA37" s="121"/>
      <c r="AB37" s="119" t="s">
        <v>203</v>
      </c>
      <c r="AC37" s="118">
        <v>21585.5</v>
      </c>
      <c r="AD37" s="120">
        <v>42192</v>
      </c>
    </row>
    <row r="38" spans="1:31" ht="15" x14ac:dyDescent="0.25">
      <c r="A38" s="477"/>
      <c r="B38" s="477"/>
      <c r="C38" s="88"/>
      <c r="I38" s="3"/>
      <c r="K38" s="3"/>
      <c r="P38" s="74">
        <v>42205</v>
      </c>
      <c r="Q38" s="126" t="s">
        <v>392</v>
      </c>
      <c r="R38" s="70">
        <v>4998.2</v>
      </c>
      <c r="S38" s="146">
        <v>42217</v>
      </c>
      <c r="T38" s="70">
        <v>4998.2</v>
      </c>
      <c r="U38" s="77">
        <f t="shared" si="1"/>
        <v>0</v>
      </c>
      <c r="Y38" s="121"/>
      <c r="Z38" s="121"/>
      <c r="AA38" s="121"/>
      <c r="AB38" s="119">
        <v>3205668</v>
      </c>
      <c r="AC38" s="118">
        <v>16874</v>
      </c>
      <c r="AD38" s="120">
        <v>42193</v>
      </c>
    </row>
    <row r="39" spans="1:31" ht="15.75" customHeight="1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100614</v>
      </c>
      <c r="K39" s="458"/>
      <c r="L39" s="90"/>
      <c r="M39" s="90"/>
      <c r="N39" s="90"/>
      <c r="P39" s="74">
        <v>42206</v>
      </c>
      <c r="Q39" s="126" t="s">
        <v>393</v>
      </c>
      <c r="R39" s="70">
        <v>31922.2</v>
      </c>
      <c r="S39" s="146">
        <v>42217</v>
      </c>
      <c r="T39" s="70">
        <v>31922.2</v>
      </c>
      <c r="U39" s="77">
        <f t="shared" si="1"/>
        <v>0</v>
      </c>
      <c r="Y39" s="121"/>
      <c r="Z39" s="121"/>
      <c r="AA39" s="121"/>
      <c r="AB39" s="119">
        <v>3205666</v>
      </c>
      <c r="AC39" s="118">
        <v>92000</v>
      </c>
      <c r="AD39" s="120">
        <v>42193</v>
      </c>
      <c r="AE39" s="82"/>
    </row>
    <row r="40" spans="1:31" ht="16.5" customHeight="1" x14ac:dyDescent="0.25">
      <c r="A40" s="478"/>
      <c r="B40" s="478"/>
      <c r="C40" s="88"/>
      <c r="D40" s="464" t="s">
        <v>8</v>
      </c>
      <c r="E40" s="464"/>
      <c r="F40" s="17">
        <f>F37-J39-C37</f>
        <v>4032405.02</v>
      </c>
      <c r="I40" s="14"/>
      <c r="P40" s="74">
        <v>42206</v>
      </c>
      <c r="Q40" s="126" t="s">
        <v>437</v>
      </c>
      <c r="R40" s="70">
        <v>362502.9</v>
      </c>
      <c r="S40" s="146">
        <v>42230</v>
      </c>
      <c r="T40" s="274">
        <v>362502.9</v>
      </c>
      <c r="U40" s="77">
        <f t="shared" si="1"/>
        <v>0</v>
      </c>
      <c r="Y40" s="121"/>
      <c r="Z40" s="121"/>
      <c r="AA40" s="121"/>
      <c r="AB40" s="119">
        <v>3205667</v>
      </c>
      <c r="AC40" s="118">
        <v>55000</v>
      </c>
      <c r="AD40" s="120">
        <v>42194</v>
      </c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42206</v>
      </c>
      <c r="Q41" s="126" t="s">
        <v>420</v>
      </c>
      <c r="R41" s="70">
        <v>109650</v>
      </c>
      <c r="S41" s="146">
        <v>42217</v>
      </c>
      <c r="T41" s="70">
        <v>109650</v>
      </c>
      <c r="U41" s="77">
        <f t="shared" si="1"/>
        <v>0</v>
      </c>
      <c r="Y41" s="121"/>
      <c r="Z41" s="121"/>
      <c r="AA41" s="121"/>
      <c r="AB41" s="119">
        <v>3205669</v>
      </c>
      <c r="AC41" s="118">
        <v>25000</v>
      </c>
      <c r="AD41" s="120">
        <v>42194</v>
      </c>
      <c r="AE41" s="82"/>
    </row>
    <row r="42" spans="1:31" ht="16.5" customHeight="1" thickBot="1" x14ac:dyDescent="0.3">
      <c r="E42" s="259" t="s">
        <v>146</v>
      </c>
      <c r="F42" s="15">
        <v>-3373122.48</v>
      </c>
      <c r="I42" s="19" t="s">
        <v>9</v>
      </c>
      <c r="J42" s="56"/>
      <c r="K42" s="15">
        <v>85029.94</v>
      </c>
      <c r="P42" s="74">
        <v>42207</v>
      </c>
      <c r="Q42" s="126" t="s">
        <v>414</v>
      </c>
      <c r="R42" s="70">
        <v>14341.2</v>
      </c>
      <c r="S42" s="146">
        <v>42217</v>
      </c>
      <c r="T42" s="70">
        <v>14341.2</v>
      </c>
      <c r="U42" s="77">
        <f t="shared" si="1"/>
        <v>0</v>
      </c>
      <c r="Y42" s="121"/>
      <c r="Z42" s="121"/>
      <c r="AA42" s="121"/>
      <c r="AB42" s="119">
        <v>3205660</v>
      </c>
      <c r="AC42" s="118">
        <v>16978</v>
      </c>
      <c r="AD42" s="120">
        <v>42194</v>
      </c>
    </row>
    <row r="43" spans="1:31" thickTop="1" x14ac:dyDescent="0.25">
      <c r="E43" s="4" t="s">
        <v>10</v>
      </c>
      <c r="F43" s="3">
        <f>SUM(F40:F42)</f>
        <v>659282.54</v>
      </c>
      <c r="K43" s="3">
        <f>F45+K42</f>
        <v>754097.98</v>
      </c>
      <c r="P43" s="74">
        <v>42208</v>
      </c>
      <c r="Q43" s="126" t="s">
        <v>415</v>
      </c>
      <c r="R43" s="70">
        <v>15626.4</v>
      </c>
      <c r="S43" s="146">
        <v>42217</v>
      </c>
      <c r="T43" s="70">
        <v>15626.4</v>
      </c>
      <c r="U43" s="77">
        <f t="shared" si="1"/>
        <v>0</v>
      </c>
      <c r="Y43" s="121"/>
      <c r="Z43" s="121"/>
      <c r="AA43" s="121"/>
      <c r="AB43" s="119">
        <v>2720550</v>
      </c>
      <c r="AC43" s="118">
        <v>45000</v>
      </c>
      <c r="AD43" s="120">
        <v>42195</v>
      </c>
    </row>
    <row r="44" spans="1:31" ht="17.25" customHeight="1" thickBot="1" x14ac:dyDescent="0.3">
      <c r="D44" s="361" t="s">
        <v>31</v>
      </c>
      <c r="E44" s="361"/>
      <c r="F44" s="18">
        <v>9785.5</v>
      </c>
      <c r="I44" s="4" t="s">
        <v>2</v>
      </c>
      <c r="J44" s="327"/>
      <c r="K44" s="328">
        <v>-453629.27</v>
      </c>
      <c r="P44" s="74">
        <v>42209</v>
      </c>
      <c r="Q44" s="126" t="s">
        <v>416</v>
      </c>
      <c r="R44" s="70">
        <v>18739.2</v>
      </c>
      <c r="S44" s="146">
        <v>42217</v>
      </c>
      <c r="T44" s="70">
        <v>18739.2</v>
      </c>
      <c r="U44" s="77">
        <f t="shared" si="1"/>
        <v>0</v>
      </c>
      <c r="Y44" s="121"/>
      <c r="Z44" s="121"/>
      <c r="AA44" s="121"/>
      <c r="AB44" s="119">
        <v>2720547</v>
      </c>
      <c r="AC44" s="118">
        <v>50000</v>
      </c>
      <c r="AD44" s="120">
        <v>42195</v>
      </c>
    </row>
    <row r="45" spans="1:31" ht="20.25" thickTop="1" thickBot="1" x14ac:dyDescent="0.35">
      <c r="E45" s="5" t="s">
        <v>11</v>
      </c>
      <c r="F45" s="6">
        <f>F44+F43</f>
        <v>669068.04</v>
      </c>
      <c r="I45" s="461" t="s">
        <v>12</v>
      </c>
      <c r="J45" s="462"/>
      <c r="K45" s="93">
        <f>K43+K44</f>
        <v>300468.70999999996</v>
      </c>
      <c r="P45" s="74">
        <v>42209</v>
      </c>
      <c r="Q45" s="126" t="s">
        <v>417</v>
      </c>
      <c r="R45" s="70">
        <v>3200</v>
      </c>
      <c r="S45" s="146">
        <v>42217</v>
      </c>
      <c r="T45" s="70">
        <v>3200</v>
      </c>
      <c r="U45" s="77">
        <f t="shared" si="1"/>
        <v>0</v>
      </c>
      <c r="Y45" s="183"/>
      <c r="Z45" s="163"/>
      <c r="AA45" s="163"/>
      <c r="AB45" s="351">
        <v>2720548</v>
      </c>
      <c r="AC45" s="138">
        <v>55000</v>
      </c>
      <c r="AD45" s="232">
        <v>42195</v>
      </c>
    </row>
    <row r="46" spans="1:31" ht="16.5" thickTop="1" x14ac:dyDescent="0.25">
      <c r="P46" s="74">
        <v>42210</v>
      </c>
      <c r="Q46" s="126" t="s">
        <v>418</v>
      </c>
      <c r="R46" s="70">
        <v>16823.25</v>
      </c>
      <c r="S46" s="146">
        <v>42217</v>
      </c>
      <c r="T46" s="70">
        <v>16823.25</v>
      </c>
      <c r="U46" s="77">
        <f t="shared" si="1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1567394.5</v>
      </c>
      <c r="AD46" s="229"/>
    </row>
    <row r="47" spans="1:31" ht="15" x14ac:dyDescent="0.25">
      <c r="P47" s="74">
        <v>42210</v>
      </c>
      <c r="Q47" s="126" t="s">
        <v>419</v>
      </c>
      <c r="R47" s="70">
        <v>24403.95</v>
      </c>
      <c r="S47" s="146">
        <v>42217</v>
      </c>
      <c r="T47" s="70">
        <v>24403.95</v>
      </c>
      <c r="U47" s="77">
        <f t="shared" si="1"/>
        <v>0</v>
      </c>
    </row>
    <row r="48" spans="1:31" thickBot="1" x14ac:dyDescent="0.3">
      <c r="P48" s="74">
        <v>42212</v>
      </c>
      <c r="Q48" s="126" t="s">
        <v>421</v>
      </c>
      <c r="R48" s="70">
        <v>31034.2</v>
      </c>
      <c r="S48" s="146">
        <v>42217</v>
      </c>
      <c r="T48" s="70">
        <v>31034.2</v>
      </c>
      <c r="U48" s="77">
        <f t="shared" si="1"/>
        <v>0</v>
      </c>
    </row>
    <row r="49" spans="2:31" ht="19.5" thickBot="1" x14ac:dyDescent="0.35">
      <c r="B49"/>
      <c r="C49"/>
      <c r="E49"/>
      <c r="F49"/>
      <c r="H49"/>
      <c r="I49"/>
      <c r="J49"/>
      <c r="K49"/>
      <c r="L49"/>
      <c r="M49"/>
      <c r="N49"/>
      <c r="P49" s="74">
        <v>42212</v>
      </c>
      <c r="Q49" s="126" t="s">
        <v>422</v>
      </c>
      <c r="R49" s="70">
        <v>252854.25</v>
      </c>
      <c r="S49" s="365" t="s">
        <v>471</v>
      </c>
      <c r="T49" s="274">
        <f>94619.11+158235.14</f>
        <v>252854.25</v>
      </c>
      <c r="U49" s="77">
        <f t="shared" si="1"/>
        <v>0</v>
      </c>
      <c r="Y49" s="489">
        <v>2</v>
      </c>
      <c r="Z49" s="96" t="s">
        <v>124</v>
      </c>
      <c r="AA49" s="96"/>
      <c r="AB49" s="97"/>
      <c r="AC49" s="352">
        <v>42208</v>
      </c>
      <c r="AD49" s="229"/>
    </row>
    <row r="50" spans="2:31" ht="16.5" thickBot="1" x14ac:dyDescent="0.3">
      <c r="B50"/>
      <c r="C50"/>
      <c r="E50"/>
      <c r="F50"/>
      <c r="H50"/>
      <c r="I50"/>
      <c r="J50"/>
      <c r="K50"/>
      <c r="L50"/>
      <c r="M50"/>
      <c r="N50"/>
      <c r="P50" s="74">
        <v>42213</v>
      </c>
      <c r="Q50" s="126" t="s">
        <v>424</v>
      </c>
      <c r="R50" s="70">
        <v>14415.6</v>
      </c>
      <c r="S50" s="146">
        <v>42230</v>
      </c>
      <c r="T50" s="274">
        <v>14415.6</v>
      </c>
      <c r="U50" s="77">
        <f t="shared" si="1"/>
        <v>0</v>
      </c>
      <c r="Y50" s="490"/>
      <c r="Z50" s="100"/>
      <c r="AA50" s="100"/>
      <c r="AB50" s="101"/>
      <c r="AC50" s="102"/>
      <c r="AD50" s="229"/>
    </row>
    <row r="51" spans="2:31" x14ac:dyDescent="0.25">
      <c r="B51"/>
      <c r="C51"/>
      <c r="E51"/>
      <c r="F51"/>
      <c r="H51"/>
      <c r="I51"/>
      <c r="J51"/>
      <c r="K51"/>
      <c r="L51"/>
      <c r="M51"/>
      <c r="N51"/>
      <c r="P51" s="74">
        <v>42213</v>
      </c>
      <c r="Q51" s="126" t="s">
        <v>425</v>
      </c>
      <c r="R51" s="70">
        <v>7522.9</v>
      </c>
      <c r="S51" s="146">
        <v>42230</v>
      </c>
      <c r="T51" s="274">
        <v>7522.9</v>
      </c>
      <c r="U51" s="77">
        <f t="shared" si="1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2:31" x14ac:dyDescent="0.25">
      <c r="B52"/>
      <c r="C52"/>
      <c r="E52"/>
      <c r="F52"/>
      <c r="H52" s="493"/>
      <c r="I52" s="493"/>
      <c r="J52" s="329"/>
      <c r="K52" s="330"/>
      <c r="L52"/>
      <c r="M52"/>
      <c r="N52"/>
      <c r="P52" s="74">
        <v>42213</v>
      </c>
      <c r="Q52" s="126" t="s">
        <v>426</v>
      </c>
      <c r="R52" s="70">
        <v>4355</v>
      </c>
      <c r="S52" s="146">
        <v>42230</v>
      </c>
      <c r="T52" s="274">
        <v>4355</v>
      </c>
      <c r="U52" s="77">
        <f t="shared" si="1"/>
        <v>0</v>
      </c>
      <c r="Y52" s="126" t="s">
        <v>337</v>
      </c>
      <c r="Z52" s="70">
        <v>464.03</v>
      </c>
      <c r="AA52" s="106"/>
      <c r="AB52" s="333">
        <v>3205683</v>
      </c>
      <c r="AC52" s="118">
        <v>7770.5</v>
      </c>
      <c r="AD52" s="120">
        <v>42195</v>
      </c>
      <c r="AE52" s="82"/>
    </row>
    <row r="53" spans="2:31" ht="15" x14ac:dyDescent="0.25">
      <c r="B53"/>
      <c r="C53"/>
      <c r="E53"/>
      <c r="F53"/>
      <c r="H53" s="493"/>
      <c r="I53" s="493"/>
      <c r="J53" s="329"/>
      <c r="K53" s="330"/>
      <c r="L53"/>
      <c r="M53"/>
      <c r="N53"/>
      <c r="P53" s="74">
        <v>42213</v>
      </c>
      <c r="Q53" s="126" t="s">
        <v>427</v>
      </c>
      <c r="R53" s="70">
        <v>157079.16</v>
      </c>
      <c r="S53" s="146">
        <v>42230</v>
      </c>
      <c r="T53" s="274">
        <v>157079.16</v>
      </c>
      <c r="U53" s="77">
        <f t="shared" si="1"/>
        <v>0</v>
      </c>
      <c r="Y53" s="126" t="s">
        <v>339</v>
      </c>
      <c r="Z53" s="70">
        <v>10282.299999999999</v>
      </c>
      <c r="AA53" s="111"/>
      <c r="AB53" s="333">
        <v>3205685</v>
      </c>
      <c r="AC53" s="118">
        <v>60000</v>
      </c>
      <c r="AD53" s="120">
        <v>42196</v>
      </c>
      <c r="AE53" s="82"/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>
        <v>42214</v>
      </c>
      <c r="Q54" s="126" t="s">
        <v>428</v>
      </c>
      <c r="R54" s="70">
        <v>16539.599999999999</v>
      </c>
      <c r="S54" s="146">
        <v>42230</v>
      </c>
      <c r="T54" s="274">
        <v>16539.599999999999</v>
      </c>
      <c r="U54" s="77">
        <f t="shared" si="1"/>
        <v>0</v>
      </c>
      <c r="Y54" s="126" t="s">
        <v>338</v>
      </c>
      <c r="Z54" s="70">
        <v>31680</v>
      </c>
      <c r="AA54" s="111"/>
      <c r="AB54" s="333">
        <v>3205684</v>
      </c>
      <c r="AC54" s="118">
        <v>70000</v>
      </c>
      <c r="AD54" s="120">
        <v>42196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P55" s="74">
        <v>42214</v>
      </c>
      <c r="Q55" s="126" t="s">
        <v>423</v>
      </c>
      <c r="R55" s="70">
        <v>2318.3000000000002</v>
      </c>
      <c r="S55" s="146">
        <v>42230</v>
      </c>
      <c r="T55" s="274">
        <v>2318.3000000000002</v>
      </c>
      <c r="U55" s="77">
        <f t="shared" si="1"/>
        <v>0</v>
      </c>
      <c r="Y55" s="126" t="s">
        <v>340</v>
      </c>
      <c r="Z55" s="70">
        <v>24730.400000000001</v>
      </c>
      <c r="AA55" s="111"/>
      <c r="AB55" s="333">
        <v>2720552</v>
      </c>
      <c r="AC55" s="118">
        <v>50000</v>
      </c>
      <c r="AD55" s="120">
        <v>42196</v>
      </c>
    </row>
    <row r="56" spans="2:31" ht="15" x14ac:dyDescent="0.25">
      <c r="B56"/>
      <c r="C56"/>
      <c r="E56"/>
      <c r="F56"/>
      <c r="H56"/>
      <c r="I56"/>
      <c r="J56"/>
      <c r="K56"/>
      <c r="L56"/>
      <c r="M56"/>
      <c r="N56"/>
      <c r="P56" s="74">
        <v>42215</v>
      </c>
      <c r="Q56" s="126" t="s">
        <v>429</v>
      </c>
      <c r="R56" s="70">
        <v>43675.95</v>
      </c>
      <c r="S56" s="146">
        <v>42230</v>
      </c>
      <c r="T56" s="274">
        <v>43675.95</v>
      </c>
      <c r="U56" s="77">
        <f t="shared" si="1"/>
        <v>0</v>
      </c>
      <c r="Y56" s="126" t="s">
        <v>341</v>
      </c>
      <c r="Z56" s="70">
        <v>44897.599999999999</v>
      </c>
      <c r="AA56" s="111"/>
      <c r="AB56" s="333">
        <v>2720549</v>
      </c>
      <c r="AC56" s="118">
        <v>22800</v>
      </c>
      <c r="AD56" s="120">
        <v>42196</v>
      </c>
    </row>
    <row r="57" spans="2:31" x14ac:dyDescent="0.25">
      <c r="B57"/>
      <c r="C57"/>
      <c r="E57"/>
      <c r="F57"/>
      <c r="H57"/>
      <c r="I57"/>
      <c r="J57"/>
      <c r="K57"/>
      <c r="L57"/>
      <c r="M57"/>
      <c r="N57"/>
      <c r="P57" s="74">
        <v>42215</v>
      </c>
      <c r="Q57" s="126" t="s">
        <v>430</v>
      </c>
      <c r="R57" s="70">
        <v>152969.17000000001</v>
      </c>
      <c r="S57" s="146">
        <v>42230</v>
      </c>
      <c r="T57" s="274">
        <v>152969.17000000001</v>
      </c>
      <c r="U57" s="77">
        <f t="shared" si="1"/>
        <v>0</v>
      </c>
      <c r="Y57" s="126" t="s">
        <v>349</v>
      </c>
      <c r="Z57" s="70">
        <v>288544.26</v>
      </c>
      <c r="AA57" s="190"/>
      <c r="AB57" s="333">
        <v>2720553</v>
      </c>
      <c r="AC57" s="187">
        <v>10551</v>
      </c>
      <c r="AD57" s="230">
        <v>42197</v>
      </c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>
        <v>42215</v>
      </c>
      <c r="Q58" s="126" t="s">
        <v>439</v>
      </c>
      <c r="R58" s="70">
        <v>1647.8</v>
      </c>
      <c r="S58" s="146">
        <v>42230</v>
      </c>
      <c r="T58" s="274">
        <v>1647.8</v>
      </c>
      <c r="U58" s="77">
        <f t="shared" si="1"/>
        <v>0</v>
      </c>
      <c r="Y58" s="126" t="s">
        <v>350</v>
      </c>
      <c r="Z58" s="70">
        <v>205877.35</v>
      </c>
      <c r="AA58" s="226"/>
      <c r="AB58" s="333">
        <v>2720551</v>
      </c>
      <c r="AC58" s="187">
        <v>103000</v>
      </c>
      <c r="AD58" s="230">
        <v>42197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>
        <v>42216</v>
      </c>
      <c r="Q59" s="126" t="s">
        <v>431</v>
      </c>
      <c r="R59" s="70">
        <v>9659</v>
      </c>
      <c r="S59" s="146">
        <v>42230</v>
      </c>
      <c r="T59" s="274">
        <v>9659</v>
      </c>
      <c r="U59" s="77">
        <f t="shared" si="1"/>
        <v>0</v>
      </c>
      <c r="Y59" s="126" t="s">
        <v>342</v>
      </c>
      <c r="Z59" s="70">
        <v>17556</v>
      </c>
      <c r="AA59" s="111"/>
      <c r="AB59" s="333">
        <v>2720560</v>
      </c>
      <c r="AC59" s="193">
        <v>50000</v>
      </c>
      <c r="AD59" s="230">
        <v>42198</v>
      </c>
      <c r="AE59" s="82"/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359">
        <v>42216</v>
      </c>
      <c r="Q60" s="350" t="s">
        <v>432</v>
      </c>
      <c r="R60" s="70">
        <v>5494</v>
      </c>
      <c r="S60" s="146">
        <v>42230</v>
      </c>
      <c r="T60" s="274">
        <v>5494</v>
      </c>
      <c r="U60" s="77">
        <f t="shared" si="1"/>
        <v>0</v>
      </c>
      <c r="Y60" s="126" t="s">
        <v>412</v>
      </c>
      <c r="Z60" s="70">
        <v>15595.21</v>
      </c>
      <c r="AA60" s="111"/>
      <c r="AB60" s="333">
        <v>3205682</v>
      </c>
      <c r="AC60" s="193">
        <v>8312</v>
      </c>
      <c r="AD60" s="230">
        <v>42198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358"/>
      <c r="Q61" s="360"/>
      <c r="R61" s="70">
        <v>0</v>
      </c>
      <c r="S61" s="146"/>
      <c r="T61" s="275"/>
      <c r="U61" s="77">
        <f t="shared" ref="U61" si="3">R61-T61</f>
        <v>0</v>
      </c>
      <c r="Y61" s="126" t="s">
        <v>348</v>
      </c>
      <c r="Z61" s="70">
        <v>22995</v>
      </c>
      <c r="AA61" s="111"/>
      <c r="AB61" s="333">
        <v>3205681</v>
      </c>
      <c r="AC61" s="193">
        <v>65000</v>
      </c>
      <c r="AD61" s="230">
        <v>42199</v>
      </c>
      <c r="AE61" s="82"/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46"/>
      <c r="T62" s="246"/>
      <c r="U62" s="77">
        <f t="shared" si="0"/>
        <v>0</v>
      </c>
      <c r="Y62" s="126" t="s">
        <v>351</v>
      </c>
      <c r="Z62" s="70">
        <v>33853.040000000001</v>
      </c>
      <c r="AA62" s="111"/>
      <c r="AB62" s="333">
        <v>3209301</v>
      </c>
      <c r="AC62" s="193">
        <v>57000</v>
      </c>
      <c r="AD62" s="230">
        <v>42199</v>
      </c>
      <c r="AE62" s="82"/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71"/>
      <c r="T63" s="213"/>
      <c r="U63" s="77">
        <f t="shared" si="0"/>
        <v>0</v>
      </c>
      <c r="Y63" s="126" t="s">
        <v>352</v>
      </c>
      <c r="Z63" s="70">
        <v>27897.5</v>
      </c>
      <c r="AA63" s="226"/>
      <c r="AB63" s="333">
        <v>3205680</v>
      </c>
      <c r="AC63" s="193">
        <v>9256.5</v>
      </c>
      <c r="AD63" s="230">
        <v>42199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353</v>
      </c>
      <c r="Z64" s="70">
        <v>19686.2</v>
      </c>
      <c r="AA64" s="226"/>
      <c r="AB64" s="333">
        <v>3209346</v>
      </c>
      <c r="AC64" s="193">
        <v>27000</v>
      </c>
      <c r="AD64" s="230">
        <v>42199</v>
      </c>
      <c r="AE64" s="82"/>
    </row>
    <row r="65" spans="2:31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354</v>
      </c>
      <c r="Z65" s="70">
        <v>24401.200000000001</v>
      </c>
      <c r="AA65" s="226"/>
      <c r="AB65" s="333">
        <v>3209300</v>
      </c>
      <c r="AC65" s="193">
        <v>35000</v>
      </c>
      <c r="AD65" s="230">
        <v>42200</v>
      </c>
      <c r="AE65" s="82"/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  <c r="Y66" s="126" t="s">
        <v>355</v>
      </c>
      <c r="Z66" s="70">
        <v>97509.4</v>
      </c>
      <c r="AA66" s="226"/>
      <c r="AB66" s="333">
        <v>3205678</v>
      </c>
      <c r="AC66" s="193">
        <v>75000</v>
      </c>
      <c r="AD66" s="230">
        <v>42200</v>
      </c>
      <c r="AE66" s="82"/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  <c r="Y67" s="126" t="s">
        <v>356</v>
      </c>
      <c r="Z67" s="70">
        <v>27833.4</v>
      </c>
      <c r="AA67" s="226"/>
      <c r="AB67" s="333">
        <v>3205677</v>
      </c>
      <c r="AC67" s="193">
        <v>9402</v>
      </c>
      <c r="AD67" s="230">
        <v>42200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2" si="4">R68-T68</f>
        <v>0</v>
      </c>
      <c r="Y68" s="126" t="s">
        <v>369</v>
      </c>
      <c r="Z68" s="70">
        <v>13118.3</v>
      </c>
      <c r="AA68" s="244"/>
      <c r="AB68" s="333">
        <v>2961203</v>
      </c>
      <c r="AC68" s="193">
        <v>50600</v>
      </c>
      <c r="AD68" s="230">
        <v>42194</v>
      </c>
      <c r="AE68" s="82">
        <v>42201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 t="s">
        <v>367</v>
      </c>
      <c r="Z69" s="70">
        <v>30281.4</v>
      </c>
      <c r="AA69" s="226"/>
      <c r="AB69" s="333">
        <v>3205679</v>
      </c>
      <c r="AC69" s="193">
        <v>45000</v>
      </c>
      <c r="AD69" s="230">
        <v>42201</v>
      </c>
      <c r="AE69" s="82"/>
    </row>
    <row r="70" spans="2:31" ht="15" x14ac:dyDescent="0.25">
      <c r="B70"/>
      <c r="C70"/>
      <c r="E70"/>
      <c r="F70"/>
      <c r="H70"/>
      <c r="I70"/>
      <c r="J70"/>
      <c r="K70"/>
      <c r="L70"/>
      <c r="M70"/>
      <c r="N70"/>
      <c r="P70" s="74"/>
      <c r="Q70" s="126"/>
      <c r="R70" s="70"/>
      <c r="S70" s="131"/>
      <c r="T70" s="85"/>
      <c r="U70" s="77">
        <f t="shared" si="4"/>
        <v>0</v>
      </c>
      <c r="Y70" s="126" t="s">
        <v>368</v>
      </c>
      <c r="Z70" s="70">
        <v>30110.799999999999</v>
      </c>
      <c r="AA70" s="226"/>
      <c r="AB70" s="333"/>
      <c r="AC70" s="193"/>
      <c r="AD70" s="230"/>
    </row>
    <row r="71" spans="2:31" ht="15" x14ac:dyDescent="0.25">
      <c r="B71"/>
      <c r="C71"/>
      <c r="E71"/>
      <c r="F71"/>
      <c r="H71"/>
      <c r="I71"/>
      <c r="J71"/>
      <c r="K71"/>
      <c r="L71"/>
      <c r="M71"/>
      <c r="N71"/>
      <c r="P71" s="74"/>
      <c r="Q71" s="126"/>
      <c r="R71" s="70"/>
      <c r="S71" s="131"/>
      <c r="T71" s="85"/>
      <c r="U71" s="77">
        <f t="shared" si="4"/>
        <v>0</v>
      </c>
      <c r="Y71" s="126" t="s">
        <v>370</v>
      </c>
      <c r="Z71" s="70">
        <v>306728.5</v>
      </c>
      <c r="AA71" s="226"/>
      <c r="AB71" s="333"/>
      <c r="AC71" s="193"/>
      <c r="AD71" s="230"/>
    </row>
    <row r="72" spans="2:31" thickBot="1" x14ac:dyDescent="0.3">
      <c r="B72"/>
      <c r="C72"/>
      <c r="E72"/>
      <c r="F72"/>
      <c r="H72"/>
      <c r="I72"/>
      <c r="J72"/>
      <c r="K72"/>
      <c r="L72"/>
      <c r="M72"/>
      <c r="N72"/>
      <c r="P72" s="23"/>
      <c r="Q72" s="142"/>
      <c r="R72" s="133"/>
      <c r="S72" s="142"/>
      <c r="T72" s="143"/>
      <c r="U72" s="134">
        <f t="shared" si="4"/>
        <v>0</v>
      </c>
      <c r="Y72" s="126" t="s">
        <v>371</v>
      </c>
      <c r="Z72" s="70">
        <v>165489.10999999999</v>
      </c>
      <c r="AA72" s="226"/>
      <c r="AB72" s="333"/>
      <c r="AC72" s="193"/>
      <c r="AD72" s="230"/>
    </row>
    <row r="73" spans="2:31" ht="16.5" thickTop="1" x14ac:dyDescent="0.25">
      <c r="B73"/>
      <c r="C73"/>
      <c r="E73"/>
      <c r="F73"/>
      <c r="H73"/>
      <c r="I73"/>
      <c r="J73"/>
      <c r="K73"/>
      <c r="L73"/>
      <c r="M73"/>
      <c r="N73"/>
      <c r="P73"/>
      <c r="Q73"/>
      <c r="R73" s="132">
        <f>SUM(R4:R72)</f>
        <v>3373122.48</v>
      </c>
      <c r="S73" s="132"/>
      <c r="T73" s="144">
        <f t="shared" ref="T73" si="5">SUM(T4:T72)</f>
        <v>3373122.48</v>
      </c>
      <c r="U73" s="144">
        <f>SUM(U4:U72)</f>
        <v>0</v>
      </c>
      <c r="Y73" s="126" t="s">
        <v>372</v>
      </c>
      <c r="Z73" s="70">
        <v>16419.599999999999</v>
      </c>
      <c r="AA73" s="226"/>
      <c r="AB73" s="251"/>
      <c r="AC73" s="193"/>
      <c r="AD73" s="230"/>
    </row>
    <row r="74" spans="2:31" ht="15" x14ac:dyDescent="0.25">
      <c r="B74"/>
      <c r="C74"/>
      <c r="E74"/>
      <c r="F74"/>
      <c r="H74"/>
      <c r="I74"/>
      <c r="J74"/>
      <c r="K74"/>
      <c r="L74"/>
      <c r="M74"/>
      <c r="N74"/>
      <c r="P74" s="8"/>
      <c r="Q74" s="8"/>
      <c r="R74" s="8"/>
      <c r="S74" s="8"/>
      <c r="T74" s="145"/>
      <c r="U74" s="145"/>
      <c r="V74" s="8"/>
      <c r="Y74" s="126" t="s">
        <v>373</v>
      </c>
      <c r="Z74" s="70">
        <v>9252.1</v>
      </c>
      <c r="AA74" s="226"/>
      <c r="AB74" s="251"/>
      <c r="AC74" s="193"/>
      <c r="AD74" s="230"/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 t="s">
        <v>374</v>
      </c>
      <c r="Z75" s="70">
        <v>5474.59</v>
      </c>
      <c r="AA75" s="226"/>
      <c r="AB75" s="251"/>
      <c r="AC75" s="193"/>
      <c r="AD75" s="230"/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 t="s">
        <v>375</v>
      </c>
      <c r="Z76" s="70">
        <v>38498.400000000001</v>
      </c>
      <c r="AA76" s="226"/>
      <c r="AB76" s="251"/>
      <c r="AC76" s="193"/>
      <c r="AD76" s="230"/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 t="s">
        <v>376</v>
      </c>
      <c r="Z77" s="70">
        <v>36629.839999999997</v>
      </c>
      <c r="AA77" s="226"/>
      <c r="AB77" s="251"/>
      <c r="AC77" s="193"/>
      <c r="AD77" s="230"/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 t="s">
        <v>377</v>
      </c>
      <c r="Z78" s="70">
        <v>28927.200000000001</v>
      </c>
      <c r="AA78" s="226"/>
      <c r="AB78" s="251"/>
      <c r="AC78" s="193"/>
      <c r="AD78" s="230"/>
    </row>
    <row r="79" spans="2:31" x14ac:dyDescent="0.25">
      <c r="B79"/>
      <c r="C79"/>
      <c r="E79"/>
      <c r="F79"/>
      <c r="H79"/>
      <c r="I79"/>
      <c r="J79"/>
      <c r="K79"/>
      <c r="L79"/>
      <c r="M79"/>
      <c r="N79"/>
      <c r="Y79" s="126" t="s">
        <v>378</v>
      </c>
      <c r="Z79" s="70">
        <v>4422</v>
      </c>
      <c r="AA79" s="226"/>
      <c r="AB79" s="251"/>
      <c r="AC79" s="193"/>
      <c r="AD79" s="230"/>
    </row>
    <row r="80" spans="2:31" x14ac:dyDescent="0.25">
      <c r="B80"/>
      <c r="C80"/>
      <c r="E80"/>
      <c r="F80"/>
      <c r="H80"/>
      <c r="I80"/>
      <c r="J80"/>
      <c r="K80"/>
      <c r="L80"/>
      <c r="M80"/>
      <c r="N80"/>
      <c r="Y80" s="126" t="s">
        <v>381</v>
      </c>
      <c r="Z80" s="70">
        <v>189878.1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 t="s">
        <v>379</v>
      </c>
      <c r="Z81" s="70">
        <v>29716.400000000001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 t="s">
        <v>380</v>
      </c>
      <c r="Z82" s="70">
        <v>9386</v>
      </c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 t="s">
        <v>386</v>
      </c>
      <c r="Z83" s="70">
        <v>239352.91</v>
      </c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 t="s">
        <v>382</v>
      </c>
      <c r="Z84" s="70">
        <v>18850.5</v>
      </c>
      <c r="AA84" s="226"/>
      <c r="AB84" s="251"/>
      <c r="AC84" s="193"/>
      <c r="AD84" s="230"/>
    </row>
    <row r="85" spans="2:3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  <c r="Y85" s="126" t="s">
        <v>383</v>
      </c>
      <c r="Z85" s="70">
        <v>120038.7</v>
      </c>
      <c r="AA85" s="226"/>
      <c r="AB85" s="251"/>
      <c r="AC85" s="193"/>
      <c r="AD85" s="230"/>
    </row>
    <row r="86" spans="2:3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  <c r="Y86" s="126" t="s">
        <v>384</v>
      </c>
      <c r="Z86" s="129">
        <v>23370.799999999999</v>
      </c>
      <c r="AA86" s="226"/>
      <c r="AB86" s="251"/>
      <c r="AC86" s="193"/>
      <c r="AD86" s="230"/>
    </row>
    <row r="87" spans="2:30" ht="15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126" t="s">
        <v>385</v>
      </c>
      <c r="Z87" s="70">
        <v>3944.2</v>
      </c>
      <c r="AA87" s="226"/>
      <c r="AB87" s="251"/>
      <c r="AC87" s="193"/>
      <c r="AD87" s="230"/>
    </row>
    <row r="88" spans="2:30" x14ac:dyDescent="0.25">
      <c r="W88" s="8"/>
      <c r="Y88" s="126" t="s">
        <v>391</v>
      </c>
      <c r="Z88" s="70">
        <v>30920.400000000001</v>
      </c>
      <c r="AA88" s="226"/>
      <c r="AB88" s="251"/>
      <c r="AC88" s="193"/>
      <c r="AD88" s="230"/>
    </row>
    <row r="89" spans="2:30" x14ac:dyDescent="0.25">
      <c r="W89" s="8"/>
      <c r="Y89" s="126" t="s">
        <v>387</v>
      </c>
      <c r="Z89" s="70">
        <v>78473.759999999995</v>
      </c>
      <c r="AA89" s="226"/>
      <c r="AB89" s="251"/>
      <c r="AC89" s="193"/>
      <c r="AD89" s="230"/>
    </row>
    <row r="90" spans="2:30" x14ac:dyDescent="0.25">
      <c r="Y90" s="126"/>
      <c r="Z90" s="70"/>
      <c r="AA90" s="226"/>
      <c r="AB90" s="251"/>
      <c r="AC90" s="193"/>
      <c r="AD90" s="230"/>
    </row>
    <row r="91" spans="2:30" ht="16.5" thickBot="1" x14ac:dyDescent="0.3">
      <c r="Y91" s="183"/>
      <c r="Z91" s="163"/>
      <c r="AA91" s="163"/>
      <c r="AB91" s="338"/>
      <c r="AC91" s="138"/>
      <c r="AD91" s="232"/>
    </row>
    <row r="92" spans="2:30" x14ac:dyDescent="0.25">
      <c r="Y92" s="197" t="s">
        <v>153</v>
      </c>
      <c r="Z92" s="198">
        <f>SUM(Z52:Z91)</f>
        <v>2323086.5</v>
      </c>
      <c r="AA92" s="271"/>
      <c r="AB92" s="199" t="s">
        <v>153</v>
      </c>
      <c r="AC92" s="200">
        <f>SUM(AC52:AC91)</f>
        <v>755692</v>
      </c>
      <c r="AD92" s="229"/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AC93" s="205">
        <v>0</v>
      </c>
    </row>
    <row r="94" spans="2:30" ht="16.5" thickBot="1" x14ac:dyDescent="0.3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AA94" s="104" t="s">
        <v>299</v>
      </c>
      <c r="AB94" s="323"/>
      <c r="AC94" s="324">
        <f>AC46</f>
        <v>1567394.5</v>
      </c>
    </row>
    <row r="95" spans="2:30" ht="18.75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AB95" s="96" t="s">
        <v>300</v>
      </c>
      <c r="AC95" s="325">
        <f>AC92+AC94</f>
        <v>2323086.5</v>
      </c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3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30" thickBot="1" x14ac:dyDescent="0.3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30" ht="19.5" thickBot="1" x14ac:dyDescent="0.3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491">
        <v>1</v>
      </c>
      <c r="Z99" s="96" t="s">
        <v>124</v>
      </c>
      <c r="AA99" s="96"/>
      <c r="AB99" s="97"/>
      <c r="AC99" s="354">
        <v>42217</v>
      </c>
      <c r="AD99" s="229"/>
    </row>
    <row r="100" spans="2:30" ht="16.5" thickBot="1" x14ac:dyDescent="0.3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492"/>
      <c r="Z100" s="100"/>
      <c r="AA100" s="100"/>
      <c r="AB100" s="101"/>
      <c r="AC100" s="102"/>
      <c r="AD100" s="229"/>
    </row>
    <row r="101" spans="2:30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04" t="s">
        <v>126</v>
      </c>
      <c r="Z101" s="100" t="s">
        <v>127</v>
      </c>
      <c r="AA101" s="100"/>
      <c r="AB101" s="101" t="s">
        <v>128</v>
      </c>
      <c r="AC101" s="102" t="s">
        <v>129</v>
      </c>
      <c r="AD101" s="229"/>
    </row>
    <row r="102" spans="2:30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05" t="s">
        <v>387</v>
      </c>
      <c r="Z102" s="106">
        <v>125347.74</v>
      </c>
      <c r="AA102" s="106"/>
      <c r="AB102" s="186">
        <v>3205671</v>
      </c>
      <c r="AC102" s="187">
        <v>37510</v>
      </c>
      <c r="AD102" s="230">
        <v>42201</v>
      </c>
    </row>
    <row r="103" spans="2:30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 t="s">
        <v>388</v>
      </c>
      <c r="Z103" s="70">
        <v>213600.75</v>
      </c>
      <c r="AA103" s="111"/>
      <c r="AB103" s="186">
        <v>3205676</v>
      </c>
      <c r="AC103" s="187">
        <v>55000</v>
      </c>
      <c r="AD103" s="230">
        <v>42201</v>
      </c>
    </row>
    <row r="104" spans="2:30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 t="s">
        <v>389</v>
      </c>
      <c r="Z104" s="70">
        <v>26062</v>
      </c>
      <c r="AA104" s="111"/>
      <c r="AB104" s="186">
        <v>3205675</v>
      </c>
      <c r="AC104" s="187">
        <v>70000</v>
      </c>
      <c r="AD104" s="230">
        <v>42202</v>
      </c>
    </row>
    <row r="105" spans="2:30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 t="s">
        <v>390</v>
      </c>
      <c r="Z105" s="70">
        <v>2686.2</v>
      </c>
      <c r="AA105" s="111"/>
      <c r="AB105" s="186">
        <v>3205674</v>
      </c>
      <c r="AC105" s="187">
        <v>40000</v>
      </c>
      <c r="AD105" s="230">
        <v>42202</v>
      </c>
    </row>
    <row r="106" spans="2:30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 t="s">
        <v>392</v>
      </c>
      <c r="Z106" s="70">
        <v>4998.2</v>
      </c>
      <c r="AA106" s="111"/>
      <c r="AB106" s="186">
        <v>3205672</v>
      </c>
      <c r="AC106" s="187">
        <v>35462.400000000001</v>
      </c>
      <c r="AD106" s="230">
        <v>42202</v>
      </c>
    </row>
    <row r="107" spans="2:30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 t="s">
        <v>393</v>
      </c>
      <c r="Z107" s="70">
        <v>31922.2</v>
      </c>
      <c r="AA107" s="190"/>
      <c r="AB107" s="186">
        <v>3205670</v>
      </c>
      <c r="AC107" s="187">
        <v>33000</v>
      </c>
      <c r="AD107" s="230">
        <v>42202</v>
      </c>
    </row>
    <row r="108" spans="2:30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 t="s">
        <v>420</v>
      </c>
      <c r="Z108" s="70">
        <v>109650</v>
      </c>
      <c r="AA108" s="226"/>
      <c r="AB108" s="186">
        <v>3203830</v>
      </c>
      <c r="AC108" s="187">
        <v>50000</v>
      </c>
      <c r="AD108" s="230">
        <v>42203</v>
      </c>
    </row>
    <row r="109" spans="2:30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 t="s">
        <v>414</v>
      </c>
      <c r="Z109" s="70">
        <v>14341.2</v>
      </c>
      <c r="AA109" s="111"/>
      <c r="AB109" s="186">
        <v>3205673</v>
      </c>
      <c r="AC109" s="187">
        <v>70000</v>
      </c>
      <c r="AD109" s="230">
        <v>42203</v>
      </c>
    </row>
    <row r="110" spans="2:3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 t="s">
        <v>415</v>
      </c>
      <c r="Z110" s="70">
        <v>15626.4</v>
      </c>
      <c r="AA110" s="111"/>
      <c r="AB110" s="192">
        <v>3203831</v>
      </c>
      <c r="AC110" s="193">
        <v>68000</v>
      </c>
      <c r="AD110" s="230">
        <v>42203</v>
      </c>
    </row>
    <row r="111" spans="2:3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 t="s">
        <v>416</v>
      </c>
      <c r="Z111" s="70">
        <v>18739.2</v>
      </c>
      <c r="AA111" s="111"/>
      <c r="AB111" s="192">
        <v>3203833</v>
      </c>
      <c r="AC111" s="193">
        <v>9123</v>
      </c>
      <c r="AD111" s="230">
        <v>42203</v>
      </c>
    </row>
    <row r="112" spans="2:3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 t="s">
        <v>417</v>
      </c>
      <c r="Z112" s="70">
        <v>3200</v>
      </c>
      <c r="AA112" s="111"/>
      <c r="AB112" s="192">
        <v>3203832</v>
      </c>
      <c r="AC112" s="193">
        <v>68000</v>
      </c>
      <c r="AD112" s="230">
        <v>42204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 t="s">
        <v>418</v>
      </c>
      <c r="Z113" s="70">
        <v>16823.25</v>
      </c>
      <c r="AA113" s="226"/>
      <c r="AB113" s="192">
        <v>3203836</v>
      </c>
      <c r="AC113" s="193">
        <v>11987.5</v>
      </c>
      <c r="AD113" s="230">
        <v>42204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 t="s">
        <v>419</v>
      </c>
      <c r="Z114" s="70">
        <v>24403.95</v>
      </c>
      <c r="AA114" s="226"/>
      <c r="AB114" s="192">
        <v>3203834</v>
      </c>
      <c r="AC114" s="193">
        <v>75000</v>
      </c>
      <c r="AD114" s="230">
        <v>42205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 t="s">
        <v>421</v>
      </c>
      <c r="Z115" s="70">
        <v>31034.2</v>
      </c>
      <c r="AA115" s="226"/>
      <c r="AB115" s="192">
        <v>3203835</v>
      </c>
      <c r="AC115" s="193">
        <v>65000</v>
      </c>
      <c r="AD115" s="230">
        <v>42205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126" t="s">
        <v>422</v>
      </c>
      <c r="Z116" s="70">
        <v>94619.11</v>
      </c>
      <c r="AA116" s="244" t="s">
        <v>137</v>
      </c>
      <c r="AB116" s="192">
        <v>3203840</v>
      </c>
      <c r="AC116" s="193">
        <v>44971.5</v>
      </c>
      <c r="AD116" s="230">
        <v>42205</v>
      </c>
    </row>
    <row r="117" spans="2:30" ht="16.5" thickBot="1" x14ac:dyDescent="0.3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183"/>
      <c r="Z117" s="163"/>
      <c r="AA117" s="163"/>
      <c r="AB117" s="351"/>
      <c r="AC117" s="138">
        <v>0</v>
      </c>
      <c r="AD117" s="232"/>
    </row>
    <row r="118" spans="2:30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197" t="s">
        <v>153</v>
      </c>
      <c r="Z118" s="198">
        <f>SUM(Z102:Z117)</f>
        <v>733054.39999999991</v>
      </c>
      <c r="AA118" s="271"/>
      <c r="AB118" s="199" t="s">
        <v>153</v>
      </c>
      <c r="AC118" s="200">
        <f>SUM(AC102:AC117)</f>
        <v>733054.4</v>
      </c>
      <c r="AD118" s="229"/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3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3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3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3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3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3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0:20" customFormat="1" ht="15" x14ac:dyDescent="0.25">
      <c r="T129" s="23"/>
    </row>
    <row r="130" spans="20:20" customFormat="1" ht="15" x14ac:dyDescent="0.25">
      <c r="T130" s="23"/>
    </row>
    <row r="131" spans="20:20" customFormat="1" ht="15" x14ac:dyDescent="0.25">
      <c r="T131" s="23"/>
    </row>
    <row r="132" spans="20:20" customFormat="1" ht="15" x14ac:dyDescent="0.25">
      <c r="T132" s="23"/>
    </row>
    <row r="133" spans="20:20" customFormat="1" ht="15" x14ac:dyDescent="0.25">
      <c r="T133" s="23"/>
    </row>
    <row r="134" spans="20:20" customFormat="1" ht="15" x14ac:dyDescent="0.25">
      <c r="T134" s="23"/>
    </row>
    <row r="135" spans="20:20" customFormat="1" ht="15" x14ac:dyDescent="0.25">
      <c r="T135" s="23"/>
    </row>
    <row r="136" spans="20:20" customFormat="1" ht="15" x14ac:dyDescent="0.25">
      <c r="T136" s="23"/>
    </row>
    <row r="137" spans="20:20" customFormat="1" ht="15" x14ac:dyDescent="0.25">
      <c r="T137" s="23"/>
    </row>
    <row r="138" spans="20:20" customFormat="1" ht="15" x14ac:dyDescent="0.25">
      <c r="T138" s="23"/>
    </row>
  </sheetData>
  <sortState ref="P28:U60">
    <sortCondition ref="Q28:Q60"/>
  </sortState>
  <mergeCells count="13">
    <mergeCell ref="A38:B38"/>
    <mergeCell ref="A40:B40"/>
    <mergeCell ref="D40:E40"/>
    <mergeCell ref="I45:J45"/>
    <mergeCell ref="Y99:Y100"/>
    <mergeCell ref="Y49:Y50"/>
    <mergeCell ref="H39:I39"/>
    <mergeCell ref="J39:K39"/>
    <mergeCell ref="C1:J1"/>
    <mergeCell ref="Y1:Y2"/>
    <mergeCell ref="E3:F3"/>
    <mergeCell ref="I3:K3"/>
    <mergeCell ref="H52:I53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E124"/>
  <sheetViews>
    <sheetView topLeftCell="A37" workbookViewId="0">
      <selection activeCell="F58" sqref="F58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7.5703125" customWidth="1"/>
    <col min="29" max="29" width="19.5703125" bestFit="1" customWidth="1"/>
    <col min="31" max="31" width="12.5703125" bestFit="1" customWidth="1"/>
    <col min="35" max="35" width="26.28515625" bestFit="1" customWidth="1"/>
    <col min="38" max="38" width="19.5703125" bestFit="1" customWidth="1"/>
  </cols>
  <sheetData>
    <row r="1" spans="1:30" ht="24" customHeight="1" thickBot="1" x14ac:dyDescent="0.4">
      <c r="C1" s="456" t="s">
        <v>438</v>
      </c>
      <c r="D1" s="456"/>
      <c r="E1" s="456"/>
      <c r="F1" s="456"/>
      <c r="G1" s="456"/>
      <c r="H1" s="456"/>
      <c r="I1" s="456"/>
      <c r="J1" s="456"/>
      <c r="M1" s="382"/>
      <c r="N1" s="382" t="s">
        <v>529</v>
      </c>
      <c r="O1" s="383"/>
      <c r="P1" s="384"/>
      <c r="Y1" s="491">
        <v>1</v>
      </c>
      <c r="Z1" s="96" t="s">
        <v>124</v>
      </c>
      <c r="AA1" s="96"/>
      <c r="AB1" s="97"/>
      <c r="AC1" s="353">
        <v>42230</v>
      </c>
      <c r="AD1" s="229"/>
    </row>
    <row r="2" spans="1:30" ht="19.5" customHeight="1" thickBot="1" x14ac:dyDescent="0.35">
      <c r="C2" s="174" t="s">
        <v>0</v>
      </c>
      <c r="E2" s="33"/>
      <c r="F2" s="33"/>
      <c r="R2" s="96" t="s">
        <v>310</v>
      </c>
      <c r="Y2" s="492"/>
      <c r="Z2" s="100"/>
      <c r="AA2" s="100"/>
      <c r="AB2" s="101"/>
      <c r="AC2" s="102"/>
      <c r="AD2" s="229"/>
    </row>
    <row r="3" spans="1:30" ht="32.25" thickTop="1" thickBot="1" x14ac:dyDescent="0.35">
      <c r="A3" s="9" t="s">
        <v>2</v>
      </c>
      <c r="B3" s="42"/>
      <c r="C3" s="175">
        <v>0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0" ht="16.5" thickTop="1" x14ac:dyDescent="0.25">
      <c r="B4" s="43">
        <v>42217</v>
      </c>
      <c r="C4" s="176">
        <v>13054</v>
      </c>
      <c r="D4" s="83" t="s">
        <v>122</v>
      </c>
      <c r="E4" s="224">
        <v>42217</v>
      </c>
      <c r="F4" s="28">
        <v>112702</v>
      </c>
      <c r="G4" s="23"/>
      <c r="H4" s="46">
        <v>42217</v>
      </c>
      <c r="I4" s="29">
        <v>240</v>
      </c>
      <c r="J4" s="48"/>
      <c r="K4" s="49"/>
      <c r="L4" s="89">
        <v>99408</v>
      </c>
      <c r="M4" s="89"/>
      <c r="N4" s="89"/>
      <c r="P4" s="74">
        <v>42217</v>
      </c>
      <c r="Q4" s="126" t="s">
        <v>440</v>
      </c>
      <c r="R4" s="70">
        <v>17630</v>
      </c>
      <c r="S4" s="71">
        <v>42230</v>
      </c>
      <c r="T4" s="70">
        <v>17630</v>
      </c>
      <c r="U4" s="170">
        <f t="shared" ref="U4:U65" si="0">R4-T4</f>
        <v>0</v>
      </c>
      <c r="V4" s="73"/>
      <c r="Y4" s="105" t="s">
        <v>461</v>
      </c>
      <c r="Z4" s="106">
        <v>4599</v>
      </c>
      <c r="AA4" s="106"/>
      <c r="AB4" s="186">
        <v>3203839</v>
      </c>
      <c r="AC4" s="187">
        <v>25553</v>
      </c>
      <c r="AD4" s="230">
        <v>42206</v>
      </c>
    </row>
    <row r="5" spans="1:30" x14ac:dyDescent="0.25">
      <c r="B5" s="43">
        <v>42218</v>
      </c>
      <c r="C5" s="176">
        <v>21893</v>
      </c>
      <c r="D5" s="363" t="s">
        <v>122</v>
      </c>
      <c r="E5" s="225">
        <v>42218</v>
      </c>
      <c r="F5" s="28">
        <v>84216</v>
      </c>
      <c r="G5" s="20"/>
      <c r="H5" s="47">
        <v>42218</v>
      </c>
      <c r="I5" s="29">
        <v>100</v>
      </c>
      <c r="J5" s="50" t="s">
        <v>5</v>
      </c>
      <c r="K5" s="34">
        <v>649</v>
      </c>
      <c r="L5" s="89">
        <v>62223</v>
      </c>
      <c r="M5" s="89"/>
      <c r="N5" s="89"/>
      <c r="P5" s="74">
        <v>42217</v>
      </c>
      <c r="Q5" s="126" t="s">
        <v>441</v>
      </c>
      <c r="R5" s="70">
        <v>28942</v>
      </c>
      <c r="S5" s="71">
        <v>42230</v>
      </c>
      <c r="T5" s="70">
        <v>28942</v>
      </c>
      <c r="U5" s="72">
        <f t="shared" si="0"/>
        <v>0</v>
      </c>
      <c r="V5" s="75"/>
      <c r="Y5" s="168" t="s">
        <v>437</v>
      </c>
      <c r="Z5" s="169">
        <v>362502.9</v>
      </c>
      <c r="AA5" s="111"/>
      <c r="AB5" s="186">
        <v>3203838</v>
      </c>
      <c r="AC5" s="187">
        <v>37500</v>
      </c>
      <c r="AD5" s="230">
        <v>42207</v>
      </c>
    </row>
    <row r="6" spans="1:30" x14ac:dyDescent="0.25">
      <c r="B6" s="43">
        <v>42219</v>
      </c>
      <c r="C6" s="176">
        <v>16095</v>
      </c>
      <c r="D6" s="363" t="s">
        <v>122</v>
      </c>
      <c r="E6" s="225">
        <v>42219</v>
      </c>
      <c r="F6" s="28">
        <v>244556</v>
      </c>
      <c r="G6" s="23"/>
      <c r="H6" s="47">
        <v>42219</v>
      </c>
      <c r="I6" s="29">
        <v>0</v>
      </c>
      <c r="J6" s="260" t="s">
        <v>498</v>
      </c>
      <c r="K6" s="34">
        <v>10000</v>
      </c>
      <c r="L6" s="89">
        <v>228461</v>
      </c>
      <c r="M6" s="89"/>
      <c r="N6" s="89"/>
      <c r="P6" s="74">
        <v>42217</v>
      </c>
      <c r="Q6" s="126" t="s">
        <v>442</v>
      </c>
      <c r="R6" s="70">
        <v>16108.8</v>
      </c>
      <c r="S6" s="71">
        <v>42230</v>
      </c>
      <c r="T6" s="70">
        <v>16108.8</v>
      </c>
      <c r="U6" s="72">
        <f t="shared" si="0"/>
        <v>0</v>
      </c>
      <c r="V6" s="76"/>
      <c r="Y6" s="126" t="s">
        <v>422</v>
      </c>
      <c r="Z6" s="70">
        <v>158235.14000000001</v>
      </c>
      <c r="AA6" s="111"/>
      <c r="AB6" s="186">
        <v>3203842</v>
      </c>
      <c r="AC6" s="187">
        <v>29298</v>
      </c>
      <c r="AD6" s="230">
        <v>42207</v>
      </c>
    </row>
    <row r="7" spans="1:30" x14ac:dyDescent="0.25">
      <c r="B7" s="43">
        <v>42220</v>
      </c>
      <c r="C7" s="176">
        <v>1422</v>
      </c>
      <c r="D7" s="363" t="s">
        <v>122</v>
      </c>
      <c r="E7" s="225">
        <v>42220</v>
      </c>
      <c r="F7" s="28">
        <v>132276</v>
      </c>
      <c r="G7" s="23"/>
      <c r="H7" s="47">
        <v>42220</v>
      </c>
      <c r="I7" s="29">
        <v>0</v>
      </c>
      <c r="J7" s="50" t="s">
        <v>6</v>
      </c>
      <c r="K7" s="34">
        <v>28750</v>
      </c>
      <c r="L7" s="89">
        <v>130854</v>
      </c>
      <c r="M7" s="89"/>
      <c r="N7" s="89"/>
      <c r="P7" s="74">
        <v>42217</v>
      </c>
      <c r="Q7" s="126" t="s">
        <v>443</v>
      </c>
      <c r="R7" s="70">
        <v>172985</v>
      </c>
      <c r="S7" s="71">
        <v>42230</v>
      </c>
      <c r="T7" s="70">
        <v>172985</v>
      </c>
      <c r="U7" s="77">
        <f t="shared" ref="U7:U24" si="1">R7-T7</f>
        <v>0</v>
      </c>
      <c r="V7" s="76"/>
      <c r="Y7" s="126" t="s">
        <v>424</v>
      </c>
      <c r="Z7" s="70">
        <v>14415.6</v>
      </c>
      <c r="AA7" s="111"/>
      <c r="AB7" s="186">
        <v>3203841</v>
      </c>
      <c r="AC7" s="187">
        <v>38500</v>
      </c>
      <c r="AD7" s="230">
        <v>42207</v>
      </c>
    </row>
    <row r="8" spans="1:30" x14ac:dyDescent="0.25">
      <c r="B8" s="43">
        <v>42221</v>
      </c>
      <c r="C8" s="176">
        <v>0</v>
      </c>
      <c r="D8" s="363"/>
      <c r="E8" s="225">
        <v>42221</v>
      </c>
      <c r="F8" s="28">
        <v>103140</v>
      </c>
      <c r="G8" s="23"/>
      <c r="H8" s="47">
        <v>42221</v>
      </c>
      <c r="I8" s="29">
        <v>30</v>
      </c>
      <c r="J8" s="50" t="s">
        <v>463</v>
      </c>
      <c r="K8" s="28">
        <v>11803.22</v>
      </c>
      <c r="L8" s="89">
        <v>103110</v>
      </c>
      <c r="M8" s="89"/>
      <c r="N8" s="89"/>
      <c r="P8" s="74">
        <v>42217</v>
      </c>
      <c r="Q8" s="126" t="s">
        <v>444</v>
      </c>
      <c r="R8" s="70">
        <v>133031.41</v>
      </c>
      <c r="S8" s="71">
        <v>42230</v>
      </c>
      <c r="T8" s="70">
        <v>133031.41</v>
      </c>
      <c r="U8" s="72">
        <f t="shared" si="1"/>
        <v>0</v>
      </c>
      <c r="V8" s="76"/>
      <c r="Y8" s="126" t="s">
        <v>425</v>
      </c>
      <c r="Z8" s="70">
        <v>7522.9</v>
      </c>
      <c r="AA8" s="111"/>
      <c r="AB8" s="186">
        <v>3203879</v>
      </c>
      <c r="AC8" s="187">
        <v>65000</v>
      </c>
      <c r="AD8" s="230">
        <v>42208</v>
      </c>
    </row>
    <row r="9" spans="1:30" x14ac:dyDescent="0.25">
      <c r="B9" s="43">
        <v>42222</v>
      </c>
      <c r="C9" s="176">
        <v>4354</v>
      </c>
      <c r="D9" s="363" t="s">
        <v>122</v>
      </c>
      <c r="E9" s="225">
        <v>42222</v>
      </c>
      <c r="F9" s="28">
        <v>102929.5</v>
      </c>
      <c r="G9" s="23"/>
      <c r="H9" s="47">
        <v>42222</v>
      </c>
      <c r="I9" s="29">
        <v>54</v>
      </c>
      <c r="J9" s="50" t="s">
        <v>464</v>
      </c>
      <c r="K9" s="28">
        <v>12336.55</v>
      </c>
      <c r="L9" s="89">
        <v>98521.5</v>
      </c>
      <c r="M9" s="89"/>
      <c r="N9" s="89"/>
      <c r="P9" s="74">
        <v>42219</v>
      </c>
      <c r="Q9" s="126" t="s">
        <v>445</v>
      </c>
      <c r="R9" s="70">
        <v>13307.8</v>
      </c>
      <c r="S9" s="71">
        <v>42230</v>
      </c>
      <c r="T9" s="70">
        <v>13307.8</v>
      </c>
      <c r="U9" s="77">
        <f t="shared" si="1"/>
        <v>0</v>
      </c>
      <c r="V9" s="76"/>
      <c r="Y9" s="126" t="s">
        <v>426</v>
      </c>
      <c r="Z9" s="70">
        <v>4355</v>
      </c>
      <c r="AA9" s="190"/>
      <c r="AB9" s="186">
        <v>3203878</v>
      </c>
      <c r="AC9" s="187">
        <v>31985</v>
      </c>
      <c r="AD9" s="230">
        <v>42208</v>
      </c>
    </row>
    <row r="10" spans="1:30" x14ac:dyDescent="0.25">
      <c r="A10" s="21"/>
      <c r="B10" s="43">
        <v>42223</v>
      </c>
      <c r="C10" s="176">
        <v>2101</v>
      </c>
      <c r="D10" s="363" t="s">
        <v>467</v>
      </c>
      <c r="E10" s="225">
        <v>42223</v>
      </c>
      <c r="F10" s="28">
        <v>142615</v>
      </c>
      <c r="G10" s="23"/>
      <c r="H10" s="47">
        <v>42223</v>
      </c>
      <c r="I10" s="29">
        <v>10</v>
      </c>
      <c r="J10" s="50" t="s">
        <v>465</v>
      </c>
      <c r="K10" s="28">
        <v>12336.56</v>
      </c>
      <c r="L10" s="89">
        <v>140504</v>
      </c>
      <c r="M10" s="89"/>
      <c r="N10" s="89"/>
      <c r="P10" s="74">
        <v>42220</v>
      </c>
      <c r="Q10" s="126" t="s">
        <v>446</v>
      </c>
      <c r="R10" s="70">
        <v>50856.480000000003</v>
      </c>
      <c r="S10" s="71">
        <v>42230</v>
      </c>
      <c r="T10" s="70">
        <v>50856.480000000003</v>
      </c>
      <c r="U10" s="77">
        <f t="shared" si="1"/>
        <v>0</v>
      </c>
      <c r="V10" s="76"/>
      <c r="Y10" s="126" t="s">
        <v>427</v>
      </c>
      <c r="Z10" s="70">
        <v>157079.16</v>
      </c>
      <c r="AA10" s="226"/>
      <c r="AB10" s="186">
        <v>3203877</v>
      </c>
      <c r="AC10" s="187">
        <v>40000</v>
      </c>
      <c r="AD10" s="230">
        <v>42209</v>
      </c>
    </row>
    <row r="11" spans="1:30" ht="15" x14ac:dyDescent="0.25">
      <c r="B11" s="43">
        <v>42224</v>
      </c>
      <c r="C11" s="176">
        <v>32804</v>
      </c>
      <c r="D11" s="363" t="s">
        <v>468</v>
      </c>
      <c r="E11" s="225">
        <v>42224</v>
      </c>
      <c r="F11" s="28">
        <v>115786</v>
      </c>
      <c r="G11" s="23"/>
      <c r="H11" s="47">
        <v>42224</v>
      </c>
      <c r="I11" s="29">
        <v>10</v>
      </c>
      <c r="J11" s="50" t="s">
        <v>466</v>
      </c>
      <c r="K11" s="28">
        <v>12336.56</v>
      </c>
      <c r="L11" s="89">
        <v>82972</v>
      </c>
      <c r="M11" s="89"/>
      <c r="N11" s="89"/>
      <c r="P11" s="74">
        <v>42220</v>
      </c>
      <c r="Q11" s="126" t="s">
        <v>447</v>
      </c>
      <c r="R11" s="70">
        <v>2508</v>
      </c>
      <c r="S11" s="71">
        <v>42230</v>
      </c>
      <c r="T11" s="70">
        <v>2508</v>
      </c>
      <c r="U11" s="77">
        <f t="shared" si="1"/>
        <v>0</v>
      </c>
      <c r="V11" s="76"/>
      <c r="Y11" s="126" t="s">
        <v>428</v>
      </c>
      <c r="Z11" s="70">
        <v>16539.599999999999</v>
      </c>
      <c r="AA11" s="111"/>
      <c r="AB11" s="192">
        <v>3203846</v>
      </c>
      <c r="AC11" s="193">
        <v>70000</v>
      </c>
      <c r="AD11" s="230">
        <v>42209</v>
      </c>
    </row>
    <row r="12" spans="1:30" ht="15" x14ac:dyDescent="0.25">
      <c r="A12" s="13"/>
      <c r="B12" s="43">
        <v>42225</v>
      </c>
      <c r="C12" s="176">
        <v>8855</v>
      </c>
      <c r="D12" s="24" t="s">
        <v>469</v>
      </c>
      <c r="E12" s="225">
        <v>42225</v>
      </c>
      <c r="F12" s="28">
        <v>55626.5</v>
      </c>
      <c r="G12" s="23"/>
      <c r="H12" s="47">
        <v>42225</v>
      </c>
      <c r="I12" s="29">
        <v>0</v>
      </c>
      <c r="J12" s="4" t="s">
        <v>522</v>
      </c>
      <c r="K12" s="28">
        <v>12336.56</v>
      </c>
      <c r="L12" s="89">
        <v>46771.5</v>
      </c>
      <c r="M12" s="89"/>
      <c r="N12" s="89"/>
      <c r="P12" s="74">
        <v>42221</v>
      </c>
      <c r="Q12" s="126" t="s">
        <v>448</v>
      </c>
      <c r="R12" s="70">
        <v>21950.400000000001</v>
      </c>
      <c r="S12" s="71">
        <v>42230</v>
      </c>
      <c r="T12" s="70">
        <v>21950.400000000001</v>
      </c>
      <c r="U12" s="77">
        <f t="shared" si="1"/>
        <v>0</v>
      </c>
      <c r="V12" s="76"/>
      <c r="Y12" s="126" t="s">
        <v>423</v>
      </c>
      <c r="Z12" s="70">
        <v>2318.3000000000002</v>
      </c>
      <c r="AA12" s="111"/>
      <c r="AB12" s="192">
        <v>3203843</v>
      </c>
      <c r="AC12" s="193">
        <v>65000</v>
      </c>
      <c r="AD12" s="230">
        <v>42209</v>
      </c>
    </row>
    <row r="13" spans="1:30" ht="15" x14ac:dyDescent="0.25">
      <c r="A13" s="13"/>
      <c r="B13" s="43">
        <v>42226</v>
      </c>
      <c r="C13" s="176">
        <v>22930</v>
      </c>
      <c r="D13" s="291" t="s">
        <v>484</v>
      </c>
      <c r="E13" s="225">
        <v>42226</v>
      </c>
      <c r="F13" s="28">
        <v>173956</v>
      </c>
      <c r="G13" s="23"/>
      <c r="H13" s="47">
        <v>42226</v>
      </c>
      <c r="I13" s="29">
        <v>110</v>
      </c>
      <c r="J13" s="51" t="s">
        <v>292</v>
      </c>
      <c r="K13" s="28">
        <v>800</v>
      </c>
      <c r="L13" s="89">
        <v>150916</v>
      </c>
      <c r="M13" s="89"/>
      <c r="N13" s="89"/>
      <c r="P13" s="74">
        <v>42222</v>
      </c>
      <c r="Q13" s="126" t="s">
        <v>449</v>
      </c>
      <c r="R13" s="70">
        <v>23802.400000000001</v>
      </c>
      <c r="S13" s="71">
        <v>42230</v>
      </c>
      <c r="T13" s="70">
        <v>23802.400000000001</v>
      </c>
      <c r="U13" s="77">
        <f t="shared" si="1"/>
        <v>0</v>
      </c>
      <c r="V13" s="73"/>
      <c r="Y13" s="126" t="s">
        <v>429</v>
      </c>
      <c r="Z13" s="70">
        <v>43675.95</v>
      </c>
      <c r="AA13" s="111"/>
      <c r="AB13" s="192">
        <v>3203845</v>
      </c>
      <c r="AC13" s="193">
        <v>20771</v>
      </c>
      <c r="AD13" s="230">
        <v>42209</v>
      </c>
    </row>
    <row r="14" spans="1:30" ht="15" x14ac:dyDescent="0.25">
      <c r="B14" s="43">
        <v>42227</v>
      </c>
      <c r="C14" s="176">
        <v>12990</v>
      </c>
      <c r="D14" s="24" t="s">
        <v>485</v>
      </c>
      <c r="E14" s="225">
        <v>42227</v>
      </c>
      <c r="F14" s="28">
        <v>101211</v>
      </c>
      <c r="G14" s="23"/>
      <c r="H14" s="47">
        <v>42227</v>
      </c>
      <c r="I14" s="29">
        <v>0</v>
      </c>
      <c r="J14" s="335">
        <v>42230</v>
      </c>
      <c r="K14" s="28">
        <v>0</v>
      </c>
      <c r="L14" s="89">
        <v>88221</v>
      </c>
      <c r="M14" s="89"/>
      <c r="N14" s="89"/>
      <c r="P14" s="74">
        <v>42222</v>
      </c>
      <c r="Q14" s="126" t="s">
        <v>450</v>
      </c>
      <c r="R14" s="70">
        <v>274326.59999999998</v>
      </c>
      <c r="S14" s="71">
        <v>42230</v>
      </c>
      <c r="T14" s="70">
        <v>274326.59999999998</v>
      </c>
      <c r="U14" s="77">
        <f t="shared" si="1"/>
        <v>0</v>
      </c>
      <c r="V14" s="73"/>
      <c r="Y14" s="126" t="s">
        <v>430</v>
      </c>
      <c r="Z14" s="70">
        <v>152969.17000000001</v>
      </c>
      <c r="AA14" s="111"/>
      <c r="AB14" s="192">
        <v>3203844</v>
      </c>
      <c r="AC14" s="193">
        <v>30000</v>
      </c>
      <c r="AD14" s="230">
        <v>42210</v>
      </c>
    </row>
    <row r="15" spans="1:30" ht="15" x14ac:dyDescent="0.25">
      <c r="A15" s="13"/>
      <c r="B15" s="43">
        <v>42228</v>
      </c>
      <c r="C15" s="176">
        <v>15904</v>
      </c>
      <c r="D15" s="24" t="s">
        <v>486</v>
      </c>
      <c r="E15" s="225">
        <v>42228</v>
      </c>
      <c r="F15" s="28">
        <v>110236</v>
      </c>
      <c r="G15" s="23"/>
      <c r="H15" s="47">
        <v>42228</v>
      </c>
      <c r="I15" s="29">
        <v>0</v>
      </c>
      <c r="J15" s="50"/>
      <c r="K15" s="28">
        <v>0</v>
      </c>
      <c r="L15" s="89">
        <v>94332</v>
      </c>
      <c r="M15" s="89"/>
      <c r="N15" s="89"/>
      <c r="P15" s="74">
        <v>42222</v>
      </c>
      <c r="Q15" s="126" t="s">
        <v>451</v>
      </c>
      <c r="R15" s="70">
        <v>2845.4</v>
      </c>
      <c r="S15" s="71">
        <v>42230</v>
      </c>
      <c r="T15" s="70">
        <v>2845.4</v>
      </c>
      <c r="U15" s="77">
        <f t="shared" si="1"/>
        <v>0</v>
      </c>
      <c r="V15" s="73"/>
      <c r="Y15" s="126" t="s">
        <v>439</v>
      </c>
      <c r="Z15" s="70">
        <v>1647.8</v>
      </c>
      <c r="AA15" s="226"/>
      <c r="AB15" s="192">
        <v>3203847</v>
      </c>
      <c r="AC15" s="193">
        <v>32000</v>
      </c>
      <c r="AD15" s="230">
        <v>42210</v>
      </c>
    </row>
    <row r="16" spans="1:30" ht="15" x14ac:dyDescent="0.25">
      <c r="A16" s="13"/>
      <c r="B16" s="43">
        <v>42229</v>
      </c>
      <c r="C16" s="176">
        <v>137.19999999999999</v>
      </c>
      <c r="D16" s="24" t="s">
        <v>487</v>
      </c>
      <c r="E16" s="225">
        <v>42229</v>
      </c>
      <c r="F16" s="28">
        <v>124204.5</v>
      </c>
      <c r="G16" s="23"/>
      <c r="H16" s="47">
        <v>42229</v>
      </c>
      <c r="I16" s="29">
        <v>0</v>
      </c>
      <c r="J16" s="50"/>
      <c r="K16" s="28">
        <v>0</v>
      </c>
      <c r="L16" s="89">
        <v>124063.5</v>
      </c>
      <c r="M16" s="362">
        <v>-4</v>
      </c>
      <c r="N16" s="89"/>
      <c r="P16" s="74">
        <v>42223</v>
      </c>
      <c r="Q16" s="126" t="s">
        <v>452</v>
      </c>
      <c r="R16" s="70">
        <v>25813.4</v>
      </c>
      <c r="S16" s="71">
        <v>42230</v>
      </c>
      <c r="T16" s="70">
        <v>25813.4</v>
      </c>
      <c r="U16" s="77">
        <f t="shared" si="1"/>
        <v>0</v>
      </c>
      <c r="Y16" s="126" t="s">
        <v>431</v>
      </c>
      <c r="Z16" s="70">
        <v>9659</v>
      </c>
      <c r="AA16" s="226"/>
      <c r="AB16" s="192">
        <v>3203848</v>
      </c>
      <c r="AC16" s="193">
        <v>53000</v>
      </c>
      <c r="AD16" s="230">
        <v>42210</v>
      </c>
    </row>
    <row r="17" spans="1:31" ht="15" x14ac:dyDescent="0.25">
      <c r="A17" s="13"/>
      <c r="B17" s="43">
        <v>42230</v>
      </c>
      <c r="C17" s="176">
        <v>19366</v>
      </c>
      <c r="D17" s="24" t="s">
        <v>488</v>
      </c>
      <c r="E17" s="225">
        <v>42230</v>
      </c>
      <c r="F17" s="28">
        <v>178560</v>
      </c>
      <c r="G17" s="23"/>
      <c r="H17" s="47">
        <v>42230</v>
      </c>
      <c r="I17" s="29">
        <v>60</v>
      </c>
      <c r="J17" s="50"/>
      <c r="K17" s="28">
        <v>0</v>
      </c>
      <c r="L17" s="89">
        <v>158334</v>
      </c>
      <c r="M17" s="89"/>
      <c r="N17" s="89"/>
      <c r="P17" s="74">
        <v>42223</v>
      </c>
      <c r="Q17" s="126" t="s">
        <v>453</v>
      </c>
      <c r="R17" s="70">
        <v>145920.20000000001</v>
      </c>
      <c r="S17" s="71">
        <v>42230</v>
      </c>
      <c r="T17" s="70">
        <v>145920.20000000001</v>
      </c>
      <c r="U17" s="77">
        <f t="shared" si="1"/>
        <v>0</v>
      </c>
      <c r="Y17" s="350" t="s">
        <v>432</v>
      </c>
      <c r="Z17" s="70">
        <v>5494</v>
      </c>
      <c r="AA17" s="226"/>
      <c r="AB17" s="192">
        <v>3203876</v>
      </c>
      <c r="AC17" s="193">
        <v>36595</v>
      </c>
      <c r="AD17" s="230">
        <v>42210</v>
      </c>
    </row>
    <row r="18" spans="1:31" ht="15" x14ac:dyDescent="0.25">
      <c r="B18" s="43">
        <v>42231</v>
      </c>
      <c r="C18" s="176">
        <v>87131</v>
      </c>
      <c r="D18" s="24" t="s">
        <v>489</v>
      </c>
      <c r="E18" s="225">
        <v>42231</v>
      </c>
      <c r="F18" s="28">
        <v>199955.5</v>
      </c>
      <c r="G18" s="23"/>
      <c r="H18" s="47">
        <v>42231</v>
      </c>
      <c r="I18" s="29">
        <v>0</v>
      </c>
      <c r="J18" s="51"/>
      <c r="K18" s="34">
        <v>0</v>
      </c>
      <c r="L18" s="89">
        <v>112824.5</v>
      </c>
      <c r="M18" s="89"/>
      <c r="N18" s="89"/>
      <c r="P18" s="74">
        <v>42224</v>
      </c>
      <c r="Q18" s="126" t="s">
        <v>454</v>
      </c>
      <c r="R18" s="70">
        <v>10980.4</v>
      </c>
      <c r="S18" s="71">
        <v>42230</v>
      </c>
      <c r="T18" s="70">
        <v>10980.4</v>
      </c>
      <c r="U18" s="77">
        <f t="shared" si="1"/>
        <v>0</v>
      </c>
      <c r="Y18" s="126" t="s">
        <v>440</v>
      </c>
      <c r="Z18" s="70">
        <v>17630</v>
      </c>
      <c r="AA18" s="226"/>
      <c r="AB18" s="251">
        <v>3203875</v>
      </c>
      <c r="AC18" s="193">
        <v>30000</v>
      </c>
      <c r="AD18" s="230">
        <v>42211</v>
      </c>
    </row>
    <row r="19" spans="1:31" ht="15" x14ac:dyDescent="0.25">
      <c r="A19" s="13"/>
      <c r="B19" s="43">
        <v>42232</v>
      </c>
      <c r="C19" s="176">
        <v>0</v>
      </c>
      <c r="D19" s="24"/>
      <c r="E19" s="225">
        <v>42232</v>
      </c>
      <c r="F19" s="28">
        <v>135950</v>
      </c>
      <c r="G19" s="23"/>
      <c r="H19" s="47">
        <v>42232</v>
      </c>
      <c r="I19" s="29">
        <v>100</v>
      </c>
      <c r="J19" s="334"/>
      <c r="K19" s="28">
        <v>0</v>
      </c>
      <c r="L19" s="89">
        <v>135850</v>
      </c>
      <c r="M19" s="89"/>
      <c r="N19" s="89"/>
      <c r="P19" s="74">
        <v>42224</v>
      </c>
      <c r="Q19" s="126" t="s">
        <v>455</v>
      </c>
      <c r="R19" s="70">
        <v>167344.35</v>
      </c>
      <c r="S19" s="71">
        <v>42230</v>
      </c>
      <c r="T19" s="70">
        <v>167344.35</v>
      </c>
      <c r="U19" s="77">
        <f t="shared" si="1"/>
        <v>0</v>
      </c>
      <c r="Y19" s="126" t="s">
        <v>441</v>
      </c>
      <c r="Z19" s="70">
        <v>28942</v>
      </c>
      <c r="AA19" s="226"/>
      <c r="AB19" s="192">
        <v>3203851</v>
      </c>
      <c r="AC19" s="193">
        <v>35740.5</v>
      </c>
      <c r="AD19" s="230">
        <v>42211</v>
      </c>
    </row>
    <row r="20" spans="1:31" ht="15" x14ac:dyDescent="0.25">
      <c r="B20" s="43">
        <v>42233</v>
      </c>
      <c r="C20" s="176">
        <v>7968</v>
      </c>
      <c r="D20" s="24" t="s">
        <v>59</v>
      </c>
      <c r="E20" s="225">
        <v>42233</v>
      </c>
      <c r="F20" s="28">
        <v>218969.5</v>
      </c>
      <c r="G20" s="23"/>
      <c r="H20" s="47">
        <v>42233</v>
      </c>
      <c r="I20" s="29">
        <v>0</v>
      </c>
      <c r="J20" s="334"/>
      <c r="K20" s="28">
        <v>0</v>
      </c>
      <c r="L20" s="89">
        <v>201001.5</v>
      </c>
      <c r="M20" s="89"/>
      <c r="N20" s="89"/>
      <c r="P20" s="74">
        <v>42225</v>
      </c>
      <c r="Q20" s="126" t="s">
        <v>457</v>
      </c>
      <c r="R20" s="70">
        <v>4649.8</v>
      </c>
      <c r="S20" s="71">
        <v>42230</v>
      </c>
      <c r="T20" s="70">
        <v>4649.8</v>
      </c>
      <c r="U20" s="77">
        <f t="shared" si="1"/>
        <v>0</v>
      </c>
      <c r="Y20" s="126" t="s">
        <v>442</v>
      </c>
      <c r="Z20" s="70">
        <v>16108.8</v>
      </c>
      <c r="AA20" s="244"/>
      <c r="AB20" s="192">
        <v>813242</v>
      </c>
      <c r="AC20" s="193">
        <v>165558</v>
      </c>
      <c r="AD20" s="230">
        <v>42211</v>
      </c>
      <c r="AE20" s="364">
        <f>35694+45902+11212+66510+6240</f>
        <v>165558</v>
      </c>
    </row>
    <row r="21" spans="1:31" ht="15" x14ac:dyDescent="0.25">
      <c r="B21" s="43">
        <v>42234</v>
      </c>
      <c r="C21" s="176">
        <v>8428</v>
      </c>
      <c r="D21" s="59" t="s">
        <v>59</v>
      </c>
      <c r="E21" s="225">
        <v>42234</v>
      </c>
      <c r="F21" s="28">
        <v>167123</v>
      </c>
      <c r="G21" s="23"/>
      <c r="H21" s="47">
        <v>42234</v>
      </c>
      <c r="I21" s="29">
        <v>0</v>
      </c>
      <c r="J21" s="50"/>
      <c r="K21" s="34">
        <v>0</v>
      </c>
      <c r="L21" s="89">
        <v>158695</v>
      </c>
      <c r="M21" s="89"/>
      <c r="N21" s="89"/>
      <c r="P21" s="74">
        <v>42226</v>
      </c>
      <c r="Q21" s="126" t="s">
        <v>456</v>
      </c>
      <c r="R21" s="70">
        <v>22712.6</v>
      </c>
      <c r="S21" s="71">
        <v>42230</v>
      </c>
      <c r="T21" s="70">
        <v>22712.6</v>
      </c>
      <c r="U21" s="77">
        <f t="shared" si="1"/>
        <v>0</v>
      </c>
      <c r="Y21" s="126" t="s">
        <v>443</v>
      </c>
      <c r="Z21" s="70">
        <v>172985</v>
      </c>
      <c r="AA21" s="226"/>
      <c r="AB21" s="192">
        <v>3203850</v>
      </c>
      <c r="AC21" s="193">
        <v>65000</v>
      </c>
      <c r="AD21" s="230">
        <v>42212</v>
      </c>
    </row>
    <row r="22" spans="1:31" ht="15" x14ac:dyDescent="0.25">
      <c r="B22" s="43">
        <v>42235</v>
      </c>
      <c r="C22" s="176">
        <v>9677</v>
      </c>
      <c r="D22" s="59" t="s">
        <v>59</v>
      </c>
      <c r="E22" s="225">
        <v>42235</v>
      </c>
      <c r="F22" s="28">
        <v>114367.5</v>
      </c>
      <c r="G22" s="20"/>
      <c r="H22" s="47">
        <v>42235</v>
      </c>
      <c r="I22" s="29">
        <v>0</v>
      </c>
      <c r="J22" s="50"/>
      <c r="K22" s="34">
        <v>0</v>
      </c>
      <c r="L22" s="89">
        <v>104690.5</v>
      </c>
      <c r="M22" s="89"/>
      <c r="N22" s="89"/>
      <c r="P22" s="74">
        <v>42227</v>
      </c>
      <c r="Q22" s="126" t="s">
        <v>459</v>
      </c>
      <c r="R22" s="70">
        <v>18757.400000000001</v>
      </c>
      <c r="S22" s="71">
        <v>42230</v>
      </c>
      <c r="T22" s="70">
        <v>18757.400000000001</v>
      </c>
      <c r="U22" s="77">
        <f t="shared" si="1"/>
        <v>0</v>
      </c>
      <c r="Y22" s="126" t="s">
        <v>444</v>
      </c>
      <c r="Z22" s="70">
        <v>133031.41</v>
      </c>
      <c r="AA22" s="226"/>
      <c r="AB22" s="192">
        <v>3203852</v>
      </c>
      <c r="AC22" s="193">
        <v>65000</v>
      </c>
      <c r="AD22" s="230">
        <v>42212</v>
      </c>
    </row>
    <row r="23" spans="1:31" ht="15" x14ac:dyDescent="0.25">
      <c r="A23" s="13"/>
      <c r="B23" s="43">
        <v>42236</v>
      </c>
      <c r="C23" s="176">
        <v>38179.879999999997</v>
      </c>
      <c r="D23" s="59" t="s">
        <v>499</v>
      </c>
      <c r="E23" s="225">
        <v>42236</v>
      </c>
      <c r="F23" s="28">
        <v>146952.5</v>
      </c>
      <c r="G23" s="23"/>
      <c r="H23" s="47">
        <v>42236</v>
      </c>
      <c r="I23" s="29">
        <v>0</v>
      </c>
      <c r="J23" s="57"/>
      <c r="K23" s="28">
        <v>0</v>
      </c>
      <c r="L23" s="89">
        <v>108773</v>
      </c>
      <c r="M23" s="89"/>
      <c r="N23" s="89"/>
      <c r="P23" s="74">
        <v>42227</v>
      </c>
      <c r="Q23" s="126" t="s">
        <v>460</v>
      </c>
      <c r="R23" s="70">
        <v>6588.4</v>
      </c>
      <c r="S23" s="71" t="s">
        <v>490</v>
      </c>
      <c r="T23" s="70">
        <f>3833.54+2754.86</f>
        <v>6588.4</v>
      </c>
      <c r="U23" s="77">
        <f t="shared" si="1"/>
        <v>0</v>
      </c>
      <c r="Y23" s="126" t="s">
        <v>445</v>
      </c>
      <c r="Z23" s="70">
        <v>13307.8</v>
      </c>
      <c r="AA23" s="226"/>
      <c r="AB23" s="251">
        <v>3203849</v>
      </c>
      <c r="AC23" s="193">
        <v>25000</v>
      </c>
      <c r="AD23" s="230">
        <v>42212</v>
      </c>
    </row>
    <row r="24" spans="1:31" ht="15" x14ac:dyDescent="0.25">
      <c r="A24" s="13"/>
      <c r="B24" s="43">
        <v>42237</v>
      </c>
      <c r="C24" s="176">
        <v>69795.5</v>
      </c>
      <c r="D24" s="59" t="s">
        <v>500</v>
      </c>
      <c r="E24" s="225">
        <v>42237</v>
      </c>
      <c r="F24" s="28">
        <v>230067</v>
      </c>
      <c r="G24" s="23"/>
      <c r="H24" s="47">
        <v>42237</v>
      </c>
      <c r="I24" s="29">
        <v>0</v>
      </c>
      <c r="J24" s="319"/>
      <c r="K24" s="34"/>
      <c r="L24" s="89">
        <v>160272</v>
      </c>
      <c r="M24" s="89"/>
      <c r="N24" s="89"/>
      <c r="P24" s="74">
        <v>42227</v>
      </c>
      <c r="Q24" s="126" t="s">
        <v>458</v>
      </c>
      <c r="R24" s="70">
        <v>5490.6</v>
      </c>
      <c r="S24" s="71">
        <v>42238</v>
      </c>
      <c r="T24" s="70">
        <v>5490.6</v>
      </c>
      <c r="U24" s="77">
        <f t="shared" si="1"/>
        <v>0</v>
      </c>
      <c r="Y24" s="126" t="s">
        <v>446</v>
      </c>
      <c r="Z24" s="70">
        <v>50856.480000000003</v>
      </c>
      <c r="AA24" s="226"/>
      <c r="AB24" s="192">
        <v>3203871</v>
      </c>
      <c r="AC24" s="193">
        <v>24644.5</v>
      </c>
      <c r="AD24" s="230">
        <v>42212</v>
      </c>
    </row>
    <row r="25" spans="1:31" ht="15" x14ac:dyDescent="0.25">
      <c r="B25" s="43">
        <v>42238</v>
      </c>
      <c r="C25" s="176">
        <v>11519</v>
      </c>
      <c r="D25" s="24" t="s">
        <v>501</v>
      </c>
      <c r="E25" s="225">
        <v>42238</v>
      </c>
      <c r="F25" s="28">
        <v>97840.5</v>
      </c>
      <c r="G25" s="23"/>
      <c r="H25" s="47">
        <v>42238</v>
      </c>
      <c r="I25" s="29">
        <v>70</v>
      </c>
      <c r="J25" s="50"/>
      <c r="K25" s="34"/>
      <c r="L25" s="89">
        <v>86251.5</v>
      </c>
      <c r="M25" s="89"/>
      <c r="N25" s="89"/>
      <c r="P25" s="74">
        <v>42228</v>
      </c>
      <c r="Q25" s="126" t="s">
        <v>462</v>
      </c>
      <c r="R25" s="70">
        <v>14092.6</v>
      </c>
      <c r="S25" s="71">
        <v>42238</v>
      </c>
      <c r="T25" s="70">
        <v>14092.6</v>
      </c>
      <c r="U25" s="72">
        <f t="shared" ref="U25:U44" si="2">R25-T25</f>
        <v>0</v>
      </c>
      <c r="Y25" s="126" t="s">
        <v>447</v>
      </c>
      <c r="Z25" s="70">
        <v>2508</v>
      </c>
      <c r="AA25" s="226"/>
      <c r="AB25" s="192">
        <v>3203870</v>
      </c>
      <c r="AC25" s="193">
        <v>62400</v>
      </c>
      <c r="AD25" s="230">
        <v>42213</v>
      </c>
    </row>
    <row r="26" spans="1:31" ht="15" x14ac:dyDescent="0.25">
      <c r="B26" s="43">
        <v>42239</v>
      </c>
      <c r="C26" s="176">
        <v>1955</v>
      </c>
      <c r="D26" s="24" t="s">
        <v>502</v>
      </c>
      <c r="E26" s="225">
        <v>42239</v>
      </c>
      <c r="F26" s="28">
        <v>77848</v>
      </c>
      <c r="G26" s="23"/>
      <c r="H26" s="47">
        <v>42239</v>
      </c>
      <c r="I26" s="29">
        <v>110</v>
      </c>
      <c r="J26" s="50"/>
      <c r="K26" s="34"/>
      <c r="L26" s="89">
        <v>75783</v>
      </c>
      <c r="M26" s="89"/>
      <c r="N26" s="89"/>
      <c r="P26" s="74">
        <v>42228</v>
      </c>
      <c r="Q26" s="126" t="s">
        <v>478</v>
      </c>
      <c r="R26" s="70">
        <v>313191.14</v>
      </c>
      <c r="S26" s="71">
        <v>42238</v>
      </c>
      <c r="T26" s="70">
        <v>313191.14</v>
      </c>
      <c r="U26" s="77">
        <f t="shared" si="2"/>
        <v>0</v>
      </c>
      <c r="Y26" s="126" t="s">
        <v>448</v>
      </c>
      <c r="Z26" s="70">
        <v>21950.400000000001</v>
      </c>
      <c r="AA26" s="226"/>
      <c r="AB26" s="251">
        <v>3203855</v>
      </c>
      <c r="AC26" s="193">
        <v>23090</v>
      </c>
      <c r="AD26" s="230">
        <v>42213</v>
      </c>
    </row>
    <row r="27" spans="1:31" ht="15" x14ac:dyDescent="0.25">
      <c r="B27" s="43">
        <v>42240</v>
      </c>
      <c r="C27" s="176">
        <v>4816</v>
      </c>
      <c r="D27" s="24" t="s">
        <v>518</v>
      </c>
      <c r="E27" s="225">
        <v>42240</v>
      </c>
      <c r="F27" s="28">
        <v>263842</v>
      </c>
      <c r="G27" s="23"/>
      <c r="H27" s="47">
        <v>42240</v>
      </c>
      <c r="I27" s="29">
        <v>0</v>
      </c>
      <c r="J27" s="50"/>
      <c r="K27" s="34"/>
      <c r="L27" s="89">
        <v>259026</v>
      </c>
      <c r="M27" s="89"/>
      <c r="N27" s="89"/>
      <c r="P27" s="74">
        <v>42228</v>
      </c>
      <c r="Q27" s="126" t="s">
        <v>479</v>
      </c>
      <c r="R27" s="70">
        <v>259148.84</v>
      </c>
      <c r="S27" s="71">
        <v>42238</v>
      </c>
      <c r="T27" s="70">
        <v>259148.84</v>
      </c>
      <c r="U27" s="77">
        <f t="shared" si="2"/>
        <v>0</v>
      </c>
      <c r="Y27" s="126" t="s">
        <v>449</v>
      </c>
      <c r="Z27" s="70">
        <v>23802.400000000001</v>
      </c>
      <c r="AA27" s="244"/>
      <c r="AB27" s="251" t="s">
        <v>470</v>
      </c>
      <c r="AC27" s="193">
        <v>30259</v>
      </c>
      <c r="AD27" s="230">
        <v>42215</v>
      </c>
      <c r="AE27" s="82">
        <v>42214</v>
      </c>
    </row>
    <row r="28" spans="1:31" ht="15" x14ac:dyDescent="0.25">
      <c r="B28" s="43">
        <v>42241</v>
      </c>
      <c r="C28" s="176">
        <v>25401.8</v>
      </c>
      <c r="D28" s="24" t="s">
        <v>519</v>
      </c>
      <c r="E28" s="225">
        <v>42241</v>
      </c>
      <c r="F28" s="28">
        <v>100262.5</v>
      </c>
      <c r="G28" s="23"/>
      <c r="H28" s="47">
        <v>42241</v>
      </c>
      <c r="I28" s="29">
        <v>0</v>
      </c>
      <c r="J28" s="50"/>
      <c r="K28" s="34"/>
      <c r="L28" s="89">
        <v>74861</v>
      </c>
      <c r="M28" s="89"/>
      <c r="N28" s="89"/>
      <c r="P28" s="74">
        <v>42229</v>
      </c>
      <c r="Q28" s="126" t="s">
        <v>472</v>
      </c>
      <c r="R28" s="70">
        <v>13166</v>
      </c>
      <c r="S28" s="71">
        <v>42238</v>
      </c>
      <c r="T28" s="70">
        <v>13166</v>
      </c>
      <c r="U28" s="77">
        <f t="shared" si="2"/>
        <v>0</v>
      </c>
      <c r="Y28" s="126" t="s">
        <v>450</v>
      </c>
      <c r="Z28" s="70">
        <v>274326.59999999998</v>
      </c>
      <c r="AA28" s="226"/>
      <c r="AB28" s="251">
        <v>3203854</v>
      </c>
      <c r="AC28" s="193">
        <v>35000</v>
      </c>
      <c r="AD28" s="230">
        <v>42214</v>
      </c>
    </row>
    <row r="29" spans="1:31" ht="15" x14ac:dyDescent="0.25">
      <c r="B29" s="43">
        <v>42242</v>
      </c>
      <c r="C29" s="176">
        <v>5791</v>
      </c>
      <c r="D29" s="24" t="s">
        <v>520</v>
      </c>
      <c r="E29" s="225">
        <v>42242</v>
      </c>
      <c r="F29" s="28">
        <v>144852</v>
      </c>
      <c r="G29" s="23"/>
      <c r="H29" s="47">
        <v>42242</v>
      </c>
      <c r="I29" s="29">
        <v>0</v>
      </c>
      <c r="J29" s="50"/>
      <c r="K29" s="34"/>
      <c r="L29" s="89">
        <v>139061</v>
      </c>
      <c r="M29" s="89"/>
      <c r="N29" s="89"/>
      <c r="P29" s="74">
        <v>42229</v>
      </c>
      <c r="Q29" s="126" t="s">
        <v>473</v>
      </c>
      <c r="R29" s="70">
        <v>60972.800000000003</v>
      </c>
      <c r="S29" s="71">
        <v>42238</v>
      </c>
      <c r="T29" s="70">
        <v>60972.800000000003</v>
      </c>
      <c r="U29" s="77">
        <f t="shared" si="2"/>
        <v>0</v>
      </c>
      <c r="Y29" s="126" t="s">
        <v>451</v>
      </c>
      <c r="Z29" s="70">
        <v>2845.4</v>
      </c>
      <c r="AA29" s="226"/>
      <c r="AB29" s="251">
        <v>3203857</v>
      </c>
      <c r="AC29" s="193">
        <v>16926</v>
      </c>
      <c r="AD29" s="230">
        <v>42214</v>
      </c>
    </row>
    <row r="30" spans="1:31" ht="15" x14ac:dyDescent="0.25">
      <c r="B30" s="43">
        <v>42243</v>
      </c>
      <c r="C30" s="176">
        <v>1682</v>
      </c>
      <c r="D30" s="24" t="s">
        <v>518</v>
      </c>
      <c r="E30" s="225">
        <v>42243</v>
      </c>
      <c r="F30" s="28">
        <v>158138</v>
      </c>
      <c r="G30" s="23"/>
      <c r="H30" s="47">
        <v>42243</v>
      </c>
      <c r="I30" s="29">
        <v>27</v>
      </c>
      <c r="J30" s="50"/>
      <c r="K30" s="34"/>
      <c r="L30" s="89">
        <v>156429.5</v>
      </c>
      <c r="M30" s="89"/>
      <c r="N30" s="89"/>
      <c r="P30" s="74">
        <v>42230</v>
      </c>
      <c r="Q30" s="126" t="s">
        <v>474</v>
      </c>
      <c r="R30" s="70">
        <v>17756.8</v>
      </c>
      <c r="S30" s="71">
        <v>42238</v>
      </c>
      <c r="T30" s="70">
        <v>17756.8</v>
      </c>
      <c r="U30" s="77">
        <f t="shared" si="2"/>
        <v>0</v>
      </c>
      <c r="Y30" s="126" t="s">
        <v>452</v>
      </c>
      <c r="Z30" s="70">
        <v>25813.4</v>
      </c>
      <c r="AA30" s="244"/>
      <c r="AB30" s="251">
        <v>3203853</v>
      </c>
      <c r="AC30" s="193">
        <v>40000</v>
      </c>
      <c r="AD30" s="230">
        <v>42214</v>
      </c>
    </row>
    <row r="31" spans="1:31" ht="15" x14ac:dyDescent="0.25">
      <c r="B31" s="43">
        <v>42244</v>
      </c>
      <c r="C31" s="176">
        <v>7450</v>
      </c>
      <c r="D31" s="24" t="s">
        <v>521</v>
      </c>
      <c r="E31" s="225">
        <v>42244</v>
      </c>
      <c r="F31" s="28">
        <v>139984</v>
      </c>
      <c r="G31" s="23"/>
      <c r="H31" s="47">
        <v>42244</v>
      </c>
      <c r="I31" s="29">
        <v>0</v>
      </c>
      <c r="J31" s="50"/>
      <c r="K31" s="34"/>
      <c r="L31" s="89">
        <v>132534</v>
      </c>
      <c r="M31" s="89"/>
      <c r="N31" s="89"/>
      <c r="P31" s="74">
        <v>42231</v>
      </c>
      <c r="Q31" s="126" t="s">
        <v>475</v>
      </c>
      <c r="R31" s="70">
        <v>12152</v>
      </c>
      <c r="S31" s="71">
        <v>42238</v>
      </c>
      <c r="T31" s="70">
        <v>12152</v>
      </c>
      <c r="U31" s="77">
        <f t="shared" si="2"/>
        <v>0</v>
      </c>
      <c r="Y31" s="126" t="s">
        <v>453</v>
      </c>
      <c r="Z31" s="70">
        <v>145920.20000000001</v>
      </c>
      <c r="AA31" s="226"/>
      <c r="AB31" s="251">
        <v>3203856</v>
      </c>
      <c r="AC31" s="193">
        <v>35000</v>
      </c>
      <c r="AD31" s="230">
        <v>42215</v>
      </c>
    </row>
    <row r="32" spans="1:31" ht="15" x14ac:dyDescent="0.25">
      <c r="B32" s="43">
        <v>42245</v>
      </c>
      <c r="C32" s="176">
        <v>25442</v>
      </c>
      <c r="D32" s="25" t="s">
        <v>523</v>
      </c>
      <c r="E32" s="225">
        <v>42245</v>
      </c>
      <c r="F32" s="28">
        <v>248622.7</v>
      </c>
      <c r="G32" s="23"/>
      <c r="H32" s="47">
        <v>42245</v>
      </c>
      <c r="I32" s="29">
        <v>360</v>
      </c>
      <c r="J32" s="50"/>
      <c r="K32" s="34"/>
      <c r="L32" s="89">
        <v>222821</v>
      </c>
      <c r="M32" s="89"/>
      <c r="N32" s="89"/>
      <c r="P32" s="74">
        <v>42231</v>
      </c>
      <c r="Q32" s="126" t="s">
        <v>476</v>
      </c>
      <c r="R32" s="129">
        <v>173277.6</v>
      </c>
      <c r="S32" s="128" t="s">
        <v>503</v>
      </c>
      <c r="T32" s="70">
        <f>157594.86+15682.74</f>
        <v>173277.59999999998</v>
      </c>
      <c r="U32" s="77">
        <f t="shared" si="2"/>
        <v>0</v>
      </c>
      <c r="Y32" s="126" t="s">
        <v>454</v>
      </c>
      <c r="Z32" s="70">
        <v>10980.4</v>
      </c>
      <c r="AA32" s="226"/>
      <c r="AB32" s="251">
        <v>3203860</v>
      </c>
      <c r="AC32" s="193">
        <v>20620</v>
      </c>
      <c r="AD32" s="230">
        <v>42215</v>
      </c>
    </row>
    <row r="33" spans="1:31" ht="15" x14ac:dyDescent="0.25">
      <c r="B33" s="43">
        <v>42246</v>
      </c>
      <c r="C33" s="176">
        <v>19237.5</v>
      </c>
      <c r="D33" s="24" t="s">
        <v>525</v>
      </c>
      <c r="E33" s="225">
        <v>42246</v>
      </c>
      <c r="F33" s="28">
        <v>117905.8</v>
      </c>
      <c r="G33" s="23"/>
      <c r="H33" s="47">
        <v>42246</v>
      </c>
      <c r="I33" s="29">
        <v>100</v>
      </c>
      <c r="J33" s="50"/>
      <c r="K33" s="34"/>
      <c r="L33" s="89">
        <v>98094.54</v>
      </c>
      <c r="M33" s="362">
        <v>474</v>
      </c>
      <c r="N33" s="362" t="s">
        <v>526</v>
      </c>
      <c r="O33" s="380"/>
      <c r="P33" s="74">
        <v>42233</v>
      </c>
      <c r="Q33" s="126" t="s">
        <v>477</v>
      </c>
      <c r="R33" s="70">
        <v>141257.70000000001</v>
      </c>
      <c r="S33" s="71">
        <v>42242</v>
      </c>
      <c r="T33" s="70">
        <v>141257.70000000001</v>
      </c>
      <c r="U33" s="77">
        <f t="shared" si="2"/>
        <v>0</v>
      </c>
      <c r="Y33" s="126" t="s">
        <v>455</v>
      </c>
      <c r="Z33" s="343">
        <v>167344.35</v>
      </c>
      <c r="AA33" s="226"/>
      <c r="AB33" s="251">
        <v>3203858</v>
      </c>
      <c r="AC33" s="193">
        <v>25000</v>
      </c>
      <c r="AD33" s="230">
        <v>42215</v>
      </c>
    </row>
    <row r="34" spans="1:31" thickBot="1" x14ac:dyDescent="0.3">
      <c r="A34" s="13"/>
      <c r="B34" s="43">
        <v>42247</v>
      </c>
      <c r="C34" s="176">
        <v>0</v>
      </c>
      <c r="D34" s="24"/>
      <c r="E34" s="225">
        <v>42247</v>
      </c>
      <c r="F34" s="28">
        <v>132816</v>
      </c>
      <c r="G34" s="23"/>
      <c r="H34" s="47">
        <v>42247</v>
      </c>
      <c r="I34" s="29">
        <v>250</v>
      </c>
      <c r="J34" s="50"/>
      <c r="K34" s="34"/>
      <c r="L34" s="89">
        <v>132566</v>
      </c>
      <c r="M34" s="362">
        <v>55293</v>
      </c>
      <c r="N34" s="89"/>
      <c r="O34" s="82"/>
      <c r="P34" s="74">
        <v>42234</v>
      </c>
      <c r="Q34" s="126" t="s">
        <v>480</v>
      </c>
      <c r="R34" s="70">
        <v>10595.8</v>
      </c>
      <c r="S34" s="71">
        <v>42242</v>
      </c>
      <c r="T34" s="70">
        <v>10595.8</v>
      </c>
      <c r="U34" s="77">
        <f t="shared" si="2"/>
        <v>0</v>
      </c>
      <c r="Y34" s="227" t="s">
        <v>457</v>
      </c>
      <c r="Z34" s="213">
        <v>4649.8</v>
      </c>
      <c r="AA34" s="226"/>
      <c r="AB34" s="251">
        <v>3203859</v>
      </c>
      <c r="AC34" s="193">
        <v>70000</v>
      </c>
      <c r="AD34" s="230">
        <v>42216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>
        <v>42234</v>
      </c>
      <c r="Q35" s="126" t="s">
        <v>491</v>
      </c>
      <c r="R35" s="70">
        <v>350914.06</v>
      </c>
      <c r="S35" s="71">
        <v>42242</v>
      </c>
      <c r="T35" s="70">
        <v>350914.06</v>
      </c>
      <c r="U35" s="77">
        <f t="shared" si="2"/>
        <v>0</v>
      </c>
      <c r="Y35" s="182" t="s">
        <v>456</v>
      </c>
      <c r="Z35" s="161">
        <v>22712.6</v>
      </c>
      <c r="AA35" s="121"/>
      <c r="AB35" s="251">
        <v>3203864</v>
      </c>
      <c r="AC35" s="118">
        <v>60000</v>
      </c>
      <c r="AD35" s="120">
        <v>42216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42234</v>
      </c>
      <c r="Q36" s="126" t="s">
        <v>492</v>
      </c>
      <c r="R36" s="70">
        <v>235442.94</v>
      </c>
      <c r="S36" s="71">
        <v>42242</v>
      </c>
      <c r="T36" s="70">
        <v>235442.94</v>
      </c>
      <c r="U36" s="77">
        <f t="shared" si="2"/>
        <v>0</v>
      </c>
      <c r="Y36" s="182" t="s">
        <v>459</v>
      </c>
      <c r="Z36" s="161">
        <v>18757.400000000001</v>
      </c>
      <c r="AA36" s="121"/>
      <c r="AB36" s="119">
        <v>3203863</v>
      </c>
      <c r="AC36" s="118">
        <v>35000</v>
      </c>
      <c r="AD36" s="120">
        <v>42216</v>
      </c>
    </row>
    <row r="37" spans="1:31" ht="15" x14ac:dyDescent="0.25">
      <c r="B37" s="5" t="s">
        <v>1</v>
      </c>
      <c r="C37" s="179">
        <f>SUM(C4:C36)</f>
        <v>496378.88</v>
      </c>
      <c r="D37" s="1"/>
      <c r="E37" s="355" t="s">
        <v>1</v>
      </c>
      <c r="F37" s="7">
        <f>SUM(F4:F36)</f>
        <v>4477511</v>
      </c>
      <c r="H37" s="4" t="s">
        <v>1</v>
      </c>
      <c r="I37" s="3">
        <f>SUM(I4:I36)</f>
        <v>1631</v>
      </c>
      <c r="J37" s="3"/>
      <c r="K37" s="3">
        <f t="shared" ref="K37" si="3">SUM(K4:K36)</f>
        <v>101348.45</v>
      </c>
      <c r="L37" s="67">
        <f>SUM(L4:L36)</f>
        <v>3968225.54</v>
      </c>
      <c r="P37" s="74">
        <v>42234</v>
      </c>
      <c r="Q37" s="126" t="s">
        <v>481</v>
      </c>
      <c r="R37" s="70">
        <v>652.79999999999995</v>
      </c>
      <c r="S37" s="71">
        <v>42242</v>
      </c>
      <c r="T37" s="70">
        <v>652.79999999999995</v>
      </c>
      <c r="U37" s="77">
        <f t="shared" si="2"/>
        <v>0</v>
      </c>
      <c r="Y37" s="182" t="s">
        <v>460</v>
      </c>
      <c r="Z37" s="161">
        <v>3833.54</v>
      </c>
      <c r="AA37" s="333" t="s">
        <v>137</v>
      </c>
      <c r="AB37" s="119">
        <v>3203862</v>
      </c>
      <c r="AC37" s="118">
        <v>25000</v>
      </c>
      <c r="AD37" s="120">
        <v>42216</v>
      </c>
    </row>
    <row r="38" spans="1:31" ht="15" x14ac:dyDescent="0.25">
      <c r="A38" s="477"/>
      <c r="B38" s="477"/>
      <c r="C38" s="88"/>
      <c r="I38" s="3"/>
      <c r="K38" s="3"/>
      <c r="P38" s="74">
        <v>42235</v>
      </c>
      <c r="Q38" s="126" t="s">
        <v>482</v>
      </c>
      <c r="R38" s="70">
        <v>19521</v>
      </c>
      <c r="S38" s="71">
        <v>42242</v>
      </c>
      <c r="T38" s="70">
        <v>19521</v>
      </c>
      <c r="U38" s="77">
        <f t="shared" si="2"/>
        <v>0</v>
      </c>
      <c r="Y38" s="182"/>
      <c r="Z38" s="161"/>
      <c r="AA38" s="121"/>
      <c r="AB38" s="119">
        <v>3203874</v>
      </c>
      <c r="AC38" s="118">
        <v>33930</v>
      </c>
      <c r="AD38" s="120">
        <v>42216</v>
      </c>
    </row>
    <row r="39" spans="1:31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102979.45</v>
      </c>
      <c r="K39" s="458"/>
      <c r="L39" s="90"/>
      <c r="M39" s="90"/>
      <c r="N39" s="90"/>
      <c r="P39" s="74">
        <v>42236</v>
      </c>
      <c r="Q39" s="126" t="s">
        <v>483</v>
      </c>
      <c r="R39" s="70">
        <v>18319.2</v>
      </c>
      <c r="S39" s="71">
        <v>42242</v>
      </c>
      <c r="T39" s="70">
        <v>18319.2</v>
      </c>
      <c r="U39" s="77">
        <f t="shared" si="2"/>
        <v>0</v>
      </c>
      <c r="Y39" s="182"/>
      <c r="Z39" s="161">
        <v>0</v>
      </c>
      <c r="AA39" s="121"/>
      <c r="AB39" s="119">
        <v>3203866</v>
      </c>
      <c r="AC39" s="118">
        <v>7009.5</v>
      </c>
      <c r="AD39" s="120">
        <v>42217</v>
      </c>
    </row>
    <row r="40" spans="1:31" ht="16.5" customHeight="1" x14ac:dyDescent="0.25">
      <c r="A40" s="478"/>
      <c r="B40" s="478"/>
      <c r="C40" s="88"/>
      <c r="D40" s="464" t="s">
        <v>8</v>
      </c>
      <c r="E40" s="464"/>
      <c r="F40" s="17">
        <f>F37-J39-C37</f>
        <v>3878152.67</v>
      </c>
      <c r="I40" s="14"/>
      <c r="P40" s="74">
        <v>42238</v>
      </c>
      <c r="Q40" s="126" t="s">
        <v>493</v>
      </c>
      <c r="R40" s="70">
        <v>22943.7</v>
      </c>
      <c r="S40" s="71">
        <v>42242</v>
      </c>
      <c r="T40" s="70">
        <v>22943.7</v>
      </c>
      <c r="U40" s="77">
        <f t="shared" si="2"/>
        <v>0</v>
      </c>
      <c r="Y40" s="182"/>
      <c r="Z40" s="161"/>
      <c r="AA40" s="121"/>
      <c r="AB40" s="119">
        <v>3203867</v>
      </c>
      <c r="AC40" s="118">
        <v>43000</v>
      </c>
      <c r="AD40" s="120">
        <v>42218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N41" s="127"/>
      <c r="P41" s="74">
        <v>42238</v>
      </c>
      <c r="Q41" s="126" t="s">
        <v>494</v>
      </c>
      <c r="R41" s="70">
        <v>293968</v>
      </c>
      <c r="S41" s="149" t="s">
        <v>524</v>
      </c>
      <c r="T41" s="274">
        <f>238455.16+55512.84</f>
        <v>293968</v>
      </c>
      <c r="U41" s="77">
        <f t="shared" si="2"/>
        <v>0</v>
      </c>
      <c r="Y41" s="121"/>
      <c r="Z41" s="161"/>
      <c r="AA41" s="121"/>
      <c r="AB41" s="119">
        <v>3203868</v>
      </c>
      <c r="AC41" s="118">
        <v>19223</v>
      </c>
      <c r="AD41" s="120">
        <v>42218</v>
      </c>
    </row>
    <row r="42" spans="1:31" ht="16.5" customHeight="1" thickBot="1" x14ac:dyDescent="0.3">
      <c r="E42" s="259" t="s">
        <v>146</v>
      </c>
      <c r="F42" s="15">
        <v>-4217579.46</v>
      </c>
      <c r="I42" s="19" t="s">
        <v>9</v>
      </c>
      <c r="J42" s="56"/>
      <c r="K42" s="15">
        <v>215416.75</v>
      </c>
      <c r="N42" s="127"/>
      <c r="P42" s="74">
        <v>42238</v>
      </c>
      <c r="Q42" s="126" t="s">
        <v>495</v>
      </c>
      <c r="R42" s="70">
        <v>3447.6</v>
      </c>
      <c r="S42" s="71">
        <v>42242</v>
      </c>
      <c r="T42" s="70">
        <v>3447.6</v>
      </c>
      <c r="U42" s="77">
        <f t="shared" si="2"/>
        <v>0</v>
      </c>
      <c r="Y42" s="121"/>
      <c r="Z42" s="161"/>
      <c r="AA42" s="121"/>
      <c r="AB42" s="119">
        <v>3203869</v>
      </c>
      <c r="AC42" s="118">
        <v>50000</v>
      </c>
      <c r="AD42" s="120">
        <v>42219</v>
      </c>
    </row>
    <row r="43" spans="1:31" thickTop="1" x14ac:dyDescent="0.25">
      <c r="E43" s="4" t="s">
        <v>10</v>
      </c>
      <c r="F43" s="3">
        <f>SUM(F40:F42)</f>
        <v>-339426.79000000004</v>
      </c>
      <c r="K43" s="3">
        <f>F45+K42</f>
        <v>-76373.040000000037</v>
      </c>
      <c r="N43" s="127"/>
      <c r="P43" s="74">
        <v>42239</v>
      </c>
      <c r="Q43" s="126" t="s">
        <v>496</v>
      </c>
      <c r="R43" s="70">
        <v>14515.5</v>
      </c>
      <c r="S43" s="71">
        <v>42242</v>
      </c>
      <c r="T43" s="70">
        <v>14515.5</v>
      </c>
      <c r="U43" s="77">
        <f t="shared" si="2"/>
        <v>0</v>
      </c>
      <c r="Y43" s="121"/>
      <c r="Z43" s="161"/>
      <c r="AA43" s="121"/>
      <c r="AB43" s="119">
        <v>3203872</v>
      </c>
      <c r="AC43" s="118">
        <v>50000</v>
      </c>
      <c r="AD43" s="120">
        <v>42219</v>
      </c>
    </row>
    <row r="44" spans="1:31" ht="17.25" customHeight="1" thickBot="1" x14ac:dyDescent="0.3">
      <c r="D44" s="355" t="s">
        <v>31</v>
      </c>
      <c r="E44" s="355"/>
      <c r="F44" s="18">
        <v>47637</v>
      </c>
      <c r="I44" s="4" t="s">
        <v>2</v>
      </c>
      <c r="J44" s="327"/>
      <c r="K44" s="328">
        <v>0</v>
      </c>
      <c r="N44" s="127"/>
      <c r="P44" s="74">
        <v>42240</v>
      </c>
      <c r="Q44" s="126" t="s">
        <v>497</v>
      </c>
      <c r="R44" s="70">
        <v>23691.8</v>
      </c>
      <c r="S44" s="71">
        <v>42242</v>
      </c>
      <c r="T44" s="70">
        <v>23691.8</v>
      </c>
      <c r="U44" s="77">
        <f t="shared" si="2"/>
        <v>0</v>
      </c>
      <c r="Y44" s="121"/>
      <c r="Z44" s="161"/>
      <c r="AA44" s="121"/>
      <c r="AB44" s="119">
        <v>3203873</v>
      </c>
      <c r="AC44" s="118">
        <v>80000</v>
      </c>
      <c r="AD44" s="120">
        <v>42219</v>
      </c>
    </row>
    <row r="45" spans="1:31" ht="20.25" thickTop="1" thickBot="1" x14ac:dyDescent="0.35">
      <c r="E45" s="5" t="s">
        <v>11</v>
      </c>
      <c r="F45" s="6">
        <f>F44+F43</f>
        <v>-291789.79000000004</v>
      </c>
      <c r="I45" s="461" t="s">
        <v>235</v>
      </c>
      <c r="J45" s="462"/>
      <c r="K45" s="93">
        <f>K43+K44</f>
        <v>-76373.040000000037</v>
      </c>
      <c r="N45" s="127"/>
      <c r="P45" s="74">
        <v>42241</v>
      </c>
      <c r="Q45" s="126" t="s">
        <v>504</v>
      </c>
      <c r="R45" s="70">
        <v>38108</v>
      </c>
      <c r="S45" s="146">
        <v>42250</v>
      </c>
      <c r="T45" s="274">
        <v>38108</v>
      </c>
      <c r="U45" s="77">
        <f t="shared" si="0"/>
        <v>0</v>
      </c>
      <c r="Y45" s="121"/>
      <c r="Z45" s="161"/>
      <c r="AA45" s="121"/>
      <c r="AB45" s="119">
        <v>3214474</v>
      </c>
      <c r="AC45" s="118">
        <v>32768</v>
      </c>
      <c r="AD45" s="120">
        <v>42219</v>
      </c>
    </row>
    <row r="46" spans="1:31" thickTop="1" x14ac:dyDescent="0.25">
      <c r="N46" s="127"/>
      <c r="P46" s="74">
        <v>42242</v>
      </c>
      <c r="Q46" s="126" t="s">
        <v>505</v>
      </c>
      <c r="R46" s="70">
        <v>14144</v>
      </c>
      <c r="S46" s="146">
        <v>42250</v>
      </c>
      <c r="T46" s="274">
        <v>14144</v>
      </c>
      <c r="U46" s="77">
        <f t="shared" si="0"/>
        <v>0</v>
      </c>
      <c r="Y46" s="121"/>
      <c r="Z46" s="161"/>
      <c r="AA46" s="121"/>
      <c r="AB46" s="119">
        <v>813306</v>
      </c>
      <c r="AC46" s="118">
        <v>108091</v>
      </c>
      <c r="AD46" s="120">
        <v>42218</v>
      </c>
      <c r="AE46" s="364">
        <f>10508.8+5184+92398</f>
        <v>108090.8</v>
      </c>
    </row>
    <row r="47" spans="1:31" ht="15" x14ac:dyDescent="0.25">
      <c r="N47" s="127"/>
      <c r="P47" s="74">
        <v>42243</v>
      </c>
      <c r="Q47" s="126" t="s">
        <v>506</v>
      </c>
      <c r="R47" s="70">
        <v>25258</v>
      </c>
      <c r="S47" s="146">
        <v>42250</v>
      </c>
      <c r="T47" s="274">
        <v>25258</v>
      </c>
      <c r="U47" s="77">
        <f t="shared" si="0"/>
        <v>0</v>
      </c>
      <c r="Y47" s="121"/>
      <c r="Z47" s="161"/>
      <c r="AA47" s="121"/>
      <c r="AB47" s="119">
        <v>3214473</v>
      </c>
      <c r="AC47" s="118">
        <v>82500</v>
      </c>
      <c r="AD47" s="120">
        <v>42220</v>
      </c>
    </row>
    <row r="48" spans="1:31" ht="15" x14ac:dyDescent="0.25">
      <c r="N48" s="127"/>
      <c r="P48" s="74">
        <v>42243</v>
      </c>
      <c r="Q48" s="126" t="s">
        <v>527</v>
      </c>
      <c r="R48" s="70">
        <v>318412.71999999997</v>
      </c>
      <c r="S48" s="146">
        <v>42251</v>
      </c>
      <c r="T48" s="274">
        <v>318412.71999999997</v>
      </c>
      <c r="U48" s="77">
        <f t="shared" si="0"/>
        <v>0</v>
      </c>
      <c r="Y48" s="121"/>
      <c r="Z48" s="161"/>
      <c r="AA48" s="121"/>
      <c r="AB48" s="119">
        <v>3214471</v>
      </c>
      <c r="AC48" s="118">
        <v>48358</v>
      </c>
      <c r="AD48" s="120">
        <v>42221</v>
      </c>
    </row>
    <row r="49" spans="2:31" ht="19.5" customHeight="1" x14ac:dyDescent="0.25">
      <c r="B49"/>
      <c r="C49"/>
      <c r="E49"/>
      <c r="F49"/>
      <c r="H49"/>
      <c r="I49"/>
      <c r="J49"/>
      <c r="K49"/>
      <c r="L49"/>
      <c r="M49"/>
      <c r="N49" s="127"/>
      <c r="P49" s="74">
        <v>42243</v>
      </c>
      <c r="Q49" s="126" t="s">
        <v>528</v>
      </c>
      <c r="R49" s="70">
        <v>314635.32</v>
      </c>
      <c r="S49" s="146">
        <v>42251</v>
      </c>
      <c r="T49" s="274">
        <v>314635.32</v>
      </c>
      <c r="U49" s="77">
        <f t="shared" si="0"/>
        <v>0</v>
      </c>
      <c r="Y49" s="121"/>
      <c r="Z49" s="161"/>
      <c r="AA49" s="121"/>
      <c r="AB49" s="119">
        <v>3214470</v>
      </c>
      <c r="AC49" s="118">
        <v>40000</v>
      </c>
      <c r="AD49" s="120">
        <v>42221</v>
      </c>
    </row>
    <row r="50" spans="2:31" ht="16.5" customHeight="1" x14ac:dyDescent="0.25">
      <c r="B50"/>
      <c r="C50"/>
      <c r="E50"/>
      <c r="F50"/>
      <c r="H50"/>
      <c r="I50"/>
      <c r="J50"/>
      <c r="K50"/>
      <c r="L50"/>
      <c r="M50"/>
      <c r="N50" s="127"/>
      <c r="P50" s="74">
        <v>42244</v>
      </c>
      <c r="Q50" s="126" t="s">
        <v>507</v>
      </c>
      <c r="R50" s="70">
        <v>16610</v>
      </c>
      <c r="S50" s="146">
        <v>42250</v>
      </c>
      <c r="T50" s="274">
        <v>16610</v>
      </c>
      <c r="U50" s="77">
        <f t="shared" si="0"/>
        <v>0</v>
      </c>
      <c r="Y50" s="121"/>
      <c r="Z50" s="161"/>
      <c r="AA50" s="121"/>
      <c r="AB50" s="119">
        <v>3214472</v>
      </c>
      <c r="AC50" s="118">
        <v>40000</v>
      </c>
      <c r="AD50" s="120">
        <v>42221</v>
      </c>
    </row>
    <row r="51" spans="2:31" ht="16.5" thickBot="1" x14ac:dyDescent="0.3">
      <c r="B51"/>
      <c r="C51"/>
      <c r="E51"/>
      <c r="F51"/>
      <c r="H51" s="493"/>
      <c r="I51" s="493"/>
      <c r="J51" s="329"/>
      <c r="K51" s="330"/>
      <c r="L51"/>
      <c r="M51"/>
      <c r="N51" s="127"/>
      <c r="P51" s="74">
        <v>42244</v>
      </c>
      <c r="Q51" s="126" t="s">
        <v>508</v>
      </c>
      <c r="R51" s="70">
        <v>70625.600000000006</v>
      </c>
      <c r="S51" s="146">
        <v>42250</v>
      </c>
      <c r="T51" s="274">
        <v>70625.600000000006</v>
      </c>
      <c r="U51" s="77">
        <f t="shared" si="0"/>
        <v>0</v>
      </c>
      <c r="Y51" s="183"/>
      <c r="Z51" s="163"/>
      <c r="AA51" s="163"/>
      <c r="AB51" s="351"/>
      <c r="AC51" s="138">
        <v>0</v>
      </c>
      <c r="AD51" s="232"/>
    </row>
    <row r="52" spans="2:31" x14ac:dyDescent="0.25">
      <c r="B52"/>
      <c r="C52"/>
      <c r="E52"/>
      <c r="F52"/>
      <c r="H52"/>
      <c r="I52"/>
      <c r="J52"/>
      <c r="K52"/>
      <c r="L52"/>
      <c r="M52"/>
      <c r="N52" s="127"/>
      <c r="P52" s="74">
        <v>42245</v>
      </c>
      <c r="Q52" s="126" t="s">
        <v>509</v>
      </c>
      <c r="R52" s="70">
        <v>29530.7</v>
      </c>
      <c r="S52" s="146">
        <v>42250</v>
      </c>
      <c r="T52" s="274">
        <v>29530.7</v>
      </c>
      <c r="U52" s="77">
        <f t="shared" si="0"/>
        <v>0</v>
      </c>
      <c r="Y52" s="197" t="s">
        <v>153</v>
      </c>
      <c r="Z52" s="200">
        <f>SUM(Z4:Z51)</f>
        <v>2099319.5</v>
      </c>
      <c r="AA52" s="271"/>
      <c r="AB52" s="199" t="s">
        <v>153</v>
      </c>
      <c r="AC52" s="200">
        <f>SUM(AC4:AC51)</f>
        <v>2099319.5</v>
      </c>
      <c r="AD52" s="229"/>
    </row>
    <row r="53" spans="2:31" ht="15" x14ac:dyDescent="0.25">
      <c r="B53"/>
      <c r="C53"/>
      <c r="E53"/>
      <c r="F53"/>
      <c r="H53"/>
      <c r="I53"/>
      <c r="J53"/>
      <c r="K53"/>
      <c r="L53"/>
      <c r="M53"/>
      <c r="N53" s="127"/>
      <c r="P53" s="74">
        <v>42245</v>
      </c>
      <c r="Q53" s="126" t="s">
        <v>510</v>
      </c>
      <c r="R53" s="70">
        <v>120834.5</v>
      </c>
      <c r="S53" s="146">
        <v>42250</v>
      </c>
      <c r="T53" s="274">
        <v>120834.5</v>
      </c>
      <c r="U53" s="77">
        <f t="shared" si="0"/>
        <v>0</v>
      </c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 s="127"/>
      <c r="P54" s="74">
        <v>42247</v>
      </c>
      <c r="Q54" s="126" t="s">
        <v>511</v>
      </c>
      <c r="R54" s="70">
        <v>10081.5</v>
      </c>
      <c r="S54" s="146">
        <v>42250</v>
      </c>
      <c r="T54" s="274">
        <v>10081.5</v>
      </c>
      <c r="U54" s="77">
        <f t="shared" si="0"/>
        <v>0</v>
      </c>
    </row>
    <row r="55" spans="2:31" thickBot="1" x14ac:dyDescent="0.3">
      <c r="B55"/>
      <c r="C55"/>
      <c r="E55"/>
      <c r="F55"/>
      <c r="H55"/>
      <c r="I55"/>
      <c r="J55"/>
      <c r="K55"/>
      <c r="L55"/>
      <c r="M55"/>
      <c r="N55" s="127"/>
      <c r="P55" s="74">
        <v>42247</v>
      </c>
      <c r="Q55" s="126" t="s">
        <v>512</v>
      </c>
      <c r="R55" s="70">
        <v>59670.2</v>
      </c>
      <c r="S55" s="146">
        <v>42250</v>
      </c>
      <c r="T55" s="274">
        <v>59670.2</v>
      </c>
      <c r="U55" s="77">
        <f t="shared" si="0"/>
        <v>0</v>
      </c>
    </row>
    <row r="56" spans="2:31" ht="19.5" thickBot="1" x14ac:dyDescent="0.35">
      <c r="B56"/>
      <c r="C56"/>
      <c r="E56"/>
      <c r="F56"/>
      <c r="H56"/>
      <c r="I56"/>
      <c r="J56"/>
      <c r="K56"/>
      <c r="L56"/>
      <c r="M56"/>
      <c r="N56" s="127"/>
      <c r="P56" s="74">
        <v>42247</v>
      </c>
      <c r="Q56" s="126" t="s">
        <v>513</v>
      </c>
      <c r="R56" s="70">
        <v>4609.6000000000004</v>
      </c>
      <c r="S56" s="146">
        <v>42250</v>
      </c>
      <c r="T56" s="274">
        <v>4609.6000000000004</v>
      </c>
      <c r="U56" s="77">
        <f t="shared" si="0"/>
        <v>0</v>
      </c>
      <c r="Y56" s="491">
        <v>1</v>
      </c>
      <c r="Z56" s="96" t="s">
        <v>124</v>
      </c>
      <c r="AA56" s="96"/>
      <c r="AB56" s="97"/>
      <c r="AC56" s="366">
        <v>42238</v>
      </c>
      <c r="AD56" s="229"/>
    </row>
    <row r="57" spans="2:31" ht="16.5" thickBot="1" x14ac:dyDescent="0.3">
      <c r="B57"/>
      <c r="C57"/>
      <c r="E57"/>
      <c r="F57"/>
      <c r="H57"/>
      <c r="I57"/>
      <c r="J57"/>
      <c r="K57"/>
      <c r="L57"/>
      <c r="M57"/>
      <c r="N57" s="1"/>
      <c r="P57" s="74">
        <v>42247</v>
      </c>
      <c r="Q57" s="126" t="s">
        <v>514</v>
      </c>
      <c r="R57" s="70">
        <v>29480</v>
      </c>
      <c r="S57" s="146">
        <v>42250</v>
      </c>
      <c r="T57" s="274">
        <v>29480</v>
      </c>
      <c r="U57" s="77">
        <f t="shared" si="0"/>
        <v>0</v>
      </c>
      <c r="Y57" s="492"/>
      <c r="Z57" s="100"/>
      <c r="AA57" s="100"/>
      <c r="AB57" s="101"/>
      <c r="AC57" s="102"/>
      <c r="AD57" s="229"/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/>
      <c r="Q58" s="126"/>
      <c r="R58" s="70"/>
      <c r="S58" s="146"/>
      <c r="T58" s="274"/>
      <c r="U58" s="77">
        <f t="shared" si="0"/>
        <v>0</v>
      </c>
      <c r="Y58" s="104" t="s">
        <v>126</v>
      </c>
      <c r="Z58" s="100" t="s">
        <v>127</v>
      </c>
      <c r="AA58" s="100"/>
      <c r="AB58" s="101" t="s">
        <v>128</v>
      </c>
      <c r="AC58" s="102" t="s">
        <v>129</v>
      </c>
      <c r="AD58" s="229"/>
    </row>
    <row r="59" spans="2:31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  <c r="Y59" s="105" t="s">
        <v>460</v>
      </c>
      <c r="Z59" s="106">
        <v>2754.86</v>
      </c>
      <c r="AA59" s="106"/>
      <c r="AB59" s="186" t="s">
        <v>470</v>
      </c>
      <c r="AC59" s="187">
        <v>6909</v>
      </c>
      <c r="AD59" s="230">
        <v>42231</v>
      </c>
      <c r="AE59" s="82">
        <v>42214</v>
      </c>
    </row>
    <row r="60" spans="2:31" x14ac:dyDescent="0.25">
      <c r="B60"/>
      <c r="C60"/>
      <c r="E60"/>
      <c r="F60"/>
      <c r="H60"/>
      <c r="I60"/>
      <c r="J60"/>
      <c r="K60"/>
      <c r="L60"/>
      <c r="M60"/>
      <c r="N60"/>
      <c r="P60" s="74"/>
      <c r="Q60" s="126"/>
      <c r="R60" s="70"/>
      <c r="S60" s="146"/>
      <c r="T60" s="246"/>
      <c r="U60" s="77">
        <f t="shared" si="0"/>
        <v>0</v>
      </c>
      <c r="Y60" s="126" t="s">
        <v>458</v>
      </c>
      <c r="Z60" s="70">
        <v>5490.6</v>
      </c>
      <c r="AA60" s="111"/>
      <c r="AB60" s="186">
        <v>3214469</v>
      </c>
      <c r="AC60" s="187">
        <v>23110</v>
      </c>
      <c r="AD60" s="230">
        <v>42221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74"/>
      <c r="Q61" s="126"/>
      <c r="R61" s="70"/>
      <c r="S61" s="71"/>
      <c r="T61" s="213"/>
      <c r="U61" s="77">
        <f t="shared" si="0"/>
        <v>0</v>
      </c>
      <c r="Y61" s="126" t="s">
        <v>462</v>
      </c>
      <c r="Z61" s="70">
        <v>14092.6</v>
      </c>
      <c r="AA61" s="111"/>
      <c r="AB61" s="186">
        <v>3214467</v>
      </c>
      <c r="AC61" s="187">
        <v>52000</v>
      </c>
      <c r="AD61" s="230">
        <v>42222</v>
      </c>
    </row>
    <row r="62" spans="2:31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31"/>
      <c r="T62" s="85"/>
      <c r="U62" s="77">
        <f t="shared" si="0"/>
        <v>0</v>
      </c>
      <c r="Y62" s="126" t="s">
        <v>478</v>
      </c>
      <c r="Z62" s="70">
        <v>313191.14</v>
      </c>
      <c r="AA62" s="111"/>
      <c r="AB62" s="186">
        <v>3214466</v>
      </c>
      <c r="AC62" s="187">
        <v>46521.5</v>
      </c>
      <c r="AD62" s="230">
        <v>42222</v>
      </c>
    </row>
    <row r="63" spans="2:31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131"/>
      <c r="T63" s="85"/>
      <c r="U63" s="77">
        <f t="shared" si="0"/>
        <v>0</v>
      </c>
      <c r="Y63" s="126" t="s">
        <v>479</v>
      </c>
      <c r="Z63" s="70">
        <v>259148.84</v>
      </c>
      <c r="AA63" s="111"/>
      <c r="AB63" s="186">
        <v>3214462</v>
      </c>
      <c r="AC63" s="187">
        <v>30000</v>
      </c>
      <c r="AD63" s="230">
        <v>42223</v>
      </c>
    </row>
    <row r="64" spans="2:31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472</v>
      </c>
      <c r="Z64" s="70">
        <v>13166</v>
      </c>
      <c r="AA64" s="190"/>
      <c r="AB64" s="186">
        <v>3214461</v>
      </c>
      <c r="AC64" s="187">
        <v>35504</v>
      </c>
      <c r="AD64" s="230">
        <v>42223</v>
      </c>
    </row>
    <row r="65" spans="2:31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473</v>
      </c>
      <c r="Z65" s="70">
        <v>60972.800000000003</v>
      </c>
      <c r="AA65" s="226"/>
      <c r="AB65" s="186">
        <v>3214465</v>
      </c>
      <c r="AC65" s="187">
        <v>30000</v>
      </c>
      <c r="AD65" s="230">
        <v>42223</v>
      </c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ref="U66:U70" si="4">R66-T66</f>
        <v>0</v>
      </c>
      <c r="Y66" s="126" t="s">
        <v>474</v>
      </c>
      <c r="Z66" s="70">
        <v>17756.8</v>
      </c>
      <c r="AA66" s="111"/>
      <c r="AB66" s="192">
        <v>3214464</v>
      </c>
      <c r="AC66" s="193">
        <v>45000</v>
      </c>
      <c r="AD66" s="230">
        <v>42224</v>
      </c>
      <c r="AE66" s="82">
        <v>42223</v>
      </c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4"/>
        <v>0</v>
      </c>
      <c r="Y67" s="126" t="s">
        <v>475</v>
      </c>
      <c r="Z67" s="70">
        <v>12152</v>
      </c>
      <c r="AA67" s="111"/>
      <c r="AB67" s="192">
        <v>3214468</v>
      </c>
      <c r="AC67" s="193">
        <v>55000</v>
      </c>
      <c r="AD67" s="230">
        <v>42224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si="4"/>
        <v>0</v>
      </c>
      <c r="Y68" s="126" t="s">
        <v>476</v>
      </c>
      <c r="Z68" s="129">
        <v>157594.85999999999</v>
      </c>
      <c r="AA68" s="111" t="s">
        <v>165</v>
      </c>
      <c r="AB68" s="192">
        <v>3214463</v>
      </c>
      <c r="AC68" s="193">
        <v>27972</v>
      </c>
      <c r="AD68" s="230">
        <v>42224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/>
      <c r="Z69" s="70"/>
      <c r="AA69" s="111"/>
      <c r="AB69" s="192">
        <v>3214460</v>
      </c>
      <c r="AC69" s="193">
        <v>30000</v>
      </c>
      <c r="AD69" s="230">
        <v>42225</v>
      </c>
    </row>
    <row r="70" spans="2:31" thickBot="1" x14ac:dyDescent="0.3">
      <c r="B70"/>
      <c r="C70"/>
      <c r="E70"/>
      <c r="F70"/>
      <c r="H70"/>
      <c r="I70"/>
      <c r="J70"/>
      <c r="K70"/>
      <c r="L70"/>
      <c r="M70"/>
      <c r="N70"/>
      <c r="P70" s="23"/>
      <c r="Q70" s="142"/>
      <c r="R70" s="133"/>
      <c r="S70" s="142"/>
      <c r="T70" s="143"/>
      <c r="U70" s="134">
        <f t="shared" si="4"/>
        <v>0</v>
      </c>
      <c r="Y70" s="126"/>
      <c r="Z70" s="70"/>
      <c r="AA70" s="226"/>
      <c r="AB70" s="192">
        <v>3214459</v>
      </c>
      <c r="AC70" s="193">
        <v>16771.5</v>
      </c>
      <c r="AD70" s="230">
        <v>42225</v>
      </c>
    </row>
    <row r="71" spans="2:31" ht="16.5" thickTop="1" x14ac:dyDescent="0.25">
      <c r="B71"/>
      <c r="C71"/>
      <c r="E71"/>
      <c r="F71"/>
      <c r="H71"/>
      <c r="I71"/>
      <c r="J71"/>
      <c r="K71"/>
      <c r="L71"/>
      <c r="M71"/>
      <c r="N71"/>
      <c r="P71"/>
      <c r="Q71"/>
      <c r="R71" s="132">
        <f>SUM(R4:R70)</f>
        <v>4217579.4600000009</v>
      </c>
      <c r="S71" s="132"/>
      <c r="T71" s="144">
        <f t="shared" ref="T71" si="5">SUM(T4:T70)</f>
        <v>4217579.4600000009</v>
      </c>
      <c r="U71" s="144">
        <f>SUM(U4:U70)</f>
        <v>0</v>
      </c>
      <c r="Y71" s="126"/>
      <c r="Z71" s="70"/>
      <c r="AA71" s="226"/>
      <c r="AB71" s="192" t="s">
        <v>470</v>
      </c>
      <c r="AC71" s="193">
        <v>50000</v>
      </c>
      <c r="AD71" s="230">
        <v>42227</v>
      </c>
      <c r="AE71" s="82">
        <v>42226</v>
      </c>
    </row>
    <row r="72" spans="2:31" ht="15" x14ac:dyDescent="0.25">
      <c r="B72"/>
      <c r="C72"/>
      <c r="E72"/>
      <c r="F72"/>
      <c r="H72"/>
      <c r="I72"/>
      <c r="J72"/>
      <c r="K72"/>
      <c r="L72"/>
      <c r="M72"/>
      <c r="N72"/>
      <c r="P72" s="8"/>
      <c r="Q72" s="8"/>
      <c r="R72" s="8"/>
      <c r="S72" s="8"/>
      <c r="T72" s="145"/>
      <c r="U72" s="145"/>
      <c r="V72" s="8"/>
      <c r="Y72" s="350"/>
      <c r="Z72" s="70"/>
      <c r="AA72" s="226"/>
      <c r="AB72" s="192">
        <v>3214457</v>
      </c>
      <c r="AC72" s="193">
        <v>63500</v>
      </c>
      <c r="AD72" s="230">
        <v>42226</v>
      </c>
    </row>
    <row r="73" spans="2:31" x14ac:dyDescent="0.25">
      <c r="B73"/>
      <c r="C73"/>
      <c r="E73"/>
      <c r="F73"/>
      <c r="H73"/>
      <c r="I73"/>
      <c r="J73"/>
      <c r="K73"/>
      <c r="L73"/>
      <c r="M73"/>
      <c r="N73"/>
      <c r="Y73" s="126"/>
      <c r="Z73" s="70"/>
      <c r="AA73" s="226"/>
      <c r="AB73" s="251">
        <v>3214456</v>
      </c>
      <c r="AC73" s="193">
        <v>37416</v>
      </c>
      <c r="AD73" s="230">
        <v>42226</v>
      </c>
    </row>
    <row r="74" spans="2:31" x14ac:dyDescent="0.25">
      <c r="B74"/>
      <c r="C74"/>
      <c r="E74"/>
      <c r="F74"/>
      <c r="H74"/>
      <c r="I74"/>
      <c r="J74"/>
      <c r="K74"/>
      <c r="L74"/>
      <c r="M74"/>
      <c r="N74"/>
      <c r="Y74" s="126"/>
      <c r="Z74" s="70"/>
      <c r="AA74" s="226"/>
      <c r="AB74" s="192" t="s">
        <v>470</v>
      </c>
      <c r="AC74" s="193">
        <v>8052</v>
      </c>
      <c r="AD74" s="230">
        <v>42224</v>
      </c>
      <c r="AE74" s="82">
        <v>42227</v>
      </c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/>
      <c r="Z75" s="70"/>
      <c r="AA75" s="244"/>
      <c r="AB75" s="192">
        <v>3214454</v>
      </c>
      <c r="AC75" s="193">
        <v>45000</v>
      </c>
      <c r="AD75" s="230">
        <v>42227</v>
      </c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/>
      <c r="Z76" s="70"/>
      <c r="AA76" s="226"/>
      <c r="AB76" s="192">
        <v>3214455</v>
      </c>
      <c r="AC76" s="193">
        <v>35169</v>
      </c>
      <c r="AD76" s="230">
        <v>42227</v>
      </c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/>
      <c r="Z77" s="70"/>
      <c r="AA77" s="226"/>
      <c r="AB77" s="192">
        <v>3214453</v>
      </c>
      <c r="AC77" s="193">
        <v>65000</v>
      </c>
      <c r="AD77" s="230">
        <v>42228</v>
      </c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/>
      <c r="Z78" s="70"/>
      <c r="AA78" s="226"/>
      <c r="AB78" s="251">
        <v>3214452</v>
      </c>
      <c r="AC78" s="193">
        <v>29332</v>
      </c>
      <c r="AD78" s="230">
        <v>42228</v>
      </c>
    </row>
    <row r="79" spans="2:31" ht="15" x14ac:dyDescent="0.25">
      <c r="B79"/>
      <c r="C79"/>
      <c r="E79"/>
      <c r="F79"/>
      <c r="H79"/>
      <c r="I79"/>
      <c r="J79"/>
      <c r="K79"/>
      <c r="L79"/>
      <c r="M79"/>
      <c r="N79"/>
      <c r="P79"/>
      <c r="Q79"/>
      <c r="S79"/>
      <c r="T79" s="23"/>
      <c r="Y79" s="126"/>
      <c r="Z79" s="70"/>
      <c r="AA79" s="226"/>
      <c r="AB79" s="192">
        <v>3214451</v>
      </c>
      <c r="AC79" s="193">
        <v>72000</v>
      </c>
      <c r="AD79" s="230">
        <v>42229</v>
      </c>
    </row>
    <row r="80" spans="2:31" ht="15" x14ac:dyDescent="0.25">
      <c r="B80"/>
      <c r="C80"/>
      <c r="E80"/>
      <c r="F80"/>
      <c r="H80"/>
      <c r="I80"/>
      <c r="J80"/>
      <c r="K80"/>
      <c r="L80"/>
      <c r="M80"/>
      <c r="N80"/>
      <c r="P80"/>
      <c r="Q80"/>
      <c r="S80"/>
      <c r="T80" s="23"/>
      <c r="Y80" s="126"/>
      <c r="Z80" s="70"/>
      <c r="AA80" s="226"/>
      <c r="AB80" s="192">
        <v>3214449</v>
      </c>
      <c r="AC80" s="193">
        <v>35000</v>
      </c>
      <c r="AD80" s="230">
        <v>42229</v>
      </c>
    </row>
    <row r="81" spans="2:31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/>
      <c r="Z81" s="70"/>
      <c r="AA81" s="226"/>
      <c r="AB81" s="251">
        <v>17063.5</v>
      </c>
      <c r="AC81" s="193">
        <v>17063.5</v>
      </c>
      <c r="AD81" s="230">
        <v>42229</v>
      </c>
    </row>
    <row r="82" spans="2:31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/>
      <c r="Z82" s="70"/>
      <c r="AA82" s="244"/>
      <c r="AB82" s="251"/>
      <c r="AC82" s="193"/>
      <c r="AD82" s="230"/>
    </row>
    <row r="83" spans="2:31" ht="16.5" thickBot="1" x14ac:dyDescent="0.3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83"/>
      <c r="Z83" s="163"/>
      <c r="AA83" s="163"/>
      <c r="AB83" s="351"/>
      <c r="AC83" s="138">
        <v>0</v>
      </c>
      <c r="AD83" s="232"/>
    </row>
    <row r="84" spans="2:31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97" t="s">
        <v>153</v>
      </c>
      <c r="Z84" s="200">
        <f>SUM(Z59:Z83)</f>
        <v>856320.50000000012</v>
      </c>
      <c r="AA84" s="271"/>
      <c r="AB84" s="199" t="s">
        <v>153</v>
      </c>
      <c r="AC84" s="200">
        <f>SUM(AC59:AC83)</f>
        <v>856320.5</v>
      </c>
      <c r="AD84" s="229"/>
    </row>
    <row r="85" spans="2:31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</row>
    <row r="86" spans="2:31" thickBot="1" x14ac:dyDescent="0.3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</row>
    <row r="87" spans="2:31" ht="19.5" thickBot="1" x14ac:dyDescent="0.3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491">
        <v>1</v>
      </c>
      <c r="Z87" s="96" t="s">
        <v>124</v>
      </c>
      <c r="AA87" s="96"/>
      <c r="AB87" s="97"/>
      <c r="AC87" s="368">
        <v>42242</v>
      </c>
      <c r="AD87" s="229"/>
    </row>
    <row r="88" spans="2:31" ht="16.5" thickBot="1" x14ac:dyDescent="0.3">
      <c r="B88"/>
      <c r="C88"/>
      <c r="E88"/>
      <c r="F88"/>
      <c r="H88"/>
      <c r="I88"/>
      <c r="J88"/>
      <c r="K88"/>
      <c r="L88"/>
      <c r="M88"/>
      <c r="N88"/>
      <c r="P88"/>
      <c r="Q88"/>
      <c r="S88"/>
      <c r="T88" s="23"/>
      <c r="Y88" s="492"/>
      <c r="Z88" s="100"/>
      <c r="AA88" s="100"/>
      <c r="AB88" s="101"/>
      <c r="AC88" s="102"/>
      <c r="AD88" s="229"/>
    </row>
    <row r="89" spans="2:31" x14ac:dyDescent="0.25">
      <c r="B89"/>
      <c r="C89"/>
      <c r="E89"/>
      <c r="F89"/>
      <c r="H89"/>
      <c r="I89"/>
      <c r="J89"/>
      <c r="K89"/>
      <c r="L89"/>
      <c r="M89"/>
      <c r="N89"/>
      <c r="P89"/>
      <c r="Q89"/>
      <c r="S89"/>
      <c r="T89" s="23"/>
      <c r="Y89" s="104" t="s">
        <v>126</v>
      </c>
      <c r="Z89" s="100" t="s">
        <v>127</v>
      </c>
      <c r="AA89" s="100"/>
      <c r="AB89" s="101" t="s">
        <v>128</v>
      </c>
      <c r="AC89" s="102" t="s">
        <v>129</v>
      </c>
      <c r="AD89" s="229"/>
    </row>
    <row r="90" spans="2:31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Y90" s="369" t="s">
        <v>476</v>
      </c>
      <c r="Z90" s="106">
        <v>15682.74</v>
      </c>
      <c r="AA90" s="106"/>
      <c r="AB90" s="186" t="s">
        <v>470</v>
      </c>
      <c r="AC90" s="187">
        <v>1492</v>
      </c>
      <c r="AD90" s="230">
        <v>42229</v>
      </c>
      <c r="AE90" s="82">
        <v>42230</v>
      </c>
    </row>
    <row r="91" spans="2:31" x14ac:dyDescent="0.25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Y91" s="126" t="s">
        <v>477</v>
      </c>
      <c r="Z91" s="70">
        <v>141257.70000000001</v>
      </c>
      <c r="AA91" s="111"/>
      <c r="AB91" s="186">
        <v>3214448</v>
      </c>
      <c r="AC91" s="187">
        <v>35000</v>
      </c>
      <c r="AD91" s="230">
        <v>42230</v>
      </c>
    </row>
    <row r="92" spans="2:31" x14ac:dyDescent="0.25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Y92" s="126" t="s">
        <v>480</v>
      </c>
      <c r="Z92" s="70">
        <v>10595.8</v>
      </c>
      <c r="AA92" s="111"/>
      <c r="AB92" s="186">
        <v>3214447</v>
      </c>
      <c r="AC92" s="187">
        <v>55000</v>
      </c>
      <c r="AD92" s="230">
        <v>42230</v>
      </c>
    </row>
    <row r="93" spans="2:31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Y93" s="126" t="s">
        <v>491</v>
      </c>
      <c r="Z93" s="70">
        <v>350914.06</v>
      </c>
      <c r="AA93" s="111"/>
      <c r="AB93" s="186">
        <v>3214446</v>
      </c>
      <c r="AC93" s="187">
        <v>43000</v>
      </c>
      <c r="AD93" s="230">
        <v>42230</v>
      </c>
    </row>
    <row r="94" spans="2:31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Y94" s="126" t="s">
        <v>492</v>
      </c>
      <c r="Z94" s="70">
        <v>235442.94</v>
      </c>
      <c r="AA94" s="111"/>
      <c r="AB94" s="186">
        <v>3214444</v>
      </c>
      <c r="AC94" s="187">
        <v>23842</v>
      </c>
      <c r="AD94" s="230">
        <v>42231</v>
      </c>
    </row>
    <row r="95" spans="2:31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Y95" s="126" t="s">
        <v>481</v>
      </c>
      <c r="Z95" s="70">
        <v>652.79999999999995</v>
      </c>
      <c r="AA95" s="190"/>
      <c r="AB95" s="186">
        <v>813143</v>
      </c>
      <c r="AC95" s="187">
        <v>31320</v>
      </c>
      <c r="AD95" s="230">
        <v>42230</v>
      </c>
      <c r="AE95" s="82">
        <v>42231</v>
      </c>
    </row>
    <row r="96" spans="2:31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  <c r="Y96" s="126" t="s">
        <v>482</v>
      </c>
      <c r="Z96" s="70">
        <v>19521</v>
      </c>
      <c r="AA96" s="226"/>
      <c r="AB96" s="186">
        <v>3214445</v>
      </c>
      <c r="AC96" s="187">
        <v>60000</v>
      </c>
      <c r="AD96" s="230">
        <v>42231</v>
      </c>
    </row>
    <row r="97" spans="2:31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  <c r="Y97" s="126" t="s">
        <v>483</v>
      </c>
      <c r="Z97" s="70">
        <v>18319.2</v>
      </c>
      <c r="AA97" s="111"/>
      <c r="AB97" s="192">
        <v>3214442</v>
      </c>
      <c r="AC97" s="193">
        <v>21504.5</v>
      </c>
      <c r="AD97" s="230">
        <v>42231</v>
      </c>
    </row>
    <row r="98" spans="2:31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  <c r="Y98" s="126" t="s">
        <v>493</v>
      </c>
      <c r="Z98" s="70">
        <v>22943.7</v>
      </c>
      <c r="AA98" s="111"/>
      <c r="AB98" s="192" t="s">
        <v>470</v>
      </c>
      <c r="AC98" s="193">
        <v>9000</v>
      </c>
      <c r="AD98" s="230">
        <v>42231</v>
      </c>
      <c r="AE98" s="82">
        <v>42232</v>
      </c>
    </row>
    <row r="99" spans="2:31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126" t="s">
        <v>494</v>
      </c>
      <c r="Z99" s="70">
        <v>238455.16</v>
      </c>
      <c r="AA99" s="111" t="s">
        <v>165</v>
      </c>
      <c r="AB99" s="192" t="s">
        <v>470</v>
      </c>
      <c r="AC99" s="193">
        <v>3636</v>
      </c>
      <c r="AD99" s="230">
        <v>42231</v>
      </c>
      <c r="AE99" s="82">
        <v>42232</v>
      </c>
    </row>
    <row r="100" spans="2:31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126" t="s">
        <v>495</v>
      </c>
      <c r="Z100" s="70">
        <v>3447.6</v>
      </c>
      <c r="AA100" s="111"/>
      <c r="AB100" s="192">
        <v>813147</v>
      </c>
      <c r="AC100" s="193">
        <v>26410</v>
      </c>
      <c r="AD100" s="230">
        <v>42231</v>
      </c>
      <c r="AE100" s="82">
        <v>42232</v>
      </c>
    </row>
    <row r="101" spans="2:31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26" t="s">
        <v>496</v>
      </c>
      <c r="Z101" s="70">
        <v>14515.5</v>
      </c>
      <c r="AA101" s="226"/>
      <c r="AB101" s="192">
        <v>3214441</v>
      </c>
      <c r="AC101" s="193">
        <v>33000</v>
      </c>
      <c r="AD101" s="230">
        <v>42232</v>
      </c>
    </row>
    <row r="102" spans="2:31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26" t="s">
        <v>497</v>
      </c>
      <c r="Z102" s="70">
        <v>23691.8</v>
      </c>
      <c r="AA102" s="226"/>
      <c r="AB102" s="192">
        <v>3214440</v>
      </c>
      <c r="AC102" s="193">
        <v>40000</v>
      </c>
      <c r="AD102" s="230">
        <v>42232</v>
      </c>
    </row>
    <row r="103" spans="2:31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350"/>
      <c r="Z103" s="70"/>
      <c r="AA103" s="226"/>
      <c r="AB103" s="192">
        <v>3214439</v>
      </c>
      <c r="AC103" s="193">
        <v>23804</v>
      </c>
      <c r="AD103" s="230">
        <v>42232</v>
      </c>
    </row>
    <row r="104" spans="2:31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U104"/>
      <c r="Y104" s="126"/>
      <c r="Z104" s="70"/>
      <c r="AA104" s="226"/>
      <c r="AB104" s="251" t="s">
        <v>470</v>
      </c>
      <c r="AC104" s="193">
        <v>58000</v>
      </c>
      <c r="AD104" s="230">
        <v>42234</v>
      </c>
      <c r="AE104" s="82">
        <v>42233</v>
      </c>
    </row>
    <row r="105" spans="2:31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U105"/>
      <c r="Y105" s="126"/>
      <c r="Z105" s="70"/>
      <c r="AA105" s="226"/>
      <c r="AB105" s="192">
        <v>3214438</v>
      </c>
      <c r="AC105" s="193">
        <v>30000</v>
      </c>
      <c r="AD105" s="230">
        <v>42233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U106"/>
      <c r="Y106" s="126"/>
      <c r="Z106" s="70"/>
      <c r="AA106" s="244"/>
      <c r="AB106" s="192">
        <v>3214437</v>
      </c>
      <c r="AC106" s="193">
        <v>52000</v>
      </c>
      <c r="AD106" s="230">
        <v>42233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U107"/>
      <c r="Y107" s="126"/>
      <c r="Z107" s="70"/>
      <c r="AA107" s="226"/>
      <c r="AB107" s="192">
        <v>3214443</v>
      </c>
      <c r="AC107" s="193">
        <v>30000</v>
      </c>
      <c r="AD107" s="230">
        <v>42233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U108"/>
      <c r="Y108" s="126"/>
      <c r="Z108" s="70"/>
      <c r="AA108" s="226"/>
      <c r="AB108" s="192">
        <v>3214435</v>
      </c>
      <c r="AC108" s="193">
        <v>31001.5</v>
      </c>
      <c r="AD108" s="230">
        <v>42233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U109"/>
      <c r="Y109" s="126"/>
      <c r="Z109" s="70"/>
      <c r="AA109" s="226"/>
      <c r="AB109" s="192" t="s">
        <v>470</v>
      </c>
      <c r="AC109" s="193">
        <v>14390</v>
      </c>
      <c r="AD109" s="230">
        <v>42234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U110"/>
      <c r="Y110" s="126"/>
      <c r="Z110" s="70"/>
      <c r="AA110" s="226"/>
      <c r="AB110" s="192" t="s">
        <v>470</v>
      </c>
      <c r="AC110" s="193">
        <v>16655</v>
      </c>
      <c r="AD110" s="230">
        <v>42234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U111"/>
      <c r="Y111" s="126"/>
      <c r="Z111" s="70"/>
      <c r="AA111" s="226"/>
      <c r="AB111" s="192">
        <v>3214436</v>
      </c>
      <c r="AC111" s="193">
        <v>65000</v>
      </c>
      <c r="AD111" s="230">
        <v>42234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U112"/>
      <c r="Y112" s="126"/>
      <c r="Z112" s="70"/>
      <c r="AA112" s="226"/>
      <c r="AB112" s="192">
        <v>3214433</v>
      </c>
      <c r="AC112" s="193">
        <v>40000</v>
      </c>
      <c r="AD112" s="230">
        <v>42234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U113"/>
      <c r="Y113" s="126"/>
      <c r="Z113" s="70"/>
      <c r="AA113" s="226"/>
      <c r="AB113" s="192">
        <v>3214434</v>
      </c>
      <c r="AC113" s="193">
        <v>22650</v>
      </c>
      <c r="AD113" s="230">
        <v>42234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U114"/>
      <c r="Y114" s="126"/>
      <c r="Z114" s="70"/>
      <c r="AA114" s="226"/>
      <c r="AB114" s="251">
        <v>3214432</v>
      </c>
      <c r="AC114" s="193">
        <v>30000</v>
      </c>
      <c r="AD114" s="230">
        <v>42235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U115"/>
      <c r="Y115" s="126"/>
      <c r="Z115" s="70"/>
      <c r="AA115" s="226"/>
      <c r="AB115" s="192">
        <v>3214431</v>
      </c>
      <c r="AC115" s="193">
        <v>40000</v>
      </c>
      <c r="AD115" s="230">
        <v>42235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U116"/>
      <c r="Y116" s="126"/>
      <c r="Z116" s="70"/>
      <c r="AA116" s="226"/>
      <c r="AB116" s="192">
        <v>3214430</v>
      </c>
      <c r="AC116" s="193">
        <v>34690</v>
      </c>
      <c r="AD116" s="230">
        <v>42235</v>
      </c>
    </row>
    <row r="117" spans="2:3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U117"/>
      <c r="Y117" s="126"/>
      <c r="Z117" s="70"/>
      <c r="AA117" s="226"/>
      <c r="AB117" s="192">
        <v>3214427</v>
      </c>
      <c r="AC117" s="193">
        <v>38773</v>
      </c>
      <c r="AD117" s="230">
        <v>42236</v>
      </c>
    </row>
    <row r="118" spans="2:3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U118"/>
      <c r="Y118" s="126"/>
      <c r="Z118" s="70"/>
      <c r="AA118" s="226"/>
      <c r="AB118" s="192">
        <v>3214428</v>
      </c>
      <c r="AC118" s="193">
        <v>20000</v>
      </c>
      <c r="AD118" s="230">
        <v>42236</v>
      </c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  <c r="U119"/>
      <c r="Y119" s="126"/>
      <c r="Z119" s="70"/>
      <c r="AA119" s="226"/>
      <c r="AB119" s="192">
        <v>3214429</v>
      </c>
      <c r="AC119" s="193">
        <v>50000</v>
      </c>
      <c r="AD119" s="230">
        <v>42236</v>
      </c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  <c r="U120"/>
      <c r="Y120" s="126"/>
      <c r="Z120" s="70"/>
      <c r="AA120" s="226"/>
      <c r="AB120" s="251" t="s">
        <v>470</v>
      </c>
      <c r="AC120" s="193">
        <v>23832</v>
      </c>
      <c r="AD120" s="230">
        <v>42237</v>
      </c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  <c r="U121"/>
      <c r="Y121" s="126"/>
      <c r="Z121" s="70"/>
      <c r="AA121" s="226"/>
      <c r="AB121" s="251">
        <v>3245162</v>
      </c>
      <c r="AC121" s="193">
        <v>25000</v>
      </c>
      <c r="AD121" s="230">
        <v>42237</v>
      </c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  <c r="U122"/>
      <c r="Y122" s="126"/>
      <c r="Z122" s="70"/>
      <c r="AA122" s="244"/>
      <c r="AB122" s="251">
        <v>3214426</v>
      </c>
      <c r="AC122" s="193">
        <v>37000</v>
      </c>
      <c r="AD122" s="230">
        <v>42237</v>
      </c>
    </row>
    <row r="123" spans="2:30" ht="16.5" thickBot="1" x14ac:dyDescent="0.3">
      <c r="Y123" s="183"/>
      <c r="Z123" s="163"/>
      <c r="AA123" s="163"/>
      <c r="AB123" s="351">
        <v>3214425</v>
      </c>
      <c r="AC123" s="138">
        <v>29440</v>
      </c>
      <c r="AD123" s="232">
        <v>42237</v>
      </c>
    </row>
    <row r="124" spans="2:30" x14ac:dyDescent="0.25">
      <c r="Y124" s="197" t="s">
        <v>153</v>
      </c>
      <c r="Z124" s="200">
        <f>SUM(Z90:Z123)</f>
        <v>1095440</v>
      </c>
      <c r="AA124" s="271"/>
      <c r="AB124" s="199" t="s">
        <v>153</v>
      </c>
      <c r="AC124" s="200">
        <f>SUM(AC90:AC123)</f>
        <v>1095440</v>
      </c>
      <c r="AD124" s="229"/>
    </row>
  </sheetData>
  <sortState ref="P43:T57">
    <sortCondition ref="Q43:Q57"/>
  </sortState>
  <mergeCells count="13">
    <mergeCell ref="Y87:Y88"/>
    <mergeCell ref="Y56:Y57"/>
    <mergeCell ref="Y1:Y2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1.1023622047244095" right="0.31496062992125984" top="0.15748031496062992" bottom="0.15748031496062992" header="0.31496062992125984" footer="0.31496062992125984"/>
  <pageSetup scale="8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111"/>
  <sheetViews>
    <sheetView workbookViewId="0">
      <selection activeCell="L21" sqref="L2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4" max="14" width="12.7109375" bestFit="1" customWidth="1"/>
    <col min="16" max="16" width="8.140625" customWidth="1"/>
    <col min="17" max="17" width="10.7109375" style="4" customWidth="1"/>
    <col min="18" max="18" width="16.28515625" style="67" customWidth="1"/>
    <col min="19" max="19" width="12.42578125" customWidth="1"/>
    <col min="20" max="20" width="11.42578125" style="4"/>
    <col min="21" max="21" width="17.85546875" style="4" bestFit="1" customWidth="1"/>
    <col min="22" max="22" width="4.85546875" customWidth="1"/>
    <col min="23" max="23" width="11.42578125" style="4"/>
    <col min="24" max="24" width="14.140625" style="4" customWidth="1"/>
    <col min="25" max="25" width="11.42578125" style="4"/>
    <col min="26" max="26" width="14.140625" style="4" bestFit="1" customWidth="1"/>
    <col min="27" max="27" width="14.140625" style="67" bestFit="1" customWidth="1"/>
    <col min="28" max="29" width="14.140625" style="67" customWidth="1"/>
    <col min="31" max="31" width="11.42578125" style="79"/>
    <col min="32" max="32" width="14.140625" style="80" bestFit="1" customWidth="1"/>
    <col min="33" max="33" width="18.7109375" bestFit="1" customWidth="1"/>
    <col min="34" max="34" width="11.42578125" style="81"/>
    <col min="35" max="35" width="14.140625" style="315" bestFit="1" customWidth="1"/>
    <col min="36" max="36" width="14.140625" style="23" bestFit="1" customWidth="1"/>
    <col min="42" max="42" width="18.28515625" customWidth="1"/>
    <col min="44" max="44" width="13" customWidth="1"/>
    <col min="45" max="45" width="19.5703125" bestFit="1" customWidth="1"/>
    <col min="51" max="51" width="16.5703125" customWidth="1"/>
    <col min="54" max="54" width="20.140625" bestFit="1" customWidth="1"/>
  </cols>
  <sheetData>
    <row r="1" spans="1:56" ht="24" customHeight="1" thickBot="1" x14ac:dyDescent="0.4">
      <c r="C1" s="456" t="s">
        <v>515</v>
      </c>
      <c r="D1" s="456"/>
      <c r="E1" s="456"/>
      <c r="F1" s="456"/>
      <c r="G1" s="456"/>
      <c r="H1" s="456"/>
      <c r="I1" s="456"/>
      <c r="J1" s="456"/>
      <c r="R1" s="456" t="s">
        <v>515</v>
      </c>
      <c r="S1" s="456"/>
      <c r="T1" s="456"/>
      <c r="U1" s="456"/>
      <c r="V1" s="456"/>
      <c r="W1" s="456"/>
      <c r="X1" s="456"/>
      <c r="Y1" s="456"/>
      <c r="AO1" s="491">
        <v>1</v>
      </c>
      <c r="AP1" s="96" t="s">
        <v>124</v>
      </c>
      <c r="AQ1" s="96"/>
      <c r="AR1" s="97"/>
      <c r="AS1" s="372">
        <v>42250</v>
      </c>
      <c r="AT1" s="229"/>
    </row>
    <row r="2" spans="1:56" ht="19.5" customHeight="1" thickBot="1" x14ac:dyDescent="0.35">
      <c r="C2" s="174" t="s">
        <v>0</v>
      </c>
      <c r="E2" s="33"/>
      <c r="F2" s="33"/>
      <c r="R2" s="174" t="s">
        <v>0</v>
      </c>
      <c r="T2" s="33"/>
      <c r="U2" s="33"/>
      <c r="AG2" s="96" t="s">
        <v>310</v>
      </c>
      <c r="AO2" s="492"/>
      <c r="AP2" s="100"/>
      <c r="AQ2" s="100"/>
      <c r="AR2" s="101"/>
      <c r="AS2" s="102"/>
      <c r="AT2" s="229"/>
      <c r="AX2" s="491">
        <v>1</v>
      </c>
      <c r="AY2" s="96" t="s">
        <v>124</v>
      </c>
      <c r="AZ2" s="96"/>
      <c r="BA2" s="97"/>
      <c r="BB2" s="398">
        <v>42265</v>
      </c>
      <c r="BC2" s="229"/>
    </row>
    <row r="3" spans="1:56" ht="32.25" thickTop="1" thickBot="1" x14ac:dyDescent="0.35">
      <c r="A3" s="9" t="s">
        <v>2</v>
      </c>
      <c r="B3" s="42"/>
      <c r="C3" s="175">
        <v>215416.75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M3" s="87"/>
      <c r="P3" s="9" t="s">
        <v>2</v>
      </c>
      <c r="Q3" s="42"/>
      <c r="R3" s="175">
        <v>215416.75</v>
      </c>
      <c r="S3" s="2"/>
      <c r="T3" s="465" t="s">
        <v>13</v>
      </c>
      <c r="U3" s="466"/>
      <c r="X3" s="467" t="s">
        <v>4</v>
      </c>
      <c r="Y3" s="468"/>
      <c r="Z3" s="469"/>
      <c r="AA3" s="87" t="s">
        <v>112</v>
      </c>
      <c r="AB3" s="87"/>
      <c r="AC3" s="87"/>
      <c r="AE3"/>
      <c r="AF3" s="171" t="s">
        <v>126</v>
      </c>
      <c r="AG3" s="172" t="s">
        <v>127</v>
      </c>
      <c r="AH3" s="172" t="s">
        <v>155</v>
      </c>
      <c r="AI3" s="316" t="s">
        <v>127</v>
      </c>
      <c r="AJ3" s="173" t="s">
        <v>156</v>
      </c>
      <c r="AO3" s="104" t="s">
        <v>126</v>
      </c>
      <c r="AP3" s="100" t="s">
        <v>127</v>
      </c>
      <c r="AQ3" s="100"/>
      <c r="AR3" s="101" t="s">
        <v>128</v>
      </c>
      <c r="AS3" s="102" t="s">
        <v>129</v>
      </c>
      <c r="AT3" s="229"/>
      <c r="AX3" s="492"/>
      <c r="AY3" s="100"/>
      <c r="AZ3" s="100"/>
      <c r="BA3" s="101"/>
      <c r="BB3" s="102"/>
      <c r="BC3" s="229"/>
    </row>
    <row r="4" spans="1:56" ht="17.25" thickTop="1" thickBot="1" x14ac:dyDescent="0.3">
      <c r="B4" s="43">
        <v>42248</v>
      </c>
      <c r="C4" s="176">
        <v>804</v>
      </c>
      <c r="D4" s="83" t="s">
        <v>543</v>
      </c>
      <c r="E4" s="224">
        <v>42248</v>
      </c>
      <c r="F4" s="28">
        <v>69002.5</v>
      </c>
      <c r="G4" s="23"/>
      <c r="H4" s="46">
        <v>42248</v>
      </c>
      <c r="I4" s="29">
        <v>0</v>
      </c>
      <c r="J4" s="48"/>
      <c r="K4" s="49"/>
      <c r="L4" s="89">
        <v>82210</v>
      </c>
      <c r="M4" s="89"/>
      <c r="Q4" s="43">
        <v>42248</v>
      </c>
      <c r="R4" s="176">
        <v>804</v>
      </c>
      <c r="S4" s="83" t="s">
        <v>543</v>
      </c>
      <c r="T4" s="224">
        <v>42248</v>
      </c>
      <c r="U4" s="28">
        <v>69002.5</v>
      </c>
      <c r="V4" s="23"/>
      <c r="W4" s="46">
        <v>42248</v>
      </c>
      <c r="X4" s="29"/>
      <c r="Y4" s="48"/>
      <c r="Z4" s="49"/>
      <c r="AA4" s="89">
        <v>82210</v>
      </c>
      <c r="AB4" s="89"/>
      <c r="AC4" s="89"/>
      <c r="AE4" s="74">
        <v>42248</v>
      </c>
      <c r="AF4" s="371" t="s">
        <v>516</v>
      </c>
      <c r="AG4" s="70">
        <v>28977</v>
      </c>
      <c r="AH4" s="71">
        <v>42250</v>
      </c>
      <c r="AI4" s="70">
        <v>28977</v>
      </c>
      <c r="AJ4" s="170">
        <f t="shared" ref="AJ4:AJ67" si="0">AG4-AI4</f>
        <v>0</v>
      </c>
      <c r="AK4" s="73"/>
      <c r="AO4" s="369" t="s">
        <v>494</v>
      </c>
      <c r="AP4" s="106">
        <v>55512.84</v>
      </c>
      <c r="AQ4" s="106"/>
      <c r="AR4" s="186">
        <v>3245161</v>
      </c>
      <c r="AS4" s="187">
        <v>45000</v>
      </c>
      <c r="AT4" s="230">
        <v>42237</v>
      </c>
      <c r="AX4" s="302" t="s">
        <v>126</v>
      </c>
      <c r="AY4" s="302" t="s">
        <v>127</v>
      </c>
      <c r="AZ4" s="302"/>
      <c r="BA4" s="395" t="s">
        <v>128</v>
      </c>
      <c r="BB4" s="396" t="s">
        <v>129</v>
      </c>
      <c r="BC4" s="397"/>
    </row>
    <row r="5" spans="1:56" ht="16.5" thickTop="1" x14ac:dyDescent="0.25">
      <c r="B5" s="43">
        <v>42249</v>
      </c>
      <c r="C5" s="176">
        <v>4272</v>
      </c>
      <c r="D5" s="24" t="s">
        <v>544</v>
      </c>
      <c r="E5" s="225">
        <v>42249</v>
      </c>
      <c r="F5" s="28">
        <v>142830.19</v>
      </c>
      <c r="G5" s="20"/>
      <c r="H5" s="47">
        <v>42249</v>
      </c>
      <c r="I5" s="29">
        <v>60</v>
      </c>
      <c r="J5" s="50" t="s">
        <v>5</v>
      </c>
      <c r="K5" s="34">
        <v>649</v>
      </c>
      <c r="L5" s="89">
        <f>30000+32000+40000+7866+2562+2020+33757</f>
        <v>148205</v>
      </c>
      <c r="M5" s="89"/>
      <c r="Q5" s="43">
        <v>42249</v>
      </c>
      <c r="R5" s="176">
        <v>4272</v>
      </c>
      <c r="S5" s="24" t="s">
        <v>544</v>
      </c>
      <c r="T5" s="225">
        <v>42249</v>
      </c>
      <c r="U5" s="28">
        <v>142830.19</v>
      </c>
      <c r="V5" s="20"/>
      <c r="W5" s="47">
        <v>42249</v>
      </c>
      <c r="X5" s="29">
        <v>60</v>
      </c>
      <c r="Y5" s="50" t="s">
        <v>5</v>
      </c>
      <c r="Z5" s="34">
        <v>0</v>
      </c>
      <c r="AA5" s="89">
        <f>30000+32000+40000+7866+2562+2020+33757</f>
        <v>148205</v>
      </c>
      <c r="AB5" s="89"/>
      <c r="AC5" s="89"/>
      <c r="AE5" s="74">
        <v>42249</v>
      </c>
      <c r="AF5" s="126" t="s">
        <v>517</v>
      </c>
      <c r="AG5" s="70">
        <v>13896.3</v>
      </c>
      <c r="AH5" s="128" t="s">
        <v>531</v>
      </c>
      <c r="AI5" s="70">
        <f>2617.56+11278.74</f>
        <v>13896.3</v>
      </c>
      <c r="AJ5" s="72">
        <f t="shared" si="0"/>
        <v>0</v>
      </c>
      <c r="AK5" s="75"/>
      <c r="AO5" s="126" t="s">
        <v>504</v>
      </c>
      <c r="AP5" s="70">
        <v>38108</v>
      </c>
      <c r="AQ5" s="111"/>
      <c r="AR5" s="186">
        <v>3245160</v>
      </c>
      <c r="AS5" s="187">
        <v>35000</v>
      </c>
      <c r="AT5" s="230">
        <v>42238</v>
      </c>
      <c r="AX5" s="394" t="s">
        <v>551</v>
      </c>
      <c r="AY5" s="298">
        <v>185226.69</v>
      </c>
      <c r="AZ5" s="298"/>
      <c r="BA5" s="299" t="s">
        <v>470</v>
      </c>
      <c r="BB5" s="300">
        <v>11580</v>
      </c>
      <c r="BC5" s="301">
        <v>42254</v>
      </c>
      <c r="BD5" s="82">
        <v>42252</v>
      </c>
    </row>
    <row r="6" spans="1:56" x14ac:dyDescent="0.25">
      <c r="B6" s="43">
        <v>42250</v>
      </c>
      <c r="C6" s="176">
        <v>5760</v>
      </c>
      <c r="D6" s="24" t="s">
        <v>545</v>
      </c>
      <c r="E6" s="225">
        <v>42250</v>
      </c>
      <c r="F6" s="28">
        <v>124307.4</v>
      </c>
      <c r="G6" s="23"/>
      <c r="H6" s="47">
        <v>42250</v>
      </c>
      <c r="I6" s="29">
        <v>10</v>
      </c>
      <c r="J6" s="409" t="s">
        <v>590</v>
      </c>
      <c r="K6" s="34">
        <v>10000</v>
      </c>
      <c r="L6" s="89">
        <f>42000+30000+31000+23022</f>
        <v>126022</v>
      </c>
      <c r="M6" s="89"/>
      <c r="Q6" s="43">
        <v>42250</v>
      </c>
      <c r="R6" s="176">
        <v>5760</v>
      </c>
      <c r="S6" s="24" t="s">
        <v>545</v>
      </c>
      <c r="T6" s="225">
        <v>42250</v>
      </c>
      <c r="U6" s="28">
        <v>124307.4</v>
      </c>
      <c r="V6" s="23"/>
      <c r="W6" s="47">
        <v>42250</v>
      </c>
      <c r="X6" s="29">
        <v>10</v>
      </c>
      <c r="Y6" s="409" t="s">
        <v>230</v>
      </c>
      <c r="Z6" s="34">
        <v>0</v>
      </c>
      <c r="AA6" s="89">
        <f>42000+30000+31000+23022</f>
        <v>126022</v>
      </c>
      <c r="AB6" s="89"/>
      <c r="AC6" s="89"/>
      <c r="AE6" s="74">
        <v>42250</v>
      </c>
      <c r="AF6" s="126" t="s">
        <v>530</v>
      </c>
      <c r="AG6" s="70">
        <v>11761.2</v>
      </c>
      <c r="AH6" s="71" t="s">
        <v>555</v>
      </c>
      <c r="AI6" s="70">
        <f>11558.72+202.48</f>
        <v>11761.199999999999</v>
      </c>
      <c r="AJ6" s="72">
        <f t="shared" si="0"/>
        <v>0</v>
      </c>
      <c r="AK6" s="76"/>
      <c r="AO6" s="126" t="s">
        <v>505</v>
      </c>
      <c r="AP6" s="70">
        <v>14144</v>
      </c>
      <c r="AQ6" s="111"/>
      <c r="AR6" s="186">
        <v>3245158</v>
      </c>
      <c r="AS6" s="187">
        <v>30000</v>
      </c>
      <c r="AT6" s="230">
        <v>42238</v>
      </c>
      <c r="AX6" s="126" t="s">
        <v>552</v>
      </c>
      <c r="AY6" s="70">
        <v>29663.85</v>
      </c>
      <c r="AZ6" s="111"/>
      <c r="BA6" s="186">
        <v>3245115</v>
      </c>
      <c r="BB6" s="187">
        <v>50000</v>
      </c>
      <c r="BC6" s="230">
        <v>42252</v>
      </c>
    </row>
    <row r="7" spans="1:56" x14ac:dyDescent="0.25">
      <c r="B7" s="43">
        <v>42251</v>
      </c>
      <c r="C7" s="176">
        <v>11746</v>
      </c>
      <c r="D7" s="363" t="s">
        <v>59</v>
      </c>
      <c r="E7" s="225">
        <v>42251</v>
      </c>
      <c r="F7" s="28">
        <v>124131.7</v>
      </c>
      <c r="G7" s="23"/>
      <c r="H7" s="47">
        <v>42251</v>
      </c>
      <c r="I7" s="29">
        <v>0</v>
      </c>
      <c r="J7" s="50" t="s">
        <v>6</v>
      </c>
      <c r="K7" s="34">
        <v>28750</v>
      </c>
      <c r="L7" s="89">
        <f>902.5+14882+50000+55000+8035</f>
        <v>128819.5</v>
      </c>
      <c r="M7" s="89"/>
      <c r="Q7" s="43">
        <v>42251</v>
      </c>
      <c r="R7" s="176">
        <v>11746</v>
      </c>
      <c r="S7" s="363" t="s">
        <v>59</v>
      </c>
      <c r="T7" s="225">
        <v>42251</v>
      </c>
      <c r="U7" s="28">
        <v>124131.7</v>
      </c>
      <c r="V7" s="23"/>
      <c r="W7" s="47">
        <v>42251</v>
      </c>
      <c r="X7" s="29">
        <v>0</v>
      </c>
      <c r="Y7" s="50" t="s">
        <v>6</v>
      </c>
      <c r="Z7" s="34">
        <v>28750</v>
      </c>
      <c r="AA7" s="89">
        <f>902.5+14882+50000+55000+8035</f>
        <v>128819.5</v>
      </c>
      <c r="AB7" s="89"/>
      <c r="AC7" s="89"/>
      <c r="AE7" s="74">
        <v>42251</v>
      </c>
      <c r="AF7" s="126" t="s">
        <v>532</v>
      </c>
      <c r="AG7" s="70">
        <v>22393.8</v>
      </c>
      <c r="AH7" s="71">
        <v>42259</v>
      </c>
      <c r="AI7" s="70">
        <v>22393.8</v>
      </c>
      <c r="AJ7" s="77">
        <f t="shared" si="0"/>
        <v>0</v>
      </c>
      <c r="AK7" s="76"/>
      <c r="AO7" s="126" t="s">
        <v>506</v>
      </c>
      <c r="AP7" s="70">
        <v>25258</v>
      </c>
      <c r="AQ7" s="111"/>
      <c r="AR7" s="186">
        <v>3245159</v>
      </c>
      <c r="AS7" s="187">
        <v>21251.5</v>
      </c>
      <c r="AT7" s="230">
        <v>42238</v>
      </c>
      <c r="AX7" s="126" t="s">
        <v>556</v>
      </c>
      <c r="AY7" s="70">
        <v>1588.8</v>
      </c>
      <c r="AZ7" s="111"/>
      <c r="BA7" s="186">
        <v>3245114</v>
      </c>
      <c r="BB7" s="187">
        <v>41695</v>
      </c>
      <c r="BC7" s="230">
        <v>42252</v>
      </c>
    </row>
    <row r="8" spans="1:56" x14ac:dyDescent="0.25">
      <c r="B8" s="43">
        <v>42252</v>
      </c>
      <c r="C8" s="176">
        <v>0</v>
      </c>
      <c r="D8" s="363"/>
      <c r="E8" s="225">
        <v>42252</v>
      </c>
      <c r="F8" s="28">
        <v>229525.2</v>
      </c>
      <c r="G8" s="23"/>
      <c r="H8" s="47">
        <v>42252</v>
      </c>
      <c r="I8" s="29">
        <v>250</v>
      </c>
      <c r="J8" s="50" t="s">
        <v>547</v>
      </c>
      <c r="K8" s="28">
        <v>11569.89</v>
      </c>
      <c r="L8" s="89">
        <f>28000+28000+70000+50000+11580+41695</f>
        <v>229275</v>
      </c>
      <c r="M8" s="89"/>
      <c r="Q8" s="43">
        <v>42252</v>
      </c>
      <c r="R8" s="176">
        <v>0</v>
      </c>
      <c r="S8" s="363"/>
      <c r="T8" s="225">
        <v>42252</v>
      </c>
      <c r="U8" s="28">
        <v>229525.2</v>
      </c>
      <c r="V8" s="23"/>
      <c r="W8" s="47">
        <v>42252</v>
      </c>
      <c r="X8" s="29">
        <v>250</v>
      </c>
      <c r="Y8" s="50" t="s">
        <v>547</v>
      </c>
      <c r="Z8" s="28">
        <v>11569.89</v>
      </c>
      <c r="AA8" s="89">
        <f>28000+28000+70000+50000+11580+41695</f>
        <v>229275</v>
      </c>
      <c r="AB8" s="89"/>
      <c r="AC8" s="89"/>
      <c r="AE8" s="74">
        <v>42251</v>
      </c>
      <c r="AF8" s="126" t="s">
        <v>533</v>
      </c>
      <c r="AG8" s="70">
        <v>119372.82</v>
      </c>
      <c r="AH8" s="71">
        <v>42259</v>
      </c>
      <c r="AI8" s="70">
        <v>119372.82</v>
      </c>
      <c r="AJ8" s="72">
        <f t="shared" si="0"/>
        <v>0</v>
      </c>
      <c r="AK8" s="76"/>
      <c r="AM8" s="70"/>
      <c r="AO8" s="126" t="s">
        <v>507</v>
      </c>
      <c r="AP8" s="70">
        <v>16610</v>
      </c>
      <c r="AQ8" s="111"/>
      <c r="AR8" s="186">
        <v>3245156</v>
      </c>
      <c r="AS8" s="187">
        <v>50000</v>
      </c>
      <c r="AT8" s="230">
        <v>42239</v>
      </c>
      <c r="AX8" s="126" t="s">
        <v>553</v>
      </c>
      <c r="AY8" s="70">
        <v>23164.45</v>
      </c>
      <c r="AZ8" s="111"/>
      <c r="BA8" s="186">
        <v>3245116</v>
      </c>
      <c r="BB8" s="187">
        <v>70000</v>
      </c>
      <c r="BC8" s="230">
        <v>42252</v>
      </c>
    </row>
    <row r="9" spans="1:56" x14ac:dyDescent="0.25">
      <c r="B9" s="43">
        <v>42253</v>
      </c>
      <c r="C9" s="176">
        <v>0</v>
      </c>
      <c r="D9" s="363"/>
      <c r="E9" s="225">
        <v>42253</v>
      </c>
      <c r="F9" s="28">
        <v>110264</v>
      </c>
      <c r="G9" s="23"/>
      <c r="H9" s="47">
        <v>42253</v>
      </c>
      <c r="I9" s="29">
        <v>100</v>
      </c>
      <c r="J9" s="50" t="s">
        <v>548</v>
      </c>
      <c r="K9" s="28">
        <v>10592.4</v>
      </c>
      <c r="L9" s="89">
        <f>30000+40000+40164</f>
        <v>110164</v>
      </c>
      <c r="M9" s="89"/>
      <c r="Q9" s="43">
        <v>42253</v>
      </c>
      <c r="R9" s="176">
        <v>0</v>
      </c>
      <c r="S9" s="363"/>
      <c r="T9" s="225">
        <v>42253</v>
      </c>
      <c r="U9" s="28">
        <v>110264</v>
      </c>
      <c r="V9" s="23"/>
      <c r="W9" s="47">
        <v>42253</v>
      </c>
      <c r="X9" s="29">
        <v>100</v>
      </c>
      <c r="Y9" s="50" t="s">
        <v>548</v>
      </c>
      <c r="Z9" s="28">
        <v>10592.4</v>
      </c>
      <c r="AA9" s="89">
        <f>30000+40000+40164</f>
        <v>110164</v>
      </c>
      <c r="AB9" s="89"/>
      <c r="AC9" s="89"/>
      <c r="AE9" s="74">
        <v>42251</v>
      </c>
      <c r="AF9" s="126" t="s">
        <v>534</v>
      </c>
      <c r="AG9" s="70">
        <v>57050.5</v>
      </c>
      <c r="AH9" s="71">
        <v>42259</v>
      </c>
      <c r="AI9" s="70">
        <v>57050.5</v>
      </c>
      <c r="AJ9" s="77">
        <f t="shared" si="0"/>
        <v>0</v>
      </c>
      <c r="AK9" s="76"/>
      <c r="AM9" s="70"/>
      <c r="AO9" s="126" t="s">
        <v>508</v>
      </c>
      <c r="AP9" s="70">
        <v>70625.600000000006</v>
      </c>
      <c r="AQ9" s="190"/>
      <c r="AR9" s="186">
        <v>3245157</v>
      </c>
      <c r="AS9" s="187">
        <v>25783</v>
      </c>
      <c r="AT9" s="230">
        <v>42239</v>
      </c>
      <c r="AX9" s="126" t="s">
        <v>554</v>
      </c>
      <c r="AY9" s="70">
        <v>241205.25</v>
      </c>
      <c r="AZ9" s="111"/>
      <c r="BA9" s="186">
        <v>3245213</v>
      </c>
      <c r="BB9" s="187">
        <v>30000</v>
      </c>
      <c r="BC9" s="230">
        <v>42253</v>
      </c>
    </row>
    <row r="10" spans="1:56" x14ac:dyDescent="0.25">
      <c r="A10" s="21"/>
      <c r="B10" s="43">
        <v>42254</v>
      </c>
      <c r="C10" s="176">
        <v>27897.72</v>
      </c>
      <c r="D10" s="363" t="s">
        <v>546</v>
      </c>
      <c r="E10" s="225">
        <v>42254</v>
      </c>
      <c r="F10" s="28">
        <v>245584.8</v>
      </c>
      <c r="G10" s="23"/>
      <c r="H10" s="47">
        <v>42254</v>
      </c>
      <c r="I10" s="29">
        <v>0</v>
      </c>
      <c r="J10" s="50" t="s">
        <v>549</v>
      </c>
      <c r="K10" s="28">
        <v>12244.78</v>
      </c>
      <c r="L10" s="89">
        <f>84002+26011.5+10378+32295.5+65000</f>
        <v>217687</v>
      </c>
      <c r="M10" s="89"/>
      <c r="P10" s="21"/>
      <c r="Q10" s="43">
        <v>42254</v>
      </c>
      <c r="R10" s="176">
        <v>27897.72</v>
      </c>
      <c r="S10" s="363" t="s">
        <v>546</v>
      </c>
      <c r="T10" s="225">
        <v>42254</v>
      </c>
      <c r="U10" s="28">
        <v>245584.8</v>
      </c>
      <c r="V10" s="23"/>
      <c r="W10" s="47">
        <v>42254</v>
      </c>
      <c r="X10" s="29">
        <v>0</v>
      </c>
      <c r="Y10" s="50" t="s">
        <v>549</v>
      </c>
      <c r="Z10" s="28">
        <v>0</v>
      </c>
      <c r="AA10" s="89">
        <f>84002+26011.5+10378+32295.5+65000</f>
        <v>217687</v>
      </c>
      <c r="AB10" s="89"/>
      <c r="AC10" s="89"/>
      <c r="AE10" s="74">
        <v>42251</v>
      </c>
      <c r="AF10" s="126" t="s">
        <v>535</v>
      </c>
      <c r="AG10" s="70">
        <v>9051.9</v>
      </c>
      <c r="AH10" s="71">
        <v>42259</v>
      </c>
      <c r="AI10" s="70">
        <v>9051.9</v>
      </c>
      <c r="AJ10" s="77">
        <f t="shared" si="0"/>
        <v>0</v>
      </c>
      <c r="AK10" s="76"/>
      <c r="AM10" s="70"/>
      <c r="AO10" s="126" t="s">
        <v>509</v>
      </c>
      <c r="AP10" s="70">
        <v>29530.7</v>
      </c>
      <c r="AQ10" s="226"/>
      <c r="AR10" s="186" t="s">
        <v>470</v>
      </c>
      <c r="AS10" s="187">
        <v>6058</v>
      </c>
      <c r="AT10" s="230">
        <v>42238</v>
      </c>
      <c r="AU10" s="82">
        <v>42240</v>
      </c>
      <c r="AX10" s="126" t="s">
        <v>557</v>
      </c>
      <c r="AY10" s="70">
        <v>1797.12</v>
      </c>
      <c r="AZ10" s="190"/>
      <c r="BA10" s="186">
        <v>3245212</v>
      </c>
      <c r="BB10" s="187">
        <v>40000</v>
      </c>
      <c r="BC10" s="230">
        <v>42253</v>
      </c>
    </row>
    <row r="11" spans="1:56" x14ac:dyDescent="0.25">
      <c r="B11" s="43">
        <v>42255</v>
      </c>
      <c r="C11" s="176">
        <v>6308</v>
      </c>
      <c r="D11" s="363" t="s">
        <v>59</v>
      </c>
      <c r="E11" s="225">
        <v>42255</v>
      </c>
      <c r="F11" s="28">
        <v>84834</v>
      </c>
      <c r="G11" s="23"/>
      <c r="H11" s="47">
        <v>42255</v>
      </c>
      <c r="I11" s="29">
        <v>0</v>
      </c>
      <c r="J11" s="50" t="s">
        <v>550</v>
      </c>
      <c r="K11" s="28">
        <v>9153.76</v>
      </c>
      <c r="L11" s="89">
        <v>78526</v>
      </c>
      <c r="M11" s="89"/>
      <c r="Q11" s="43">
        <v>42255</v>
      </c>
      <c r="R11" s="176">
        <v>6308</v>
      </c>
      <c r="S11" s="363" t="s">
        <v>59</v>
      </c>
      <c r="T11" s="225">
        <v>42255</v>
      </c>
      <c r="U11" s="28">
        <v>84834</v>
      </c>
      <c r="V11" s="23"/>
      <c r="W11" s="47">
        <v>42255</v>
      </c>
      <c r="X11" s="29">
        <v>0</v>
      </c>
      <c r="Y11" s="50" t="s">
        <v>550</v>
      </c>
      <c r="Z11" s="28">
        <v>0</v>
      </c>
      <c r="AA11" s="89">
        <v>78526</v>
      </c>
      <c r="AB11" s="89"/>
      <c r="AC11" s="89"/>
      <c r="AE11" s="74">
        <v>42252</v>
      </c>
      <c r="AF11" s="126" t="s">
        <v>536</v>
      </c>
      <c r="AG11" s="70">
        <v>21477</v>
      </c>
      <c r="AH11" s="71">
        <v>42259</v>
      </c>
      <c r="AI11" s="70">
        <v>21477</v>
      </c>
      <c r="AJ11" s="77">
        <f t="shared" si="0"/>
        <v>0</v>
      </c>
      <c r="AK11" s="76"/>
      <c r="AM11" s="70"/>
      <c r="AO11" s="126" t="s">
        <v>510</v>
      </c>
      <c r="AP11" s="70">
        <v>120834.5</v>
      </c>
      <c r="AQ11" s="111"/>
      <c r="AR11" s="192">
        <v>3245155</v>
      </c>
      <c r="AS11" s="193">
        <v>68000</v>
      </c>
      <c r="AT11" s="230">
        <v>42240</v>
      </c>
      <c r="AX11" s="126" t="s">
        <v>558</v>
      </c>
      <c r="AY11" s="70">
        <v>28819.37</v>
      </c>
      <c r="AZ11" s="226"/>
      <c r="BA11" s="186">
        <v>3245211</v>
      </c>
      <c r="BB11" s="187">
        <v>40164</v>
      </c>
      <c r="BC11" s="230">
        <v>42253</v>
      </c>
    </row>
    <row r="12" spans="1:56" ht="15" x14ac:dyDescent="0.25">
      <c r="A12" s="13"/>
      <c r="B12" s="43">
        <v>42256</v>
      </c>
      <c r="C12" s="176">
        <v>2348</v>
      </c>
      <c r="D12" s="24" t="s">
        <v>563</v>
      </c>
      <c r="E12" s="225">
        <v>42256</v>
      </c>
      <c r="F12" s="28">
        <v>145499</v>
      </c>
      <c r="G12" s="23"/>
      <c r="H12" s="47">
        <v>42256</v>
      </c>
      <c r="I12" s="29">
        <v>250</v>
      </c>
      <c r="J12" s="50" t="s">
        <v>283</v>
      </c>
      <c r="K12" s="28">
        <v>0</v>
      </c>
      <c r="L12" s="89">
        <f>66000+40000+36901</f>
        <v>142901</v>
      </c>
      <c r="M12" s="89"/>
      <c r="P12" s="13"/>
      <c r="Q12" s="43">
        <v>42256</v>
      </c>
      <c r="R12" s="176">
        <v>2348</v>
      </c>
      <c r="S12" s="24" t="s">
        <v>563</v>
      </c>
      <c r="T12" s="225">
        <v>42256</v>
      </c>
      <c r="U12" s="28">
        <v>145499</v>
      </c>
      <c r="V12" s="23"/>
      <c r="W12" s="47">
        <v>42256</v>
      </c>
      <c r="X12" s="29">
        <v>250</v>
      </c>
      <c r="Y12" s="50" t="s">
        <v>283</v>
      </c>
      <c r="Z12" s="28">
        <v>0</v>
      </c>
      <c r="AA12" s="89">
        <f>66000+40000+36901</f>
        <v>142901</v>
      </c>
      <c r="AB12" s="89"/>
      <c r="AC12" s="89"/>
      <c r="AE12" s="74">
        <v>42252</v>
      </c>
      <c r="AF12" s="126" t="s">
        <v>537</v>
      </c>
      <c r="AG12" s="70">
        <v>296559.25</v>
      </c>
      <c r="AH12" s="71">
        <v>42259</v>
      </c>
      <c r="AI12" s="70">
        <v>296559.25</v>
      </c>
      <c r="AJ12" s="77">
        <f t="shared" si="0"/>
        <v>0</v>
      </c>
      <c r="AK12" s="76"/>
      <c r="AM12" s="70"/>
      <c r="AO12" s="126" t="s">
        <v>511</v>
      </c>
      <c r="AP12" s="70">
        <v>10081.5</v>
      </c>
      <c r="AQ12" s="111"/>
      <c r="AR12" s="192">
        <v>3245154</v>
      </c>
      <c r="AS12" s="193">
        <v>54000</v>
      </c>
      <c r="AT12" s="230">
        <v>42240</v>
      </c>
      <c r="AX12" s="126" t="s">
        <v>559</v>
      </c>
      <c r="AY12" s="70">
        <v>90852.44</v>
      </c>
      <c r="AZ12" s="111"/>
      <c r="BA12" s="192">
        <v>3245210</v>
      </c>
      <c r="BB12" s="193">
        <v>32295.5</v>
      </c>
      <c r="BC12" s="230">
        <v>42254</v>
      </c>
    </row>
    <row r="13" spans="1:56" ht="15" x14ac:dyDescent="0.25">
      <c r="A13" s="13"/>
      <c r="B13" s="43">
        <v>42257</v>
      </c>
      <c r="C13" s="176">
        <v>1872</v>
      </c>
      <c r="D13" s="291" t="s">
        <v>564</v>
      </c>
      <c r="E13" s="225">
        <v>42257</v>
      </c>
      <c r="F13" s="28">
        <v>130398</v>
      </c>
      <c r="G13" s="23"/>
      <c r="H13" s="47">
        <v>42257</v>
      </c>
      <c r="I13" s="29">
        <v>0</v>
      </c>
      <c r="J13" s="51" t="s">
        <v>292</v>
      </c>
      <c r="K13" s="28">
        <v>800</v>
      </c>
      <c r="L13" s="89">
        <f>14028+43000+50000+21498</f>
        <v>128526</v>
      </c>
      <c r="M13" s="89"/>
      <c r="P13" s="13"/>
      <c r="Q13" s="43">
        <v>42257</v>
      </c>
      <c r="R13" s="176">
        <v>1872</v>
      </c>
      <c r="S13" s="291" t="s">
        <v>564</v>
      </c>
      <c r="T13" s="225">
        <v>42257</v>
      </c>
      <c r="U13" s="28">
        <v>130398</v>
      </c>
      <c r="V13" s="23"/>
      <c r="W13" s="47">
        <v>42257</v>
      </c>
      <c r="X13" s="29">
        <v>0</v>
      </c>
      <c r="Y13" s="51" t="s">
        <v>292</v>
      </c>
      <c r="Z13" s="28">
        <v>800</v>
      </c>
      <c r="AA13" s="89">
        <f>14028+43000+50000+21498</f>
        <v>128526</v>
      </c>
      <c r="AB13" s="89"/>
      <c r="AC13" s="89"/>
      <c r="AE13" s="74">
        <v>42254</v>
      </c>
      <c r="AF13" s="126" t="s">
        <v>538</v>
      </c>
      <c r="AG13" s="70">
        <v>20518.400000000001</v>
      </c>
      <c r="AH13" s="71">
        <v>42259</v>
      </c>
      <c r="AI13" s="70">
        <v>20518.400000000001</v>
      </c>
      <c r="AJ13" s="77">
        <f t="shared" si="0"/>
        <v>0</v>
      </c>
      <c r="AK13" s="73"/>
      <c r="AM13" s="70"/>
      <c r="AO13" s="126" t="s">
        <v>512</v>
      </c>
      <c r="AP13" s="70">
        <v>59670.2</v>
      </c>
      <c r="AQ13" s="111"/>
      <c r="AR13" s="192">
        <v>3245150</v>
      </c>
      <c r="AS13" s="193">
        <v>50000</v>
      </c>
      <c r="AT13" s="230">
        <v>42240</v>
      </c>
      <c r="AX13" s="126" t="s">
        <v>560</v>
      </c>
      <c r="AY13" s="70">
        <v>14504</v>
      </c>
      <c r="AZ13" s="111"/>
      <c r="BA13" s="192">
        <v>3245209</v>
      </c>
      <c r="BB13" s="193">
        <v>78526</v>
      </c>
      <c r="BC13" s="230">
        <v>42255</v>
      </c>
    </row>
    <row r="14" spans="1:56" ht="15" x14ac:dyDescent="0.25">
      <c r="B14" s="43">
        <v>42258</v>
      </c>
      <c r="C14" s="176">
        <v>948.98</v>
      </c>
      <c r="D14" s="24" t="s">
        <v>114</v>
      </c>
      <c r="E14" s="225">
        <v>42258</v>
      </c>
      <c r="F14" s="28">
        <v>147321.5</v>
      </c>
      <c r="G14" s="23"/>
      <c r="H14" s="47">
        <v>42258</v>
      </c>
      <c r="I14" s="29">
        <v>0</v>
      </c>
      <c r="J14" s="335">
        <v>42258</v>
      </c>
      <c r="K14" s="28">
        <v>0</v>
      </c>
      <c r="L14" s="89">
        <f>880+63000+40000+41693</f>
        <v>145573</v>
      </c>
      <c r="M14" s="89"/>
      <c r="Q14" s="43">
        <v>42258</v>
      </c>
      <c r="R14" s="176">
        <v>948.98</v>
      </c>
      <c r="S14" s="24" t="s">
        <v>114</v>
      </c>
      <c r="T14" s="225">
        <v>42258</v>
      </c>
      <c r="U14" s="28">
        <v>147321.5</v>
      </c>
      <c r="V14" s="23"/>
      <c r="W14" s="47">
        <v>42258</v>
      </c>
      <c r="X14" s="29">
        <v>0</v>
      </c>
      <c r="Y14" s="335">
        <v>42258</v>
      </c>
      <c r="Z14" s="28">
        <v>0</v>
      </c>
      <c r="AA14" s="89">
        <f>880+63000+40000+41693</f>
        <v>145573</v>
      </c>
      <c r="AB14" s="89"/>
      <c r="AC14" s="89"/>
      <c r="AE14" s="74">
        <v>42254</v>
      </c>
      <c r="AF14" s="126" t="s">
        <v>539</v>
      </c>
      <c r="AG14" s="70">
        <v>191210.75</v>
      </c>
      <c r="AH14" s="71">
        <v>42259</v>
      </c>
      <c r="AI14" s="70">
        <v>191210.75</v>
      </c>
      <c r="AJ14" s="77">
        <f t="shared" si="0"/>
        <v>0</v>
      </c>
      <c r="AK14" s="73"/>
      <c r="AM14" s="70"/>
      <c r="AO14" s="126" t="s">
        <v>513</v>
      </c>
      <c r="AP14" s="70">
        <v>4609.6000000000004</v>
      </c>
      <c r="AQ14" s="111"/>
      <c r="AR14" s="192">
        <v>3245152</v>
      </c>
      <c r="AS14" s="193">
        <v>50000</v>
      </c>
      <c r="AT14" s="230">
        <v>42240</v>
      </c>
      <c r="AX14" s="126" t="s">
        <v>561</v>
      </c>
      <c r="AY14" s="70">
        <v>20169.8</v>
      </c>
      <c r="AZ14" s="111"/>
      <c r="BA14" s="192">
        <v>3245208</v>
      </c>
      <c r="BB14" s="193">
        <v>66000</v>
      </c>
      <c r="BC14" s="230">
        <v>42256</v>
      </c>
    </row>
    <row r="15" spans="1:56" ht="15" x14ac:dyDescent="0.25">
      <c r="A15" s="13"/>
      <c r="B15" s="43">
        <v>42259</v>
      </c>
      <c r="C15" s="176">
        <v>12408.4</v>
      </c>
      <c r="D15" s="24" t="s">
        <v>565</v>
      </c>
      <c r="E15" s="225">
        <v>42259</v>
      </c>
      <c r="F15" s="28">
        <v>109152.9</v>
      </c>
      <c r="G15" s="23"/>
      <c r="H15" s="47">
        <v>42259</v>
      </c>
      <c r="I15" s="29">
        <v>160</v>
      </c>
      <c r="J15" s="57"/>
      <c r="K15" s="28">
        <v>0</v>
      </c>
      <c r="L15" s="89">
        <f>50000+32721.5+13863</f>
        <v>96584.5</v>
      </c>
      <c r="M15" s="89"/>
      <c r="P15" s="13"/>
      <c r="Q15" s="43">
        <v>42259</v>
      </c>
      <c r="R15" s="176">
        <v>12408.4</v>
      </c>
      <c r="S15" s="24" t="s">
        <v>565</v>
      </c>
      <c r="T15" s="225">
        <v>42259</v>
      </c>
      <c r="U15" s="28">
        <v>109152.9</v>
      </c>
      <c r="V15" s="23"/>
      <c r="W15" s="47">
        <v>42259</v>
      </c>
      <c r="X15" s="29">
        <v>160</v>
      </c>
      <c r="Y15" s="57"/>
      <c r="Z15" s="28">
        <v>0</v>
      </c>
      <c r="AA15" s="89">
        <f>50000+32721.5+13863</f>
        <v>96584.5</v>
      </c>
      <c r="AB15" s="89"/>
      <c r="AE15" s="74">
        <v>42255</v>
      </c>
      <c r="AF15" s="126" t="s">
        <v>540</v>
      </c>
      <c r="AG15" s="70">
        <v>4060.2</v>
      </c>
      <c r="AH15" s="71">
        <v>42259</v>
      </c>
      <c r="AI15" s="70">
        <v>4060.2</v>
      </c>
      <c r="AJ15" s="77">
        <f t="shared" si="0"/>
        <v>0</v>
      </c>
      <c r="AK15" s="73"/>
      <c r="AM15" s="70"/>
      <c r="AO15" s="126" t="s">
        <v>514</v>
      </c>
      <c r="AP15" s="70">
        <v>29480</v>
      </c>
      <c r="AQ15" s="226"/>
      <c r="AR15" s="192">
        <v>3245153</v>
      </c>
      <c r="AS15" s="193">
        <v>30967</v>
      </c>
      <c r="AT15" s="230">
        <v>42240</v>
      </c>
      <c r="AX15" s="126" t="s">
        <v>562</v>
      </c>
      <c r="AY15" s="70">
        <v>16901.3</v>
      </c>
      <c r="AZ15" s="111"/>
      <c r="BA15" s="192">
        <v>3245207</v>
      </c>
      <c r="BB15" s="193">
        <v>40000</v>
      </c>
      <c r="BC15" s="230">
        <v>42256</v>
      </c>
    </row>
    <row r="16" spans="1:56" ht="15" x14ac:dyDescent="0.25">
      <c r="A16" s="13"/>
      <c r="B16" s="43">
        <v>42260</v>
      </c>
      <c r="C16" s="176">
        <v>7962.4</v>
      </c>
      <c r="D16" s="24" t="s">
        <v>114</v>
      </c>
      <c r="E16" s="225">
        <v>42260</v>
      </c>
      <c r="F16" s="28">
        <v>119296</v>
      </c>
      <c r="G16" s="23"/>
      <c r="H16" s="47">
        <v>42260</v>
      </c>
      <c r="I16" s="29">
        <v>100</v>
      </c>
      <c r="J16" s="50"/>
      <c r="K16" s="28">
        <v>0</v>
      </c>
      <c r="L16" s="89">
        <f>54000+25000+32233.5</f>
        <v>111233.5</v>
      </c>
      <c r="M16" s="89"/>
      <c r="P16" s="13"/>
      <c r="Q16" s="43">
        <v>42260</v>
      </c>
      <c r="R16" s="176">
        <v>7962.4</v>
      </c>
      <c r="S16" s="24" t="s">
        <v>114</v>
      </c>
      <c r="T16" s="225">
        <v>42260</v>
      </c>
      <c r="U16" s="28">
        <v>119296</v>
      </c>
      <c r="V16" s="23"/>
      <c r="W16" s="47">
        <v>42260</v>
      </c>
      <c r="X16" s="29">
        <v>100</v>
      </c>
      <c r="Y16" s="50"/>
      <c r="Z16" s="28">
        <v>0</v>
      </c>
      <c r="AA16" s="89">
        <f>54000+25000+32233.5</f>
        <v>111233.5</v>
      </c>
      <c r="AB16" s="89"/>
      <c r="AE16" s="74">
        <v>42255</v>
      </c>
      <c r="AF16" s="126" t="s">
        <v>541</v>
      </c>
      <c r="AG16" s="70">
        <v>176936</v>
      </c>
      <c r="AH16" s="71">
        <v>42259</v>
      </c>
      <c r="AI16" s="70">
        <v>176936</v>
      </c>
      <c r="AJ16" s="77">
        <f t="shared" si="0"/>
        <v>0</v>
      </c>
      <c r="AM16" s="70"/>
      <c r="AO16" s="371" t="s">
        <v>516</v>
      </c>
      <c r="AP16" s="70">
        <v>28977</v>
      </c>
      <c r="AQ16" s="226"/>
      <c r="AR16" s="192">
        <v>3245151</v>
      </c>
      <c r="AS16" s="193">
        <v>40000</v>
      </c>
      <c r="AT16" s="230">
        <v>42241</v>
      </c>
      <c r="AX16" s="126" t="s">
        <v>567</v>
      </c>
      <c r="AY16" s="70">
        <v>157367.43</v>
      </c>
      <c r="AZ16" s="244" t="s">
        <v>137</v>
      </c>
      <c r="BA16" s="192">
        <v>3245205</v>
      </c>
      <c r="BB16" s="193">
        <v>36901</v>
      </c>
      <c r="BC16" s="230">
        <v>42256</v>
      </c>
    </row>
    <row r="17" spans="1:56" ht="15" x14ac:dyDescent="0.25">
      <c r="A17" s="13"/>
      <c r="B17" s="43">
        <v>42261</v>
      </c>
      <c r="C17" s="176">
        <v>12153</v>
      </c>
      <c r="D17" s="24" t="s">
        <v>59</v>
      </c>
      <c r="E17" s="225">
        <v>42261</v>
      </c>
      <c r="F17" s="28">
        <v>210835.7</v>
      </c>
      <c r="G17" s="23"/>
      <c r="H17" s="47">
        <v>42261</v>
      </c>
      <c r="I17" s="29">
        <v>0</v>
      </c>
      <c r="J17" s="50"/>
      <c r="K17" s="28">
        <v>0</v>
      </c>
      <c r="L17" s="89">
        <f>25000+57000+30000+35450+15960+29160+5913+200</f>
        <v>198683</v>
      </c>
      <c r="M17" s="89"/>
      <c r="P17" s="13"/>
      <c r="Q17" s="43">
        <v>42261</v>
      </c>
      <c r="R17" s="176">
        <v>12153</v>
      </c>
      <c r="S17" s="24" t="s">
        <v>59</v>
      </c>
      <c r="T17" s="225">
        <v>42261</v>
      </c>
      <c r="U17" s="28">
        <v>210835.7</v>
      </c>
      <c r="V17" s="23"/>
      <c r="W17" s="47">
        <v>42261</v>
      </c>
      <c r="X17" s="29">
        <v>0</v>
      </c>
      <c r="Y17" s="50"/>
      <c r="Z17" s="28">
        <v>0</v>
      </c>
      <c r="AA17" s="89">
        <f>25000+57000+30000+35450+15960+29160+5913+200</f>
        <v>198683</v>
      </c>
      <c r="AB17" s="89"/>
      <c r="AE17" s="74">
        <v>42256</v>
      </c>
      <c r="AF17" s="126" t="s">
        <v>542</v>
      </c>
      <c r="AG17" s="70">
        <v>12863.4</v>
      </c>
      <c r="AH17" s="71">
        <v>42259</v>
      </c>
      <c r="AI17" s="70">
        <v>12863.4</v>
      </c>
      <c r="AJ17" s="77">
        <f t="shared" si="0"/>
        <v>0</v>
      </c>
      <c r="AM17" s="70"/>
      <c r="AO17" s="126" t="s">
        <v>517</v>
      </c>
      <c r="AP17" s="70">
        <v>2617.56</v>
      </c>
      <c r="AQ17" s="244" t="s">
        <v>137</v>
      </c>
      <c r="AR17" s="192"/>
      <c r="AS17" s="193">
        <v>0</v>
      </c>
      <c r="AT17" s="230"/>
      <c r="AX17" s="126"/>
      <c r="AY17" s="70"/>
      <c r="AZ17" s="226"/>
      <c r="BA17" s="192">
        <v>3245204</v>
      </c>
      <c r="BB17" s="193">
        <v>21498</v>
      </c>
      <c r="BC17" s="230">
        <v>42257</v>
      </c>
    </row>
    <row r="18" spans="1:56" thickBot="1" x14ac:dyDescent="0.3">
      <c r="B18" s="43">
        <v>42262</v>
      </c>
      <c r="C18" s="176">
        <v>22176.5</v>
      </c>
      <c r="D18" s="24" t="s">
        <v>566</v>
      </c>
      <c r="E18" s="225">
        <v>42262</v>
      </c>
      <c r="F18" s="28">
        <v>137112.9</v>
      </c>
      <c r="G18" s="23"/>
      <c r="H18" s="47">
        <v>42262</v>
      </c>
      <c r="I18" s="29">
        <v>0</v>
      </c>
      <c r="J18" s="51"/>
      <c r="K18" s="34">
        <v>0</v>
      </c>
      <c r="L18" s="89">
        <f>50000+50000+14936</f>
        <v>114936</v>
      </c>
      <c r="M18" s="89"/>
      <c r="Q18" s="43">
        <v>42262</v>
      </c>
      <c r="R18" s="176">
        <v>22176.5</v>
      </c>
      <c r="S18" s="24" t="s">
        <v>566</v>
      </c>
      <c r="T18" s="225">
        <v>42262</v>
      </c>
      <c r="U18" s="28">
        <v>137112.9</v>
      </c>
      <c r="V18" s="23"/>
      <c r="W18" s="47">
        <v>42262</v>
      </c>
      <c r="X18" s="29">
        <v>0</v>
      </c>
      <c r="Y18" s="51"/>
      <c r="Z18" s="34">
        <v>0</v>
      </c>
      <c r="AA18" s="89">
        <f>50000+50000+14936</f>
        <v>114936</v>
      </c>
      <c r="AB18" s="362">
        <v>14936</v>
      </c>
      <c r="AC18" s="89"/>
      <c r="AE18" s="74">
        <v>42226</v>
      </c>
      <c r="AF18" s="126" t="s">
        <v>551</v>
      </c>
      <c r="AG18" s="70">
        <v>241133.73</v>
      </c>
      <c r="AH18" s="128" t="s">
        <v>568</v>
      </c>
      <c r="AI18" s="70">
        <f>55907.04+185226.69</f>
        <v>241133.73</v>
      </c>
      <c r="AJ18" s="77">
        <f t="shared" si="0"/>
        <v>0</v>
      </c>
      <c r="AM18" s="70"/>
      <c r="AO18" s="373"/>
      <c r="AP18" s="374">
        <v>0</v>
      </c>
      <c r="AQ18" s="375"/>
      <c r="AR18" s="376"/>
      <c r="AS18" s="377">
        <v>0</v>
      </c>
      <c r="AT18" s="378"/>
      <c r="AU18" s="82"/>
      <c r="AX18" s="126"/>
      <c r="AY18" s="70"/>
      <c r="AZ18" s="244"/>
      <c r="BA18" s="192">
        <v>3245206</v>
      </c>
      <c r="BB18" s="193">
        <v>43000</v>
      </c>
      <c r="BC18" s="230">
        <v>42257</v>
      </c>
    </row>
    <row r="19" spans="1:56" ht="16.5" thickTop="1" x14ac:dyDescent="0.25">
      <c r="A19" s="13"/>
      <c r="B19" s="43">
        <v>42263</v>
      </c>
      <c r="C19" s="176">
        <v>0</v>
      </c>
      <c r="D19" s="24"/>
      <c r="E19" s="225">
        <v>42263</v>
      </c>
      <c r="F19" s="28">
        <v>108588</v>
      </c>
      <c r="G19" s="23"/>
      <c r="H19" s="47">
        <v>42263</v>
      </c>
      <c r="I19" s="29">
        <v>0</v>
      </c>
      <c r="J19" s="334"/>
      <c r="K19" s="28">
        <v>0</v>
      </c>
      <c r="L19" s="89">
        <f>25000+45000+38588</f>
        <v>108588</v>
      </c>
      <c r="M19" s="89"/>
      <c r="P19" s="13"/>
      <c r="Q19" s="43">
        <v>42263</v>
      </c>
      <c r="R19" s="176"/>
      <c r="S19" s="24"/>
      <c r="T19" s="225">
        <v>42263</v>
      </c>
      <c r="U19" s="28"/>
      <c r="V19" s="23"/>
      <c r="W19" s="47">
        <v>42263</v>
      </c>
      <c r="X19" s="29">
        <v>0</v>
      </c>
      <c r="Y19" s="334"/>
      <c r="Z19" s="28">
        <v>0</v>
      </c>
      <c r="AA19" s="89"/>
      <c r="AB19" s="89"/>
      <c r="AC19" s="89"/>
      <c r="AE19" s="74">
        <v>42258</v>
      </c>
      <c r="AF19" s="126" t="s">
        <v>552</v>
      </c>
      <c r="AG19" s="70">
        <v>29663.85</v>
      </c>
      <c r="AH19" s="71">
        <v>42265</v>
      </c>
      <c r="AI19" s="70">
        <v>29663.85</v>
      </c>
      <c r="AJ19" s="77">
        <f t="shared" si="0"/>
        <v>0</v>
      </c>
      <c r="AM19" s="70"/>
      <c r="AO19" s="350"/>
      <c r="AP19" s="85">
        <f>SUM(AP4:AP18)</f>
        <v>506059.5</v>
      </c>
      <c r="AQ19" s="145"/>
      <c r="AR19" s="204"/>
      <c r="AS19" s="379">
        <f>SUM(AS4:AS18)</f>
        <v>506059.5</v>
      </c>
      <c r="AT19" s="233"/>
      <c r="AU19" s="8"/>
      <c r="AX19" s="121"/>
      <c r="AY19" s="121"/>
      <c r="AZ19" s="121"/>
      <c r="BA19" s="117">
        <v>3245203</v>
      </c>
      <c r="BB19" s="118">
        <v>50000</v>
      </c>
      <c r="BC19" s="120">
        <v>42257</v>
      </c>
    </row>
    <row r="20" spans="1:56" ht="15" x14ac:dyDescent="0.25">
      <c r="B20" s="43">
        <v>42264</v>
      </c>
      <c r="C20" s="176">
        <v>35351.699999999997</v>
      </c>
      <c r="D20" s="24" t="s">
        <v>59</v>
      </c>
      <c r="E20" s="225">
        <v>42264</v>
      </c>
      <c r="F20" s="28">
        <v>258597.1</v>
      </c>
      <c r="G20" s="23"/>
      <c r="H20" s="47">
        <v>42264</v>
      </c>
      <c r="I20" s="29">
        <v>0</v>
      </c>
      <c r="J20" s="334"/>
      <c r="K20" s="28">
        <v>0</v>
      </c>
      <c r="L20" s="89">
        <f>33402+45000+60000+50000+34843.5</f>
        <v>223245.5</v>
      </c>
      <c r="M20" s="89"/>
      <c r="Q20" s="43">
        <v>42264</v>
      </c>
      <c r="R20" s="176"/>
      <c r="S20" s="24"/>
      <c r="T20" s="225">
        <v>42264</v>
      </c>
      <c r="U20" s="28"/>
      <c r="V20" s="23"/>
      <c r="W20" s="47">
        <v>42264</v>
      </c>
      <c r="X20" s="29">
        <v>0</v>
      </c>
      <c r="Y20" s="334"/>
      <c r="Z20" s="28">
        <v>0</v>
      </c>
      <c r="AA20" s="89"/>
      <c r="AB20" s="89"/>
      <c r="AC20" s="70">
        <v>13896.3</v>
      </c>
      <c r="AE20" s="74">
        <v>42258</v>
      </c>
      <c r="AF20" s="126" t="s">
        <v>556</v>
      </c>
      <c r="AG20" s="70">
        <v>1588.8</v>
      </c>
      <c r="AH20" s="71">
        <v>42265</v>
      </c>
      <c r="AI20" s="70">
        <v>1588.8</v>
      </c>
      <c r="AJ20" s="77">
        <f t="shared" si="0"/>
        <v>0</v>
      </c>
      <c r="AM20" s="70"/>
      <c r="AO20" s="350"/>
      <c r="AP20" s="85"/>
      <c r="AQ20" s="263"/>
      <c r="AR20" s="204"/>
      <c r="AS20" s="205"/>
      <c r="AT20" s="233"/>
      <c r="AU20" s="8"/>
      <c r="AX20" s="121"/>
      <c r="AY20" s="121"/>
      <c r="AZ20" s="121"/>
      <c r="BA20" s="117" t="s">
        <v>470</v>
      </c>
      <c r="BB20" s="118">
        <v>14028</v>
      </c>
      <c r="BC20" s="120">
        <v>42257</v>
      </c>
    </row>
    <row r="21" spans="1:56" ht="15" x14ac:dyDescent="0.25">
      <c r="B21" s="43">
        <v>42265</v>
      </c>
      <c r="C21" s="176">
        <v>2985</v>
      </c>
      <c r="D21" s="59" t="s">
        <v>59</v>
      </c>
      <c r="E21" s="225">
        <v>42265</v>
      </c>
      <c r="F21" s="28">
        <v>94016.3</v>
      </c>
      <c r="G21" s="23"/>
      <c r="H21" s="47">
        <v>42265</v>
      </c>
      <c r="I21" s="29">
        <v>0</v>
      </c>
      <c r="J21" s="50"/>
      <c r="K21" s="34">
        <v>0</v>
      </c>
      <c r="L21" s="89">
        <f>58200+32800+31.5</f>
        <v>91031.5</v>
      </c>
      <c r="M21" s="89"/>
      <c r="Q21" s="43">
        <v>42265</v>
      </c>
      <c r="R21" s="176"/>
      <c r="S21" s="59"/>
      <c r="T21" s="225">
        <v>42265</v>
      </c>
      <c r="U21" s="28"/>
      <c r="V21" s="23"/>
      <c r="W21" s="47">
        <v>42265</v>
      </c>
      <c r="X21" s="29">
        <v>0</v>
      </c>
      <c r="Y21" s="50"/>
      <c r="Z21" s="34">
        <v>0</v>
      </c>
      <c r="AA21" s="89"/>
      <c r="AB21" s="89"/>
      <c r="AC21" s="70">
        <v>11761.2</v>
      </c>
      <c r="AE21" s="74">
        <v>42259</v>
      </c>
      <c r="AF21" s="126" t="s">
        <v>553</v>
      </c>
      <c r="AG21" s="70">
        <v>23164.45</v>
      </c>
      <c r="AH21" s="71">
        <v>42265</v>
      </c>
      <c r="AI21" s="70">
        <v>23164.45</v>
      </c>
      <c r="AJ21" s="77">
        <f t="shared" si="0"/>
        <v>0</v>
      </c>
      <c r="AM21" s="1"/>
      <c r="AO21" s="350"/>
      <c r="AP21" s="85"/>
      <c r="AQ21" s="145"/>
      <c r="AR21" s="204"/>
      <c r="AS21" s="205"/>
      <c r="AT21" s="233"/>
      <c r="AU21" s="8"/>
      <c r="AX21" s="387"/>
      <c r="AY21" s="130"/>
      <c r="AZ21" s="244"/>
      <c r="BA21" s="192">
        <v>3245199</v>
      </c>
      <c r="BB21" s="193">
        <v>41693</v>
      </c>
      <c r="BC21" s="230">
        <v>42258</v>
      </c>
    </row>
    <row r="22" spans="1:56" thickBot="1" x14ac:dyDescent="0.3">
      <c r="B22" s="43">
        <v>42266</v>
      </c>
      <c r="C22" s="176">
        <v>29670.080000000002</v>
      </c>
      <c r="D22" s="59" t="s">
        <v>576</v>
      </c>
      <c r="E22" s="225">
        <v>42266</v>
      </c>
      <c r="F22" s="28">
        <v>151200.29999999999</v>
      </c>
      <c r="G22" s="20"/>
      <c r="H22" s="47">
        <v>42266</v>
      </c>
      <c r="I22" s="29">
        <v>0</v>
      </c>
      <c r="J22" s="50"/>
      <c r="K22" s="34">
        <v>0</v>
      </c>
      <c r="L22" s="89">
        <f>49000+41000+31530</f>
        <v>121530</v>
      </c>
      <c r="M22" s="89"/>
      <c r="Q22" s="43">
        <v>42266</v>
      </c>
      <c r="R22" s="176"/>
      <c r="S22" s="59"/>
      <c r="T22" s="225">
        <v>42266</v>
      </c>
      <c r="U22" s="28"/>
      <c r="V22" s="20"/>
      <c r="W22" s="47">
        <v>42266</v>
      </c>
      <c r="X22" s="29">
        <v>0</v>
      </c>
      <c r="Y22" s="50"/>
      <c r="Z22" s="34">
        <v>0</v>
      </c>
      <c r="AA22" s="89"/>
      <c r="AB22" s="89"/>
      <c r="AC22" s="70">
        <v>22393.8</v>
      </c>
      <c r="AE22" s="74">
        <v>42259</v>
      </c>
      <c r="AF22" s="126" t="s">
        <v>554</v>
      </c>
      <c r="AG22" s="70">
        <v>241205.25</v>
      </c>
      <c r="AH22" s="71">
        <v>42265</v>
      </c>
      <c r="AI22" s="70">
        <v>241205.25</v>
      </c>
      <c r="AJ22" s="77">
        <f t="shared" si="0"/>
        <v>0</v>
      </c>
      <c r="AO22" s="350"/>
      <c r="AP22" s="85"/>
      <c r="AQ22" s="145"/>
      <c r="AR22" s="204"/>
      <c r="AS22" s="205"/>
      <c r="AT22" s="233"/>
      <c r="AU22" s="272"/>
      <c r="AX22" s="121"/>
      <c r="AY22" s="121"/>
      <c r="AZ22" s="121"/>
      <c r="BA22" s="117" t="s">
        <v>470</v>
      </c>
      <c r="BB22" s="118">
        <v>880</v>
      </c>
      <c r="BC22" s="120">
        <v>42254</v>
      </c>
      <c r="BD22" s="82">
        <v>42258</v>
      </c>
    </row>
    <row r="23" spans="1:56" ht="19.5" thickBot="1" x14ac:dyDescent="0.35">
      <c r="A23" s="13"/>
      <c r="B23" s="43">
        <v>42267</v>
      </c>
      <c r="C23" s="176">
        <v>9579</v>
      </c>
      <c r="D23" s="59" t="s">
        <v>59</v>
      </c>
      <c r="E23" s="225">
        <v>42267</v>
      </c>
      <c r="F23" s="28">
        <v>110741.75</v>
      </c>
      <c r="G23" s="23"/>
      <c r="H23" s="47">
        <v>42267</v>
      </c>
      <c r="I23" s="29">
        <v>100</v>
      </c>
      <c r="J23" s="57"/>
      <c r="K23" s="28">
        <v>0</v>
      </c>
      <c r="L23" s="89">
        <f>64000+37063</f>
        <v>101063</v>
      </c>
      <c r="M23" s="89"/>
      <c r="N23" s="85"/>
      <c r="P23" s="13"/>
      <c r="Q23" s="43">
        <v>42267</v>
      </c>
      <c r="R23" s="176"/>
      <c r="S23" s="59"/>
      <c r="T23" s="225">
        <v>42267</v>
      </c>
      <c r="U23" s="28"/>
      <c r="V23" s="23"/>
      <c r="W23" s="47">
        <v>42267</v>
      </c>
      <c r="X23" s="29">
        <v>0</v>
      </c>
      <c r="Y23" s="57"/>
      <c r="Z23" s="28">
        <v>0</v>
      </c>
      <c r="AA23" s="89"/>
      <c r="AB23" s="89"/>
      <c r="AC23" s="70">
        <v>119372.82</v>
      </c>
      <c r="AE23" s="74">
        <v>42262</v>
      </c>
      <c r="AF23" s="126" t="s">
        <v>557</v>
      </c>
      <c r="AG23" s="70">
        <v>1797.12</v>
      </c>
      <c r="AH23" s="71">
        <v>42265</v>
      </c>
      <c r="AI23" s="70">
        <v>1797.12</v>
      </c>
      <c r="AJ23" s="77">
        <f t="shared" si="0"/>
        <v>0</v>
      </c>
      <c r="AO23" s="491">
        <v>1</v>
      </c>
      <c r="AP23" s="96" t="s">
        <v>124</v>
      </c>
      <c r="AQ23" s="96"/>
      <c r="AR23" s="97"/>
      <c r="AS23" s="386">
        <v>42251</v>
      </c>
      <c r="AT23" s="229"/>
      <c r="AU23" s="272"/>
      <c r="AX23" s="121"/>
      <c r="AY23" s="121"/>
      <c r="AZ23" s="121"/>
      <c r="BA23" s="117">
        <v>3245201</v>
      </c>
      <c r="BB23" s="118">
        <v>40000</v>
      </c>
      <c r="BC23" s="120">
        <v>42258</v>
      </c>
    </row>
    <row r="24" spans="1:56" ht="16.5" thickBot="1" x14ac:dyDescent="0.3">
      <c r="A24" s="13"/>
      <c r="B24" s="43">
        <v>42268</v>
      </c>
      <c r="C24" s="176">
        <v>0</v>
      </c>
      <c r="D24" s="59"/>
      <c r="E24" s="225">
        <v>42268</v>
      </c>
      <c r="F24" s="28">
        <v>137327.34</v>
      </c>
      <c r="G24" s="23"/>
      <c r="H24" s="47">
        <v>42268</v>
      </c>
      <c r="I24" s="29">
        <v>0</v>
      </c>
      <c r="J24" s="319"/>
      <c r="K24" s="34"/>
      <c r="L24" s="89">
        <f>55000+45000+37327.5</f>
        <v>137327.5</v>
      </c>
      <c r="M24" s="89"/>
      <c r="N24" s="85"/>
      <c r="P24" s="13"/>
      <c r="Q24" s="43">
        <v>42268</v>
      </c>
      <c r="R24" s="176"/>
      <c r="S24" s="59"/>
      <c r="T24" s="225">
        <v>42268</v>
      </c>
      <c r="U24" s="28"/>
      <c r="V24" s="23"/>
      <c r="W24" s="47">
        <v>42268</v>
      </c>
      <c r="X24" s="29"/>
      <c r="Y24" s="319"/>
      <c r="Z24" s="34"/>
      <c r="AA24" s="89">
        <v>0</v>
      </c>
      <c r="AB24" s="89"/>
      <c r="AC24" s="70">
        <v>57050.5</v>
      </c>
      <c r="AE24" s="74">
        <v>42262</v>
      </c>
      <c r="AF24" s="126" t="s">
        <v>558</v>
      </c>
      <c r="AG24" s="70">
        <v>28819.37</v>
      </c>
      <c r="AH24" s="71">
        <v>42265</v>
      </c>
      <c r="AI24" s="70">
        <v>28819.37</v>
      </c>
      <c r="AJ24" s="77">
        <f t="shared" si="0"/>
        <v>0</v>
      </c>
      <c r="AO24" s="492"/>
      <c r="AP24" s="100"/>
      <c r="AQ24" s="100"/>
      <c r="AR24" s="101"/>
      <c r="AS24" s="102"/>
      <c r="AT24" s="229"/>
      <c r="AU24" s="8"/>
      <c r="AX24" s="121"/>
      <c r="AY24" s="121"/>
      <c r="AZ24" s="121"/>
      <c r="BA24" s="117">
        <v>3245202</v>
      </c>
      <c r="BB24" s="118">
        <v>63000</v>
      </c>
      <c r="BC24" s="120">
        <v>42258</v>
      </c>
    </row>
    <row r="25" spans="1:56" ht="16.5" thickBot="1" x14ac:dyDescent="0.3">
      <c r="B25" s="43">
        <v>42269</v>
      </c>
      <c r="C25" s="176">
        <v>1259</v>
      </c>
      <c r="D25" s="24" t="s">
        <v>582</v>
      </c>
      <c r="E25" s="225">
        <v>42269</v>
      </c>
      <c r="F25" s="28">
        <v>131961.26999999999</v>
      </c>
      <c r="G25" s="23"/>
      <c r="H25" s="47">
        <v>42269</v>
      </c>
      <c r="I25" s="29">
        <v>0</v>
      </c>
      <c r="J25" s="50"/>
      <c r="K25" s="34"/>
      <c r="L25" s="89">
        <f>981.6+6072+24150+20000+40000+39499</f>
        <v>130702.6</v>
      </c>
      <c r="M25" s="89"/>
      <c r="N25" s="85"/>
      <c r="Q25" s="43">
        <v>42269</v>
      </c>
      <c r="R25" s="176"/>
      <c r="S25" s="24"/>
      <c r="T25" s="225">
        <v>42269</v>
      </c>
      <c r="U25" s="28"/>
      <c r="V25" s="23"/>
      <c r="W25" s="47">
        <v>42269</v>
      </c>
      <c r="X25" s="29"/>
      <c r="Y25" s="50"/>
      <c r="Z25" s="34"/>
      <c r="AA25" s="89">
        <v>0</v>
      </c>
      <c r="AB25" s="89"/>
      <c r="AC25" s="70">
        <v>9051.9</v>
      </c>
      <c r="AE25" s="74">
        <v>42262</v>
      </c>
      <c r="AF25" s="126" t="s">
        <v>559</v>
      </c>
      <c r="AG25" s="70">
        <v>90852.44</v>
      </c>
      <c r="AH25" s="71">
        <v>42265</v>
      </c>
      <c r="AI25" s="70">
        <v>90852.44</v>
      </c>
      <c r="AJ25" s="72">
        <f t="shared" ref="AJ25:AJ35" si="1">AG25-AI25</f>
        <v>0</v>
      </c>
      <c r="AO25" s="302" t="s">
        <v>126</v>
      </c>
      <c r="AP25" s="302" t="s">
        <v>127</v>
      </c>
      <c r="AQ25" s="302"/>
      <c r="AR25" s="395" t="s">
        <v>128</v>
      </c>
      <c r="AS25" s="396" t="s">
        <v>129</v>
      </c>
      <c r="AT25" s="397"/>
      <c r="AU25" s="8"/>
      <c r="AX25" s="389"/>
      <c r="AY25" s="389"/>
      <c r="AZ25" s="389"/>
      <c r="BA25" s="390"/>
      <c r="BB25" s="391">
        <v>0</v>
      </c>
      <c r="BC25" s="392"/>
    </row>
    <row r="26" spans="1:56" ht="19.5" thickTop="1" x14ac:dyDescent="0.3">
      <c r="B26" s="43">
        <v>42270</v>
      </c>
      <c r="C26" s="176">
        <v>3258</v>
      </c>
      <c r="D26" s="24" t="s">
        <v>544</v>
      </c>
      <c r="E26" s="225">
        <v>42270</v>
      </c>
      <c r="F26" s="28">
        <v>103032.1</v>
      </c>
      <c r="G26" s="23"/>
      <c r="H26" s="47">
        <v>42270</v>
      </c>
      <c r="I26" s="29">
        <v>175.3</v>
      </c>
      <c r="J26" s="50"/>
      <c r="K26" s="34"/>
      <c r="L26" s="89">
        <f>42000+20000+37599</f>
        <v>99599</v>
      </c>
      <c r="M26" s="89"/>
      <c r="N26" s="85"/>
      <c r="Q26" s="43">
        <v>42270</v>
      </c>
      <c r="R26" s="176"/>
      <c r="S26" s="24"/>
      <c r="T26" s="225">
        <v>42270</v>
      </c>
      <c r="U26" s="28"/>
      <c r="V26" s="23"/>
      <c r="W26" s="47">
        <v>42270</v>
      </c>
      <c r="X26" s="29"/>
      <c r="Y26" s="50"/>
      <c r="Z26" s="34"/>
      <c r="AA26" s="89">
        <v>0</v>
      </c>
      <c r="AB26" s="89"/>
      <c r="AC26" s="70">
        <v>21477</v>
      </c>
      <c r="AE26" s="74">
        <v>42263</v>
      </c>
      <c r="AF26" s="126" t="s">
        <v>560</v>
      </c>
      <c r="AG26" s="70">
        <v>14504</v>
      </c>
      <c r="AH26" s="71">
        <v>42265</v>
      </c>
      <c r="AI26" s="70">
        <v>14504</v>
      </c>
      <c r="AJ26" s="77">
        <f t="shared" si="1"/>
        <v>0</v>
      </c>
      <c r="AO26" s="394" t="s">
        <v>527</v>
      </c>
      <c r="AP26" s="298">
        <v>318412.71999999997</v>
      </c>
      <c r="AQ26" s="298"/>
      <c r="AR26" s="299">
        <v>3245149</v>
      </c>
      <c r="AS26" s="300">
        <v>34861</v>
      </c>
      <c r="AT26" s="301">
        <v>42241</v>
      </c>
      <c r="AU26" s="8"/>
      <c r="AX26" s="8"/>
      <c r="AY26" s="290">
        <f>SUM(AY5:AY25)</f>
        <v>811260.5</v>
      </c>
      <c r="AZ26" s="393"/>
      <c r="BA26" s="393"/>
      <c r="BB26" s="393">
        <f>SUM(BB5:BB25)</f>
        <v>811260.5</v>
      </c>
      <c r="BC26" s="388"/>
    </row>
    <row r="27" spans="1:56" x14ac:dyDescent="0.25">
      <c r="B27" s="43">
        <v>42271</v>
      </c>
      <c r="C27" s="176">
        <v>11971.5</v>
      </c>
      <c r="D27" s="24" t="s">
        <v>59</v>
      </c>
      <c r="E27" s="225">
        <v>42271</v>
      </c>
      <c r="F27" s="28">
        <v>129049.3</v>
      </c>
      <c r="G27" s="23"/>
      <c r="H27" s="47">
        <v>42271</v>
      </c>
      <c r="I27" s="29">
        <v>0</v>
      </c>
      <c r="J27" s="50"/>
      <c r="K27" s="34"/>
      <c r="L27" s="89">
        <f>32000+45000+7502+27576</f>
        <v>112078</v>
      </c>
      <c r="M27" s="89"/>
      <c r="N27" s="85"/>
      <c r="Q27" s="43">
        <v>42271</v>
      </c>
      <c r="R27" s="176"/>
      <c r="S27" s="24"/>
      <c r="T27" s="225">
        <v>42271</v>
      </c>
      <c r="U27" s="28"/>
      <c r="V27" s="23"/>
      <c r="W27" s="47">
        <v>42271</v>
      </c>
      <c r="X27" s="29"/>
      <c r="Y27" s="50"/>
      <c r="Z27" s="34"/>
      <c r="AA27" s="89">
        <v>0</v>
      </c>
      <c r="AB27" s="89"/>
      <c r="AC27" s="70">
        <v>296559.25</v>
      </c>
      <c r="AE27" s="74">
        <v>42263</v>
      </c>
      <c r="AF27" s="126" t="s">
        <v>571</v>
      </c>
      <c r="AG27" s="129">
        <v>268755.20000000001</v>
      </c>
      <c r="AH27" s="71">
        <v>42268</v>
      </c>
      <c r="AI27" s="70">
        <v>268755.20000000001</v>
      </c>
      <c r="AJ27" s="77">
        <f t="shared" si="1"/>
        <v>0</v>
      </c>
      <c r="AO27" s="126" t="s">
        <v>528</v>
      </c>
      <c r="AP27" s="70">
        <v>314635.32</v>
      </c>
      <c r="AQ27" s="111"/>
      <c r="AR27" s="186" t="s">
        <v>470</v>
      </c>
      <c r="AS27" s="187">
        <v>12854</v>
      </c>
      <c r="AT27" s="230">
        <v>42240</v>
      </c>
      <c r="AU27" s="272">
        <v>42242</v>
      </c>
    </row>
    <row r="28" spans="1:56" ht="16.5" thickBot="1" x14ac:dyDescent="0.3">
      <c r="B28" s="43">
        <v>42272</v>
      </c>
      <c r="C28" s="176">
        <v>2116</v>
      </c>
      <c r="D28" s="24" t="s">
        <v>591</v>
      </c>
      <c r="E28" s="225">
        <v>42272</v>
      </c>
      <c r="F28" s="28">
        <v>181661.7</v>
      </c>
      <c r="G28" s="23"/>
      <c r="H28" s="47">
        <v>42272</v>
      </c>
      <c r="I28" s="29">
        <v>0</v>
      </c>
      <c r="J28" s="50"/>
      <c r="K28" s="34"/>
      <c r="L28" s="89">
        <f>65000+20000+50000+44546</f>
        <v>179546</v>
      </c>
      <c r="M28" s="89"/>
      <c r="N28" s="85"/>
      <c r="Q28" s="43">
        <v>42272</v>
      </c>
      <c r="R28" s="176"/>
      <c r="S28" s="24"/>
      <c r="T28" s="225">
        <v>42272</v>
      </c>
      <c r="U28" s="28"/>
      <c r="V28" s="23"/>
      <c r="W28" s="47">
        <v>42272</v>
      </c>
      <c r="X28" s="29"/>
      <c r="Y28" s="50"/>
      <c r="Z28" s="34"/>
      <c r="AA28" s="89">
        <v>0</v>
      </c>
      <c r="AB28" s="89"/>
      <c r="AC28" s="70">
        <v>20518.400000000001</v>
      </c>
      <c r="AE28" s="74">
        <v>42264</v>
      </c>
      <c r="AF28" s="126" t="s">
        <v>561</v>
      </c>
      <c r="AG28" s="70">
        <v>20169.8</v>
      </c>
      <c r="AH28" s="71">
        <v>42265</v>
      </c>
      <c r="AI28" s="70">
        <v>20169.8</v>
      </c>
      <c r="AJ28" s="77">
        <f t="shared" si="1"/>
        <v>0</v>
      </c>
      <c r="AO28" s="126" t="s">
        <v>517</v>
      </c>
      <c r="AP28" s="70">
        <v>11278.74</v>
      </c>
      <c r="AQ28" s="111"/>
      <c r="AR28" s="186" t="s">
        <v>470</v>
      </c>
      <c r="AS28" s="187">
        <v>6057</v>
      </c>
      <c r="AT28" s="230">
        <v>42242</v>
      </c>
      <c r="AU28" s="8"/>
    </row>
    <row r="29" spans="1:56" ht="19.5" thickBot="1" x14ac:dyDescent="0.35">
      <c r="B29" s="43">
        <v>42273</v>
      </c>
      <c r="C29" s="176">
        <v>3440</v>
      </c>
      <c r="D29" s="24" t="s">
        <v>592</v>
      </c>
      <c r="E29" s="225">
        <v>42273</v>
      </c>
      <c r="F29" s="28">
        <v>134812.6</v>
      </c>
      <c r="G29" s="23"/>
      <c r="H29" s="47">
        <v>42273</v>
      </c>
      <c r="I29" s="29">
        <v>0</v>
      </c>
      <c r="J29" s="50"/>
      <c r="K29" s="34"/>
      <c r="L29" s="89">
        <f>80000+21372.5+30000</f>
        <v>131372.5</v>
      </c>
      <c r="M29" s="89"/>
      <c r="N29" s="85"/>
      <c r="Q29" s="43">
        <v>42273</v>
      </c>
      <c r="R29" s="176"/>
      <c r="S29" s="24"/>
      <c r="T29" s="225">
        <v>42273</v>
      </c>
      <c r="U29" s="28"/>
      <c r="V29" s="23"/>
      <c r="W29" s="47">
        <v>42273</v>
      </c>
      <c r="X29" s="29"/>
      <c r="Y29" s="50"/>
      <c r="Z29" s="34"/>
      <c r="AA29" s="89">
        <v>0</v>
      </c>
      <c r="AB29" s="89"/>
      <c r="AC29" s="70">
        <v>191210.75</v>
      </c>
      <c r="AE29" s="74">
        <v>42264</v>
      </c>
      <c r="AF29" s="126" t="s">
        <v>562</v>
      </c>
      <c r="AG29" s="70">
        <v>16901.3</v>
      </c>
      <c r="AH29" s="71">
        <v>42265</v>
      </c>
      <c r="AI29" s="70">
        <v>16901.3</v>
      </c>
      <c r="AJ29" s="77">
        <f t="shared" si="1"/>
        <v>0</v>
      </c>
      <c r="AO29" s="126" t="s">
        <v>530</v>
      </c>
      <c r="AP29" s="70">
        <v>11558.72</v>
      </c>
      <c r="AQ29" s="111" t="s">
        <v>165</v>
      </c>
      <c r="AR29" s="186">
        <v>3245148</v>
      </c>
      <c r="AS29" s="187">
        <v>70000</v>
      </c>
      <c r="AT29" s="230">
        <v>42242</v>
      </c>
      <c r="AU29" s="8"/>
      <c r="AX29" s="491">
        <v>1</v>
      </c>
      <c r="AY29" s="96" t="s">
        <v>124</v>
      </c>
      <c r="AZ29" s="96"/>
      <c r="BA29" s="97"/>
      <c r="BB29" s="399">
        <v>42268</v>
      </c>
      <c r="BC29" s="229"/>
    </row>
    <row r="30" spans="1:56" ht="16.5" thickBot="1" x14ac:dyDescent="0.3">
      <c r="B30" s="43">
        <v>42274</v>
      </c>
      <c r="C30" s="176">
        <v>459</v>
      </c>
      <c r="D30" s="24" t="s">
        <v>593</v>
      </c>
      <c r="E30" s="225">
        <v>42274</v>
      </c>
      <c r="F30" s="28">
        <v>58609.7</v>
      </c>
      <c r="G30" s="23"/>
      <c r="H30" s="47">
        <v>42274</v>
      </c>
      <c r="I30" s="29">
        <v>100</v>
      </c>
      <c r="J30" s="50"/>
      <c r="K30" s="34"/>
      <c r="L30" s="89">
        <v>58051</v>
      </c>
      <c r="M30" s="89"/>
      <c r="N30" s="85"/>
      <c r="Q30" s="43">
        <v>42274</v>
      </c>
      <c r="R30" s="176"/>
      <c r="S30" s="24"/>
      <c r="T30" s="225">
        <v>42274</v>
      </c>
      <c r="U30" s="28"/>
      <c r="V30" s="23"/>
      <c r="W30" s="47">
        <v>42274</v>
      </c>
      <c r="X30" s="29"/>
      <c r="Y30" s="50"/>
      <c r="Z30" s="34"/>
      <c r="AA30" s="89">
        <v>0</v>
      </c>
      <c r="AB30" s="89"/>
      <c r="AC30" s="70">
        <v>4060.2</v>
      </c>
      <c r="AE30" s="74">
        <v>42264</v>
      </c>
      <c r="AF30" s="126" t="s">
        <v>567</v>
      </c>
      <c r="AG30" s="70">
        <v>177099.92</v>
      </c>
      <c r="AH30" s="196" t="s">
        <v>575</v>
      </c>
      <c r="AI30" s="70">
        <f>157367.43+19732.49</f>
        <v>177099.91999999998</v>
      </c>
      <c r="AJ30" s="77">
        <f t="shared" si="1"/>
        <v>0</v>
      </c>
      <c r="AO30" s="126"/>
      <c r="AP30" s="70"/>
      <c r="AQ30" s="111"/>
      <c r="AR30" s="186">
        <v>3245147</v>
      </c>
      <c r="AS30" s="187">
        <v>50150</v>
      </c>
      <c r="AT30" s="230">
        <v>42242</v>
      </c>
      <c r="AU30" s="8"/>
      <c r="AX30" s="492"/>
      <c r="AY30" s="100"/>
      <c r="AZ30" s="100"/>
      <c r="BA30" s="101"/>
      <c r="BB30" s="102"/>
      <c r="BC30" s="229"/>
    </row>
    <row r="31" spans="1:56" ht="16.5" thickBot="1" x14ac:dyDescent="0.3">
      <c r="B31" s="43">
        <v>42275</v>
      </c>
      <c r="C31" s="176">
        <v>5701</v>
      </c>
      <c r="D31" s="24" t="s">
        <v>322</v>
      </c>
      <c r="E31" s="225">
        <v>42275</v>
      </c>
      <c r="F31" s="28">
        <v>218953.2</v>
      </c>
      <c r="G31" s="23"/>
      <c r="H31" s="47">
        <v>42275</v>
      </c>
      <c r="I31" s="29">
        <v>0</v>
      </c>
      <c r="J31" s="50"/>
      <c r="K31" s="34"/>
      <c r="L31" s="89">
        <v>213252</v>
      </c>
      <c r="M31" s="89"/>
      <c r="N31" s="85"/>
      <c r="Q31" s="43">
        <v>42275</v>
      </c>
      <c r="R31" s="176"/>
      <c r="S31" s="24"/>
      <c r="T31" s="225">
        <v>42275</v>
      </c>
      <c r="U31" s="28"/>
      <c r="V31" s="23"/>
      <c r="W31" s="47">
        <v>42275</v>
      </c>
      <c r="X31" s="29"/>
      <c r="Y31" s="50"/>
      <c r="Z31" s="34"/>
      <c r="AA31" s="89">
        <v>0</v>
      </c>
      <c r="AB31" s="89"/>
      <c r="AC31" s="70">
        <v>176936</v>
      </c>
      <c r="AE31" s="74">
        <v>42266</v>
      </c>
      <c r="AF31" s="126" t="s">
        <v>569</v>
      </c>
      <c r="AG31" s="70">
        <v>30074.6</v>
      </c>
      <c r="AH31" s="71">
        <v>42268</v>
      </c>
      <c r="AI31" s="70">
        <v>30074.6</v>
      </c>
      <c r="AJ31" s="77">
        <f t="shared" si="1"/>
        <v>0</v>
      </c>
      <c r="AO31" s="126"/>
      <c r="AP31" s="70"/>
      <c r="AQ31" s="190"/>
      <c r="AR31" s="186" t="s">
        <v>470</v>
      </c>
      <c r="AS31" s="187">
        <v>15361</v>
      </c>
      <c r="AT31" s="230">
        <v>42242</v>
      </c>
      <c r="AU31" s="272">
        <v>42243</v>
      </c>
      <c r="AX31" s="302" t="s">
        <v>126</v>
      </c>
      <c r="AY31" s="302" t="s">
        <v>127</v>
      </c>
      <c r="AZ31" s="302"/>
      <c r="BA31" s="395" t="s">
        <v>128</v>
      </c>
      <c r="BB31" s="396" t="s">
        <v>129</v>
      </c>
      <c r="BC31" s="397"/>
    </row>
    <row r="32" spans="1:56" ht="16.5" thickTop="1" x14ac:dyDescent="0.25">
      <c r="B32" s="43">
        <v>42276</v>
      </c>
      <c r="C32" s="176">
        <v>0</v>
      </c>
      <c r="D32" s="25"/>
      <c r="E32" s="225">
        <v>42276</v>
      </c>
      <c r="F32" s="28">
        <v>99894.2</v>
      </c>
      <c r="G32" s="23"/>
      <c r="H32" s="47">
        <v>42276</v>
      </c>
      <c r="I32" s="29">
        <v>40</v>
      </c>
      <c r="J32" s="50"/>
      <c r="K32" s="34"/>
      <c r="L32" s="89">
        <f>28081+49000+22773</f>
        <v>99854</v>
      </c>
      <c r="M32" s="89"/>
      <c r="N32" s="85"/>
      <c r="Q32" s="43">
        <v>42276</v>
      </c>
      <c r="R32" s="176"/>
      <c r="S32" s="25"/>
      <c r="T32" s="225">
        <v>42276</v>
      </c>
      <c r="U32" s="28"/>
      <c r="V32" s="23"/>
      <c r="W32" s="47">
        <v>42276</v>
      </c>
      <c r="X32" s="29"/>
      <c r="Y32" s="50"/>
      <c r="Z32" s="34"/>
      <c r="AA32" s="89">
        <v>0</v>
      </c>
      <c r="AB32" s="89"/>
      <c r="AC32" s="70">
        <v>12863.4</v>
      </c>
      <c r="AE32" s="74">
        <v>42266</v>
      </c>
      <c r="AF32" s="126" t="s">
        <v>570</v>
      </c>
      <c r="AG32" s="129">
        <v>219651.08</v>
      </c>
      <c r="AH32" s="128" t="s">
        <v>578</v>
      </c>
      <c r="AI32" s="70">
        <f>1455.71+218195.37</f>
        <v>219651.08</v>
      </c>
      <c r="AJ32" s="77">
        <f t="shared" si="1"/>
        <v>0</v>
      </c>
      <c r="AO32" s="126"/>
      <c r="AP32" s="70"/>
      <c r="AQ32" s="226"/>
      <c r="AR32" s="186" t="s">
        <v>470</v>
      </c>
      <c r="AS32" s="187">
        <v>9592</v>
      </c>
      <c r="AT32" s="230">
        <v>42241</v>
      </c>
      <c r="AU32" s="272">
        <v>42243</v>
      </c>
      <c r="AX32" s="394" t="s">
        <v>571</v>
      </c>
      <c r="AY32" s="298">
        <v>268755.20000000001</v>
      </c>
      <c r="AZ32" s="298"/>
      <c r="BA32" s="299">
        <v>3245200</v>
      </c>
      <c r="BB32" s="300">
        <v>50000</v>
      </c>
      <c r="BC32" s="301">
        <v>42259</v>
      </c>
    </row>
    <row r="33" spans="1:56" x14ac:dyDescent="0.25">
      <c r="B33" s="43">
        <v>42277</v>
      </c>
      <c r="C33" s="176">
        <v>2849</v>
      </c>
      <c r="D33" s="24" t="s">
        <v>242</v>
      </c>
      <c r="E33" s="225">
        <v>42277</v>
      </c>
      <c r="F33" s="28">
        <v>105729</v>
      </c>
      <c r="G33" s="23"/>
      <c r="H33" s="47">
        <v>42277</v>
      </c>
      <c r="I33" s="29">
        <v>0</v>
      </c>
      <c r="J33" s="50"/>
      <c r="K33" s="34"/>
      <c r="L33" s="89">
        <f>49000+30000+23880</f>
        <v>102880</v>
      </c>
      <c r="M33" s="89"/>
      <c r="N33" s="85"/>
      <c r="Q33" s="43">
        <v>42277</v>
      </c>
      <c r="R33" s="176"/>
      <c r="S33" s="24"/>
      <c r="T33" s="225">
        <v>42277</v>
      </c>
      <c r="U33" s="28"/>
      <c r="V33" s="23"/>
      <c r="W33" s="47">
        <v>42277</v>
      </c>
      <c r="X33" s="29"/>
      <c r="Y33" s="50"/>
      <c r="Z33" s="34"/>
      <c r="AA33" s="89">
        <v>0</v>
      </c>
      <c r="AB33" s="89"/>
      <c r="AC33" s="70">
        <v>241133.73</v>
      </c>
      <c r="AE33" s="74">
        <v>42267</v>
      </c>
      <c r="AF33" s="126" t="s">
        <v>572</v>
      </c>
      <c r="AG33" s="70">
        <v>5755.3</v>
      </c>
      <c r="AH33" s="71">
        <v>42270</v>
      </c>
      <c r="AI33" s="70">
        <v>5755.3</v>
      </c>
      <c r="AJ33" s="77">
        <f t="shared" si="1"/>
        <v>0</v>
      </c>
      <c r="AO33" s="126"/>
      <c r="AP33" s="70"/>
      <c r="AQ33" s="111"/>
      <c r="AR33" s="192">
        <v>3245146</v>
      </c>
      <c r="AS33" s="193">
        <v>54000</v>
      </c>
      <c r="AT33" s="230">
        <v>42243</v>
      </c>
      <c r="AU33" s="8"/>
      <c r="AX33" s="126" t="s">
        <v>567</v>
      </c>
      <c r="AY33" s="70">
        <v>19732.490000000002</v>
      </c>
      <c r="AZ33" s="111"/>
      <c r="BA33" s="186">
        <v>3245198</v>
      </c>
      <c r="BB33" s="187">
        <v>32721.5</v>
      </c>
      <c r="BC33" s="230">
        <v>42259</v>
      </c>
    </row>
    <row r="34" spans="1:56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>
        <v>0</v>
      </c>
      <c r="M34" s="89"/>
      <c r="N34" s="85"/>
      <c r="P34" s="13"/>
      <c r="Q34" s="43"/>
      <c r="R34" s="176"/>
      <c r="S34" s="24"/>
      <c r="T34" s="225"/>
      <c r="U34" s="28"/>
      <c r="V34" s="23"/>
      <c r="W34" s="47"/>
      <c r="X34" s="29"/>
      <c r="Y34" s="50"/>
      <c r="Z34" s="34"/>
      <c r="AA34" s="89">
        <v>0</v>
      </c>
      <c r="AB34" s="89"/>
      <c r="AC34" s="70">
        <v>29663.85</v>
      </c>
      <c r="AD34" s="82"/>
      <c r="AE34" s="74">
        <v>42268</v>
      </c>
      <c r="AF34" s="126" t="s">
        <v>573</v>
      </c>
      <c r="AG34" s="70">
        <v>15742</v>
      </c>
      <c r="AH34" s="71">
        <v>42270</v>
      </c>
      <c r="AI34" s="70">
        <v>15742</v>
      </c>
      <c r="AJ34" s="77">
        <f t="shared" si="1"/>
        <v>0</v>
      </c>
      <c r="AO34" s="126"/>
      <c r="AP34" s="70"/>
      <c r="AQ34" s="111"/>
      <c r="AR34" s="192">
        <v>3245144</v>
      </c>
      <c r="AS34" s="193">
        <v>50000</v>
      </c>
      <c r="AT34" s="230">
        <v>42243</v>
      </c>
      <c r="AU34" s="8"/>
      <c r="AX34" s="126" t="s">
        <v>569</v>
      </c>
      <c r="AY34" s="70">
        <v>30074.6</v>
      </c>
      <c r="AZ34" s="111"/>
      <c r="BA34" s="117">
        <v>3206672</v>
      </c>
      <c r="BB34" s="118">
        <v>13863</v>
      </c>
      <c r="BC34" s="120">
        <v>42259</v>
      </c>
    </row>
    <row r="35" spans="1:56" ht="16.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5"/>
      <c r="P35" s="26"/>
      <c r="Q35" s="44"/>
      <c r="R35" s="177">
        <v>0</v>
      </c>
      <c r="S35" s="1"/>
      <c r="T35" s="54"/>
      <c r="U35" s="34">
        <v>0</v>
      </c>
      <c r="W35" s="10"/>
      <c r="X35" s="40"/>
      <c r="Y35" s="50"/>
      <c r="Z35" s="34"/>
      <c r="AA35" s="88">
        <v>0</v>
      </c>
      <c r="AB35" s="88"/>
      <c r="AC35" s="70">
        <v>1588.8</v>
      </c>
      <c r="AE35" s="74">
        <v>42268</v>
      </c>
      <c r="AF35" s="126" t="s">
        <v>574</v>
      </c>
      <c r="AG35" s="70">
        <v>6065.1</v>
      </c>
      <c r="AH35" s="71">
        <v>42270</v>
      </c>
      <c r="AI35" s="70">
        <v>6065.1</v>
      </c>
      <c r="AJ35" s="77">
        <f t="shared" si="1"/>
        <v>0</v>
      </c>
      <c r="AO35" s="126"/>
      <c r="AP35" s="70"/>
      <c r="AQ35" s="111"/>
      <c r="AR35" s="192">
        <v>3245145</v>
      </c>
      <c r="AS35" s="193">
        <v>27476.5</v>
      </c>
      <c r="AT35" s="230">
        <v>42243</v>
      </c>
      <c r="AU35" s="8"/>
      <c r="AX35" s="126" t="s">
        <v>570</v>
      </c>
      <c r="AY35" s="70">
        <v>1455.71</v>
      </c>
      <c r="AZ35" s="111" t="s">
        <v>137</v>
      </c>
      <c r="BA35" s="186">
        <v>3245197</v>
      </c>
      <c r="BB35" s="187">
        <v>25000</v>
      </c>
      <c r="BC35" s="230">
        <v>42260</v>
      </c>
    </row>
    <row r="36" spans="1:56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5"/>
      <c r="P36" s="60"/>
      <c r="Q36" s="45" t="s">
        <v>0</v>
      </c>
      <c r="R36" s="178">
        <v>0</v>
      </c>
      <c r="S36" s="1"/>
      <c r="T36" s="55"/>
      <c r="U36" s="35">
        <v>0</v>
      </c>
      <c r="W36" s="11"/>
      <c r="X36" s="41">
        <v>0</v>
      </c>
      <c r="Y36" s="52"/>
      <c r="Z36" s="35"/>
      <c r="AA36" s="141">
        <v>0</v>
      </c>
      <c r="AB36" s="88"/>
      <c r="AC36" s="70">
        <v>23164.45</v>
      </c>
      <c r="AE36" s="74">
        <v>42269</v>
      </c>
      <c r="AF36" s="126" t="s">
        <v>577</v>
      </c>
      <c r="AG36" s="70">
        <v>27593.1</v>
      </c>
      <c r="AH36" s="71">
        <v>42270</v>
      </c>
      <c r="AI36" s="407">
        <v>4313.2299999999996</v>
      </c>
      <c r="AJ36" s="408">
        <f t="shared" si="0"/>
        <v>23279.87</v>
      </c>
      <c r="AO36" s="126"/>
      <c r="AP36" s="70"/>
      <c r="AQ36" s="111"/>
      <c r="AR36" s="192">
        <v>3245143</v>
      </c>
      <c r="AS36" s="193">
        <v>83500</v>
      </c>
      <c r="AT36" s="230">
        <v>42244</v>
      </c>
      <c r="AU36" s="8"/>
      <c r="AX36" s="126"/>
      <c r="AY36" s="70"/>
      <c r="AZ36" s="111"/>
      <c r="BA36" s="186">
        <v>3245196</v>
      </c>
      <c r="BB36" s="187">
        <v>54000</v>
      </c>
      <c r="BC36" s="230">
        <v>42260</v>
      </c>
    </row>
    <row r="37" spans="1:56" x14ac:dyDescent="0.25">
      <c r="B37" s="5" t="s">
        <v>1</v>
      </c>
      <c r="C37" s="179">
        <f>SUM(C4:C36)</f>
        <v>225296.28000000003</v>
      </c>
      <c r="D37" s="1"/>
      <c r="E37" s="403" t="s">
        <v>1</v>
      </c>
      <c r="F37" s="7">
        <f>SUM(F4:F36)</f>
        <v>4154269.6500000004</v>
      </c>
      <c r="H37" s="4" t="s">
        <v>1</v>
      </c>
      <c r="I37" s="3">
        <f>SUM(I4:I36)</f>
        <v>1345.3</v>
      </c>
      <c r="J37" s="3"/>
      <c r="K37" s="3">
        <f t="shared" ref="K37" si="2">SUM(K4:K36)</f>
        <v>83759.83</v>
      </c>
      <c r="L37" s="67">
        <f>SUM(L4:L36)</f>
        <v>3969466.1</v>
      </c>
      <c r="N37" s="85"/>
      <c r="Q37" s="5" t="s">
        <v>1</v>
      </c>
      <c r="R37" s="179">
        <f>SUM(R4:R36)</f>
        <v>116657</v>
      </c>
      <c r="S37" s="1"/>
      <c r="T37" s="370" t="s">
        <v>1</v>
      </c>
      <c r="U37" s="7">
        <f>SUM(U4:U36)</f>
        <v>2130095.79</v>
      </c>
      <c r="W37" s="4" t="s">
        <v>1</v>
      </c>
      <c r="X37" s="3">
        <f>SUM(X4:X36)</f>
        <v>930</v>
      </c>
      <c r="Y37" s="3"/>
      <c r="Z37" s="3">
        <f t="shared" ref="Z37" si="3">SUM(Z4:Z36)</f>
        <v>51712.29</v>
      </c>
      <c r="AA37" s="67">
        <f>SUM(AA4:AA36)</f>
        <v>2059345.5</v>
      </c>
      <c r="AC37" s="70">
        <v>241205.25</v>
      </c>
      <c r="AE37" s="74"/>
      <c r="AF37" s="126"/>
      <c r="AG37" s="70"/>
      <c r="AH37" s="71"/>
      <c r="AI37" s="70"/>
      <c r="AJ37" s="77">
        <f t="shared" si="0"/>
        <v>0</v>
      </c>
      <c r="AO37" s="126"/>
      <c r="AP37" s="70"/>
      <c r="AQ37" s="226"/>
      <c r="AR37" s="192">
        <v>3245142</v>
      </c>
      <c r="AS37" s="193">
        <v>30000</v>
      </c>
      <c r="AT37" s="230">
        <v>42244</v>
      </c>
      <c r="AX37" s="126"/>
      <c r="AY37" s="70"/>
      <c r="AZ37" s="190"/>
      <c r="BA37" s="186">
        <v>3245195</v>
      </c>
      <c r="BB37" s="187">
        <v>32233.5</v>
      </c>
      <c r="BC37" s="230">
        <v>42260</v>
      </c>
    </row>
    <row r="38" spans="1:56" x14ac:dyDescent="0.25">
      <c r="A38" s="477"/>
      <c r="B38" s="477"/>
      <c r="C38" s="88"/>
      <c r="I38" s="3"/>
      <c r="K38" s="3"/>
      <c r="N38" s="85"/>
      <c r="P38" s="477"/>
      <c r="Q38" s="477"/>
      <c r="R38" s="88"/>
      <c r="X38" s="3"/>
      <c r="Z38" s="3"/>
      <c r="AC38" s="70">
        <v>1797.12</v>
      </c>
      <c r="AE38" s="74"/>
      <c r="AF38" s="126"/>
      <c r="AG38" s="70"/>
      <c r="AH38" s="71"/>
      <c r="AI38" s="70"/>
      <c r="AJ38" s="77">
        <f t="shared" si="0"/>
        <v>0</v>
      </c>
      <c r="AO38" s="371"/>
      <c r="AP38" s="70"/>
      <c r="AQ38" s="226"/>
      <c r="AR38" s="192">
        <v>3245141</v>
      </c>
      <c r="AS38" s="193">
        <v>19034</v>
      </c>
      <c r="AT38" s="230">
        <v>42244</v>
      </c>
      <c r="AX38" s="126"/>
      <c r="AY38" s="70"/>
      <c r="AZ38" s="226"/>
      <c r="BA38" s="186">
        <v>3245194</v>
      </c>
      <c r="BB38" s="187">
        <v>25000</v>
      </c>
      <c r="BC38" s="230">
        <v>42261</v>
      </c>
    </row>
    <row r="39" spans="1:56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85105.13</v>
      </c>
      <c r="K39" s="458"/>
      <c r="L39" s="90"/>
      <c r="M39" s="90"/>
      <c r="N39" s="85"/>
      <c r="P39" s="150"/>
      <c r="Q39" s="36"/>
      <c r="R39" s="88"/>
      <c r="S39" s="8"/>
      <c r="T39" s="36"/>
      <c r="U39" s="36"/>
      <c r="W39" s="459" t="s">
        <v>7</v>
      </c>
      <c r="X39" s="460"/>
      <c r="Y39" s="457">
        <f>X37+Z37</f>
        <v>52642.29</v>
      </c>
      <c r="Z39" s="458"/>
      <c r="AA39" s="90"/>
      <c r="AB39" s="90"/>
      <c r="AC39" s="70">
        <v>28819.37</v>
      </c>
      <c r="AE39" s="74"/>
      <c r="AF39" s="126"/>
      <c r="AG39" s="70"/>
      <c r="AH39" s="71"/>
      <c r="AI39" s="70"/>
      <c r="AJ39" s="77">
        <f t="shared" si="0"/>
        <v>0</v>
      </c>
      <c r="AO39" s="126"/>
      <c r="AP39" s="70"/>
      <c r="AQ39" s="244"/>
      <c r="AR39" s="192">
        <v>3245140</v>
      </c>
      <c r="AS39" s="193">
        <v>45000</v>
      </c>
      <c r="AT39" s="230">
        <v>42245</v>
      </c>
      <c r="AX39" s="126"/>
      <c r="AY39" s="70"/>
      <c r="AZ39" s="111"/>
      <c r="BA39" s="192">
        <v>3245192</v>
      </c>
      <c r="BB39" s="193">
        <v>30000</v>
      </c>
      <c r="BC39" s="230">
        <v>42261</v>
      </c>
    </row>
    <row r="40" spans="1:56" ht="16.5" customHeight="1" x14ac:dyDescent="0.25">
      <c r="A40" s="478"/>
      <c r="B40" s="478"/>
      <c r="C40" s="88"/>
      <c r="D40" s="464" t="s">
        <v>8</v>
      </c>
      <c r="E40" s="464"/>
      <c r="F40" s="17">
        <f>F37-J39-C37</f>
        <v>3843868.24</v>
      </c>
      <c r="I40" s="14"/>
      <c r="N40" s="85"/>
      <c r="P40" s="478"/>
      <c r="Q40" s="478"/>
      <c r="R40" s="88"/>
      <c r="S40" s="464" t="s">
        <v>8</v>
      </c>
      <c r="T40" s="464"/>
      <c r="U40" s="17">
        <f>U37-Y39-R37</f>
        <v>1960796.5</v>
      </c>
      <c r="X40" s="14"/>
      <c r="AC40" s="70">
        <v>90852.44</v>
      </c>
      <c r="AE40" s="74"/>
      <c r="AF40" s="126"/>
      <c r="AG40" s="70"/>
      <c r="AH40" s="71"/>
      <c r="AI40" s="70"/>
      <c r="AJ40" s="77">
        <v>0</v>
      </c>
      <c r="AO40" s="121"/>
      <c r="AP40" s="121"/>
      <c r="AQ40" s="121"/>
      <c r="AR40" s="117">
        <v>3245139</v>
      </c>
      <c r="AS40" s="118">
        <v>50000</v>
      </c>
      <c r="AT40" s="120">
        <v>42245</v>
      </c>
      <c r="AX40" s="126"/>
      <c r="AY40" s="70"/>
      <c r="AZ40" s="111"/>
      <c r="BA40" s="192">
        <v>3245193</v>
      </c>
      <c r="BB40" s="193">
        <v>57000</v>
      </c>
      <c r="BC40" s="230">
        <v>42261</v>
      </c>
    </row>
    <row r="41" spans="1:56" ht="19.5" customHeight="1" thickBot="1" x14ac:dyDescent="0.3">
      <c r="A41" s="8"/>
      <c r="B41" s="36"/>
      <c r="C41" s="88"/>
      <c r="D41" s="8"/>
      <c r="E41" s="36"/>
      <c r="F41" s="17">
        <v>0</v>
      </c>
      <c r="N41" s="85"/>
      <c r="P41" s="8"/>
      <c r="Q41" s="36"/>
      <c r="R41" s="88"/>
      <c r="S41" s="8"/>
      <c r="T41" s="36"/>
      <c r="U41" s="17">
        <v>0</v>
      </c>
      <c r="AC41" s="410">
        <f>SUM(AC20:AC40)</f>
        <v>1615376.5300000003</v>
      </c>
      <c r="AE41" s="74"/>
      <c r="AF41" s="126"/>
      <c r="AG41" s="70"/>
      <c r="AH41" s="71"/>
      <c r="AI41" s="70"/>
      <c r="AJ41" s="77">
        <f t="shared" si="0"/>
        <v>0</v>
      </c>
      <c r="AO41" s="121"/>
      <c r="AP41" s="121"/>
      <c r="AQ41" s="121"/>
      <c r="AR41" s="117">
        <v>3245137</v>
      </c>
      <c r="AS41" s="118">
        <v>40000</v>
      </c>
      <c r="AT41" s="120">
        <v>42245</v>
      </c>
      <c r="AX41" s="389"/>
      <c r="AY41" s="389"/>
      <c r="AZ41" s="389"/>
      <c r="BA41" s="400" t="s">
        <v>470</v>
      </c>
      <c r="BB41" s="401">
        <v>200</v>
      </c>
      <c r="BC41" s="378">
        <v>42268</v>
      </c>
      <c r="BD41" s="82">
        <v>42261</v>
      </c>
    </row>
    <row r="42" spans="1:56" ht="16.5" customHeight="1" thickTop="1" thickBot="1" x14ac:dyDescent="0.35">
      <c r="E42" s="259" t="s">
        <v>146</v>
      </c>
      <c r="F42" s="15">
        <v>-3723863.56</v>
      </c>
      <c r="I42" s="19" t="s">
        <v>9</v>
      </c>
      <c r="J42" s="56"/>
      <c r="K42" s="15">
        <v>212472.37</v>
      </c>
      <c r="N42" s="85"/>
      <c r="T42" s="259" t="s">
        <v>146</v>
      </c>
      <c r="U42" s="15">
        <v>-1615376.53</v>
      </c>
      <c r="X42" s="19" t="s">
        <v>9</v>
      </c>
      <c r="Y42" s="56"/>
      <c r="Z42" s="15">
        <v>506021.79</v>
      </c>
      <c r="AE42" s="74"/>
      <c r="AF42" s="126"/>
      <c r="AG42" s="70"/>
      <c r="AH42" s="71"/>
      <c r="AI42" s="70"/>
      <c r="AJ42" s="77">
        <f t="shared" si="0"/>
        <v>0</v>
      </c>
      <c r="AO42" s="387"/>
      <c r="AP42" s="130"/>
      <c r="AQ42" s="244"/>
      <c r="AR42" s="192">
        <v>3245138</v>
      </c>
      <c r="AS42" s="193">
        <v>58000</v>
      </c>
      <c r="AT42" s="230">
        <v>42245</v>
      </c>
      <c r="AX42" s="8"/>
      <c r="AY42" s="290">
        <f>SUM(AY32:AY41)</f>
        <v>320018</v>
      </c>
      <c r="AZ42" s="393"/>
      <c r="BA42" s="393"/>
      <c r="BB42" s="393">
        <f>SUM(BB32:BB41)</f>
        <v>320018</v>
      </c>
      <c r="BC42" s="388"/>
    </row>
    <row r="43" spans="1:56" thickTop="1" x14ac:dyDescent="0.25">
      <c r="E43" s="4" t="s">
        <v>10</v>
      </c>
      <c r="F43" s="3">
        <f>SUM(F40:F42)</f>
        <v>120004.68000000017</v>
      </c>
      <c r="K43" s="3">
        <f>F45+K42</f>
        <v>459545.80000000016</v>
      </c>
      <c r="N43" s="85"/>
      <c r="T43" s="4" t="s">
        <v>10</v>
      </c>
      <c r="U43" s="3">
        <f>SUM(U40:U42)</f>
        <v>345419.97</v>
      </c>
      <c r="Z43" s="3">
        <f>U45+Z42</f>
        <v>851441.76</v>
      </c>
      <c r="AE43" s="74"/>
      <c r="AF43" s="126"/>
      <c r="AG43" s="70"/>
      <c r="AH43" s="71"/>
      <c r="AI43" s="70"/>
      <c r="AJ43" s="77">
        <f t="shared" si="0"/>
        <v>0</v>
      </c>
      <c r="AO43" s="121"/>
      <c r="AP43" s="121"/>
      <c r="AQ43" s="121"/>
      <c r="AR43" s="117"/>
      <c r="AS43" s="118">
        <v>0</v>
      </c>
      <c r="AT43" s="120"/>
    </row>
    <row r="44" spans="1:56" ht="17.25" customHeight="1" thickBot="1" x14ac:dyDescent="0.3">
      <c r="D44" s="403" t="s">
        <v>31</v>
      </c>
      <c r="E44" s="403"/>
      <c r="F44" s="18">
        <v>127068.75</v>
      </c>
      <c r="I44" s="4" t="s">
        <v>2</v>
      </c>
      <c r="J44" s="327"/>
      <c r="K44" s="328">
        <v>-215416.75</v>
      </c>
      <c r="N44" s="85"/>
      <c r="S44" s="370" t="s">
        <v>31</v>
      </c>
      <c r="T44" s="370"/>
      <c r="U44" s="18">
        <v>0</v>
      </c>
      <c r="X44" s="4" t="s">
        <v>2</v>
      </c>
      <c r="Y44" s="327"/>
      <c r="Z44" s="328">
        <v>-215416.75</v>
      </c>
      <c r="AE44" s="74"/>
      <c r="AF44" s="126"/>
      <c r="AG44" s="70"/>
      <c r="AH44" s="71"/>
      <c r="AI44" s="70"/>
      <c r="AJ44" s="77">
        <f t="shared" si="0"/>
        <v>0</v>
      </c>
      <c r="AO44" s="389"/>
      <c r="AP44" s="389"/>
      <c r="AQ44" s="389"/>
      <c r="AR44" s="390"/>
      <c r="AS44" s="391">
        <v>0</v>
      </c>
      <c r="AT44" s="392"/>
    </row>
    <row r="45" spans="1:56" ht="20.25" customHeight="1" thickTop="1" thickBot="1" x14ac:dyDescent="0.35">
      <c r="E45" s="5" t="s">
        <v>11</v>
      </c>
      <c r="F45" s="6">
        <f>F44+F43</f>
        <v>247073.43000000017</v>
      </c>
      <c r="I45" s="461" t="s">
        <v>12</v>
      </c>
      <c r="J45" s="462"/>
      <c r="K45" s="93">
        <f>K43+K44</f>
        <v>244129.05000000016</v>
      </c>
      <c r="N45" s="85"/>
      <c r="T45" s="5" t="s">
        <v>11</v>
      </c>
      <c r="U45" s="6">
        <f>U44+U43</f>
        <v>345419.97</v>
      </c>
      <c r="X45" s="461" t="s">
        <v>12</v>
      </c>
      <c r="Y45" s="462"/>
      <c r="Z45" s="93">
        <f>Z43+Z44</f>
        <v>636025.01</v>
      </c>
      <c r="AE45" s="74"/>
      <c r="AF45" s="126"/>
      <c r="AG45" s="70"/>
      <c r="AH45" s="146"/>
      <c r="AI45" s="70"/>
      <c r="AJ45" s="77">
        <f t="shared" si="0"/>
        <v>0</v>
      </c>
      <c r="AO45" s="8"/>
      <c r="AP45" s="290">
        <f t="shared" ref="AP45" si="4">SUM(AP26:AP44)</f>
        <v>655885.5</v>
      </c>
      <c r="AQ45" s="393"/>
      <c r="AR45" s="393"/>
      <c r="AS45" s="393">
        <f>SUM(AS26:AS44)</f>
        <v>655885.5</v>
      </c>
      <c r="AT45" s="388"/>
    </row>
    <row r="46" spans="1:56" ht="17.25" customHeight="1" thickTop="1" x14ac:dyDescent="0.25">
      <c r="N46" s="127"/>
      <c r="AE46" s="74"/>
      <c r="AF46" s="126"/>
      <c r="AG46" s="70"/>
      <c r="AH46" s="146"/>
      <c r="AI46" s="70"/>
      <c r="AJ46" s="77">
        <f t="shared" si="0"/>
        <v>0</v>
      </c>
      <c r="AO46" s="8"/>
      <c r="AP46" s="8"/>
      <c r="AQ46" s="8"/>
      <c r="AR46" s="385"/>
      <c r="AS46" s="138"/>
      <c r="AT46" s="388"/>
    </row>
    <row r="47" spans="1:56" ht="15" x14ac:dyDescent="0.25">
      <c r="N47" s="85"/>
      <c r="AE47" s="74"/>
      <c r="AF47" s="126"/>
      <c r="AG47" s="70"/>
      <c r="AH47" s="146"/>
      <c r="AI47" s="274"/>
      <c r="AJ47" s="77">
        <f t="shared" si="0"/>
        <v>0</v>
      </c>
      <c r="AO47" s="8"/>
      <c r="AP47" s="8"/>
      <c r="AQ47" s="8"/>
      <c r="AR47" s="385"/>
      <c r="AS47" s="138"/>
      <c r="AT47" s="388"/>
      <c r="AU47" s="82"/>
    </row>
    <row r="48" spans="1:56" thickBot="1" x14ac:dyDescent="0.3">
      <c r="N48" s="85"/>
      <c r="AE48" s="74"/>
      <c r="AF48" s="126"/>
      <c r="AG48" s="70"/>
      <c r="AH48" s="146"/>
      <c r="AI48" s="274"/>
      <c r="AJ48" s="77">
        <f t="shared" si="0"/>
        <v>0</v>
      </c>
      <c r="AO48" s="8"/>
      <c r="AP48" s="8"/>
      <c r="AQ48" s="8"/>
      <c r="AR48" s="385"/>
      <c r="AS48" s="138"/>
      <c r="AT48" s="388"/>
    </row>
    <row r="49" spans="2:55" ht="19.5" customHeight="1" thickBot="1" x14ac:dyDescent="0.35">
      <c r="B49"/>
      <c r="C49"/>
      <c r="E49"/>
      <c r="F49"/>
      <c r="H49"/>
      <c r="I49"/>
      <c r="J49"/>
      <c r="K49"/>
      <c r="L49"/>
      <c r="M49"/>
      <c r="N49" s="85"/>
      <c r="Q49"/>
      <c r="R49"/>
      <c r="T49"/>
      <c r="U49"/>
      <c r="W49"/>
      <c r="X49"/>
      <c r="Y49"/>
      <c r="Z49"/>
      <c r="AA49"/>
      <c r="AB49"/>
      <c r="AC49"/>
      <c r="AE49" s="74"/>
      <c r="AF49" s="126"/>
      <c r="AG49" s="70"/>
      <c r="AH49" s="146"/>
      <c r="AI49" s="274"/>
      <c r="AJ49" s="77">
        <f t="shared" si="0"/>
        <v>0</v>
      </c>
      <c r="AO49" s="491">
        <v>1</v>
      </c>
      <c r="AP49" s="96" t="s">
        <v>124</v>
      </c>
      <c r="AQ49" s="96"/>
      <c r="AR49" s="97"/>
      <c r="AS49" s="386">
        <v>42259</v>
      </c>
      <c r="AT49" s="229"/>
      <c r="AX49" s="491">
        <v>1</v>
      </c>
      <c r="AY49" s="96" t="s">
        <v>124</v>
      </c>
      <c r="AZ49" s="96"/>
      <c r="BA49" s="97"/>
      <c r="BB49" s="372">
        <v>42270</v>
      </c>
      <c r="BC49" s="229"/>
    </row>
    <row r="50" spans="2:55" ht="16.5" customHeight="1" thickBot="1" x14ac:dyDescent="0.3">
      <c r="B50"/>
      <c r="C50"/>
      <c r="E50"/>
      <c r="F50"/>
      <c r="H50"/>
      <c r="I50"/>
      <c r="J50"/>
      <c r="K50"/>
      <c r="L50"/>
      <c r="M50"/>
      <c r="N50" s="85"/>
      <c r="Q50"/>
      <c r="R50"/>
      <c r="T50"/>
      <c r="U50"/>
      <c r="W50"/>
      <c r="X50"/>
      <c r="Y50"/>
      <c r="Z50"/>
      <c r="AA50"/>
      <c r="AB50"/>
      <c r="AC50"/>
      <c r="AE50" s="74"/>
      <c r="AF50" s="126"/>
      <c r="AG50" s="70"/>
      <c r="AH50" s="146"/>
      <c r="AI50" s="274"/>
      <c r="AJ50" s="77">
        <f t="shared" si="0"/>
        <v>0</v>
      </c>
      <c r="AO50" s="492"/>
      <c r="AP50" s="100"/>
      <c r="AQ50" s="100"/>
      <c r="AR50" s="101"/>
      <c r="AS50" s="102"/>
      <c r="AT50" s="229"/>
      <c r="AX50" s="492"/>
      <c r="AY50" s="100"/>
      <c r="AZ50" s="100"/>
      <c r="BA50" s="101"/>
      <c r="BB50" s="102"/>
      <c r="BC50" s="229"/>
    </row>
    <row r="51" spans="2:55" ht="16.5" thickBot="1" x14ac:dyDescent="0.3">
      <c r="B51"/>
      <c r="C51"/>
      <c r="E51"/>
      <c r="F51"/>
      <c r="H51" s="493"/>
      <c r="I51" s="493"/>
      <c r="J51" s="329"/>
      <c r="K51" s="330"/>
      <c r="L51"/>
      <c r="M51"/>
      <c r="N51" s="127"/>
      <c r="Q51"/>
      <c r="R51"/>
      <c r="T51"/>
      <c r="U51"/>
      <c r="W51" s="493"/>
      <c r="X51" s="493"/>
      <c r="Y51" s="329"/>
      <c r="Z51" s="330"/>
      <c r="AA51"/>
      <c r="AB51"/>
      <c r="AC51"/>
      <c r="AE51" s="74"/>
      <c r="AF51" s="126"/>
      <c r="AG51" s="70"/>
      <c r="AH51" s="146"/>
      <c r="AI51" s="274"/>
      <c r="AJ51" s="77">
        <f t="shared" si="0"/>
        <v>0</v>
      </c>
      <c r="AO51" s="302" t="s">
        <v>126</v>
      </c>
      <c r="AP51" s="302" t="s">
        <v>127</v>
      </c>
      <c r="AQ51" s="302"/>
      <c r="AR51" s="395" t="s">
        <v>128</v>
      </c>
      <c r="AS51" s="396" t="s">
        <v>129</v>
      </c>
      <c r="AT51" s="397"/>
      <c r="AX51" s="302" t="s">
        <v>126</v>
      </c>
      <c r="AY51" s="302" t="s">
        <v>127</v>
      </c>
      <c r="AZ51" s="302"/>
      <c r="BA51" s="395" t="s">
        <v>128</v>
      </c>
      <c r="BB51" s="396" t="s">
        <v>129</v>
      </c>
      <c r="BC51" s="397"/>
    </row>
    <row r="52" spans="2:55" ht="16.5" thickTop="1" x14ac:dyDescent="0.25">
      <c r="B52"/>
      <c r="C52"/>
      <c r="E52"/>
      <c r="F52"/>
      <c r="H52"/>
      <c r="I52"/>
      <c r="J52"/>
      <c r="K52"/>
      <c r="L52"/>
      <c r="M52"/>
      <c r="N52" s="85"/>
      <c r="Q52"/>
      <c r="R52"/>
      <c r="T52"/>
      <c r="U52"/>
      <c r="W52"/>
      <c r="X52"/>
      <c r="Y52"/>
      <c r="Z52"/>
      <c r="AA52"/>
      <c r="AB52"/>
      <c r="AC52"/>
      <c r="AE52" s="74"/>
      <c r="AF52" s="126"/>
      <c r="AG52" s="70"/>
      <c r="AH52" s="146"/>
      <c r="AI52" s="274"/>
      <c r="AJ52" s="77">
        <f t="shared" si="0"/>
        <v>0</v>
      </c>
      <c r="AO52" s="394" t="s">
        <v>530</v>
      </c>
      <c r="AP52" s="298">
        <v>202.48</v>
      </c>
      <c r="AQ52" s="298"/>
      <c r="AR52" s="299">
        <v>3245136</v>
      </c>
      <c r="AS52" s="300">
        <v>29821</v>
      </c>
      <c r="AT52" s="301">
        <v>42245</v>
      </c>
      <c r="AX52" s="394" t="s">
        <v>570</v>
      </c>
      <c r="AY52" s="298">
        <v>218195.37</v>
      </c>
      <c r="AZ52" s="298"/>
      <c r="BA52" s="299">
        <v>3245191</v>
      </c>
      <c r="BB52" s="300">
        <v>35450</v>
      </c>
      <c r="BC52" s="301">
        <v>42261</v>
      </c>
    </row>
    <row r="53" spans="2:55" x14ac:dyDescent="0.25">
      <c r="B53"/>
      <c r="C53"/>
      <c r="E53"/>
      <c r="F53"/>
      <c r="H53"/>
      <c r="I53"/>
      <c r="J53"/>
      <c r="K53"/>
      <c r="L53"/>
      <c r="M53"/>
      <c r="N53" s="85"/>
      <c r="Q53"/>
      <c r="R53"/>
      <c r="T53"/>
      <c r="U53"/>
      <c r="W53"/>
      <c r="X53"/>
      <c r="Y53"/>
      <c r="Z53"/>
      <c r="AA53"/>
      <c r="AB53"/>
      <c r="AC53"/>
      <c r="AE53" s="74"/>
      <c r="AF53" s="126"/>
      <c r="AG53" s="70"/>
      <c r="AH53" s="146"/>
      <c r="AI53" s="274"/>
      <c r="AJ53" s="77">
        <f t="shared" si="0"/>
        <v>0</v>
      </c>
      <c r="AO53" s="126" t="s">
        <v>532</v>
      </c>
      <c r="AP53" s="70">
        <v>22393.8</v>
      </c>
      <c r="AQ53" s="111"/>
      <c r="AR53" s="186">
        <v>3245135</v>
      </c>
      <c r="AS53" s="187">
        <v>50000</v>
      </c>
      <c r="AT53" s="230">
        <v>42246</v>
      </c>
      <c r="AX53" s="126" t="s">
        <v>572</v>
      </c>
      <c r="AY53" s="70">
        <v>5755.3</v>
      </c>
      <c r="AZ53" s="111"/>
      <c r="BA53" s="186">
        <v>3245063</v>
      </c>
      <c r="BB53" s="187">
        <v>5913</v>
      </c>
      <c r="BC53" s="230">
        <v>42262</v>
      </c>
    </row>
    <row r="54" spans="2:55" x14ac:dyDescent="0.25">
      <c r="B54"/>
      <c r="C54"/>
      <c r="E54"/>
      <c r="F54"/>
      <c r="H54"/>
      <c r="I54"/>
      <c r="J54"/>
      <c r="K54"/>
      <c r="L54"/>
      <c r="M54"/>
      <c r="N54" s="85"/>
      <c r="Q54"/>
      <c r="R54"/>
      <c r="T54"/>
      <c r="U54"/>
      <c r="W54"/>
      <c r="X54"/>
      <c r="Y54"/>
      <c r="Z54"/>
      <c r="AA54"/>
      <c r="AB54"/>
      <c r="AC54"/>
      <c r="AE54" s="74"/>
      <c r="AF54" s="126"/>
      <c r="AG54" s="70"/>
      <c r="AH54" s="146"/>
      <c r="AI54" s="274"/>
      <c r="AJ54" s="77">
        <f t="shared" si="0"/>
        <v>0</v>
      </c>
      <c r="AO54" s="126" t="s">
        <v>533</v>
      </c>
      <c r="AP54" s="70">
        <v>119372.82</v>
      </c>
      <c r="AQ54" s="111"/>
      <c r="AR54" s="186">
        <v>3245134</v>
      </c>
      <c r="AS54" s="187">
        <v>25000</v>
      </c>
      <c r="AT54" s="230">
        <v>42246</v>
      </c>
      <c r="AX54" s="126" t="s">
        <v>573</v>
      </c>
      <c r="AY54" s="70">
        <v>15742</v>
      </c>
      <c r="AZ54" s="111"/>
      <c r="BA54" s="186">
        <v>3245062</v>
      </c>
      <c r="BB54" s="187">
        <v>15960</v>
      </c>
      <c r="BC54" s="230">
        <v>42262</v>
      </c>
    </row>
    <row r="55" spans="2:55" x14ac:dyDescent="0.25">
      <c r="B55"/>
      <c r="C55"/>
      <c r="E55"/>
      <c r="F55"/>
      <c r="H55"/>
      <c r="I55"/>
      <c r="J55"/>
      <c r="K55"/>
      <c r="L55"/>
      <c r="M55"/>
      <c r="N55" s="85"/>
      <c r="Q55"/>
      <c r="R55"/>
      <c r="T55"/>
      <c r="U55"/>
      <c r="W55"/>
      <c r="X55"/>
      <c r="Y55"/>
      <c r="Z55"/>
      <c r="AA55"/>
      <c r="AB55"/>
      <c r="AC55"/>
      <c r="AE55" s="74"/>
      <c r="AF55" s="126"/>
      <c r="AG55" s="70"/>
      <c r="AH55" s="146"/>
      <c r="AI55" s="274"/>
      <c r="AJ55" s="77">
        <f t="shared" si="0"/>
        <v>0</v>
      </c>
      <c r="AO55" s="126" t="s">
        <v>534</v>
      </c>
      <c r="AP55" s="70">
        <v>57050.5</v>
      </c>
      <c r="AQ55" s="111"/>
      <c r="AR55" s="186">
        <v>3245132</v>
      </c>
      <c r="AS55" s="187">
        <v>23094.5</v>
      </c>
      <c r="AT55" s="230">
        <v>42246</v>
      </c>
      <c r="AX55" s="126" t="s">
        <v>574</v>
      </c>
      <c r="AY55" s="70">
        <v>6065.1</v>
      </c>
      <c r="AZ55" s="111"/>
      <c r="BA55" s="186">
        <v>3209335</v>
      </c>
      <c r="BB55" s="187">
        <v>29160</v>
      </c>
      <c r="BC55" s="230">
        <v>42262</v>
      </c>
    </row>
    <row r="56" spans="2:55" ht="19.5" customHeight="1" x14ac:dyDescent="0.25">
      <c r="B56"/>
      <c r="C56"/>
      <c r="E56"/>
      <c r="F56"/>
      <c r="H56"/>
      <c r="I56"/>
      <c r="J56"/>
      <c r="K56"/>
      <c r="L56"/>
      <c r="M56"/>
      <c r="N56" s="140"/>
      <c r="Q56"/>
      <c r="R56"/>
      <c r="T56"/>
      <c r="U56"/>
      <c r="W56"/>
      <c r="X56"/>
      <c r="Y56"/>
      <c r="Z56"/>
      <c r="AA56"/>
      <c r="AB56"/>
      <c r="AC56"/>
      <c r="AE56" s="74"/>
      <c r="AF56" s="126"/>
      <c r="AG56" s="70"/>
      <c r="AH56" s="146"/>
      <c r="AI56" s="274"/>
      <c r="AJ56" s="77">
        <f t="shared" si="0"/>
        <v>0</v>
      </c>
      <c r="AO56" s="126" t="s">
        <v>535</v>
      </c>
      <c r="AP56" s="70">
        <v>9051.9</v>
      </c>
      <c r="AQ56" s="111"/>
      <c r="AR56" s="186">
        <v>3245133</v>
      </c>
      <c r="AS56" s="187">
        <v>28000</v>
      </c>
      <c r="AT56" s="230">
        <v>42247</v>
      </c>
      <c r="AX56" s="126" t="s">
        <v>577</v>
      </c>
      <c r="AY56" s="70">
        <v>4313.2299999999996</v>
      </c>
      <c r="AZ56" s="111" t="s">
        <v>165</v>
      </c>
      <c r="BA56" s="186">
        <v>3245189</v>
      </c>
      <c r="BB56" s="187">
        <v>50000</v>
      </c>
      <c r="BC56" s="230">
        <v>42262</v>
      </c>
    </row>
    <row r="57" spans="2:55" ht="16.5" customHeight="1" x14ac:dyDescent="0.25">
      <c r="B57"/>
      <c r="C57"/>
      <c r="E57"/>
      <c r="F57"/>
      <c r="H57"/>
      <c r="I57"/>
      <c r="J57"/>
      <c r="K57"/>
      <c r="L57"/>
      <c r="M57"/>
      <c r="Q57"/>
      <c r="R57"/>
      <c r="T57"/>
      <c r="U57"/>
      <c r="W57"/>
      <c r="X57"/>
      <c r="Y57"/>
      <c r="Z57"/>
      <c r="AA57"/>
      <c r="AB57"/>
      <c r="AC57"/>
      <c r="AE57" s="74"/>
      <c r="AF57" s="126"/>
      <c r="AG57" s="70"/>
      <c r="AH57" s="146"/>
      <c r="AI57" s="274"/>
      <c r="AJ57" s="77">
        <f t="shared" si="0"/>
        <v>0</v>
      </c>
      <c r="AO57" s="126" t="s">
        <v>536</v>
      </c>
      <c r="AP57" s="70">
        <v>21477</v>
      </c>
      <c r="AQ57" s="190"/>
      <c r="AR57" s="186">
        <v>3245130</v>
      </c>
      <c r="AS57" s="187">
        <v>26749</v>
      </c>
      <c r="AT57" s="230">
        <v>42247</v>
      </c>
      <c r="AX57" s="126"/>
      <c r="AY57" s="70">
        <v>0</v>
      </c>
      <c r="AZ57" s="190"/>
      <c r="BA57" s="186">
        <v>3245190</v>
      </c>
      <c r="BB57" s="187">
        <v>50000</v>
      </c>
      <c r="BC57" s="230">
        <v>42262</v>
      </c>
    </row>
    <row r="58" spans="2:55" x14ac:dyDescent="0.25">
      <c r="B58"/>
      <c r="C58"/>
      <c r="E58"/>
      <c r="F58"/>
      <c r="H58"/>
      <c r="I58"/>
      <c r="J58"/>
      <c r="K58"/>
      <c r="L58"/>
      <c r="M58"/>
      <c r="Q58"/>
      <c r="R58"/>
      <c r="T58"/>
      <c r="U58"/>
      <c r="W58"/>
      <c r="X58"/>
      <c r="Y58"/>
      <c r="Z58"/>
      <c r="AA58"/>
      <c r="AB58"/>
      <c r="AC58"/>
      <c r="AE58" s="74"/>
      <c r="AF58" s="126"/>
      <c r="AG58" s="70"/>
      <c r="AH58" s="146"/>
      <c r="AI58" s="274"/>
      <c r="AJ58" s="77">
        <f t="shared" si="0"/>
        <v>0</v>
      </c>
      <c r="AO58" s="126" t="s">
        <v>537</v>
      </c>
      <c r="AP58" s="70">
        <v>296559.25</v>
      </c>
      <c r="AQ58" s="226"/>
      <c r="AR58" s="186">
        <v>3245294</v>
      </c>
      <c r="AS58" s="187">
        <v>28544</v>
      </c>
      <c r="AT58" s="230">
        <v>42248</v>
      </c>
      <c r="AU58" s="82">
        <v>42247</v>
      </c>
      <c r="AX58" s="126"/>
      <c r="AY58" s="70">
        <v>0</v>
      </c>
      <c r="AZ58" s="226"/>
      <c r="BA58" s="186">
        <v>3245187</v>
      </c>
      <c r="BB58" s="187">
        <v>25000</v>
      </c>
      <c r="BC58" s="230">
        <v>42263</v>
      </c>
    </row>
    <row r="59" spans="2:55" ht="15" x14ac:dyDescent="0.25">
      <c r="B59"/>
      <c r="C59"/>
      <c r="E59"/>
      <c r="F59"/>
      <c r="H59"/>
      <c r="I59"/>
      <c r="J59"/>
      <c r="K59"/>
      <c r="L59"/>
      <c r="M59"/>
      <c r="Q59"/>
      <c r="R59"/>
      <c r="T59"/>
      <c r="U59"/>
      <c r="W59"/>
      <c r="X59"/>
      <c r="Y59"/>
      <c r="Z59"/>
      <c r="AA59"/>
      <c r="AB59"/>
      <c r="AC59"/>
      <c r="AE59" s="74"/>
      <c r="AF59" s="126"/>
      <c r="AG59" s="70"/>
      <c r="AH59" s="146"/>
      <c r="AI59" s="275"/>
      <c r="AJ59" s="77">
        <f t="shared" si="0"/>
        <v>0</v>
      </c>
      <c r="AO59" s="126" t="s">
        <v>538</v>
      </c>
      <c r="AP59" s="70">
        <v>20518.400000000001</v>
      </c>
      <c r="AQ59" s="111"/>
      <c r="AR59" s="192">
        <v>3245296</v>
      </c>
      <c r="AS59" s="193">
        <v>49273</v>
      </c>
      <c r="AT59" s="230">
        <v>42248</v>
      </c>
      <c r="AU59" s="82">
        <v>42247</v>
      </c>
      <c r="AX59" s="126"/>
      <c r="AY59" s="70">
        <v>0</v>
      </c>
      <c r="AZ59" s="111"/>
      <c r="BA59" s="192">
        <v>3245185</v>
      </c>
      <c r="BB59" s="193">
        <v>38588</v>
      </c>
      <c r="BC59" s="230">
        <v>42263</v>
      </c>
    </row>
    <row r="60" spans="2:55" thickBot="1" x14ac:dyDescent="0.3">
      <c r="B60"/>
      <c r="C60"/>
      <c r="E60"/>
      <c r="F60"/>
      <c r="H60"/>
      <c r="I60"/>
      <c r="J60"/>
      <c r="K60"/>
      <c r="L60"/>
      <c r="M60"/>
      <c r="Q60"/>
      <c r="R60"/>
      <c r="T60"/>
      <c r="U60"/>
      <c r="W60"/>
      <c r="X60"/>
      <c r="Y60"/>
      <c r="Z60"/>
      <c r="AA60"/>
      <c r="AB60"/>
      <c r="AC60"/>
      <c r="AE60" s="74"/>
      <c r="AF60" s="126"/>
      <c r="AG60" s="70"/>
      <c r="AH60" s="146"/>
      <c r="AI60" s="246"/>
      <c r="AJ60" s="77">
        <f t="shared" si="0"/>
        <v>0</v>
      </c>
      <c r="AO60" s="126" t="s">
        <v>539</v>
      </c>
      <c r="AP60" s="70">
        <v>191210.75</v>
      </c>
      <c r="AQ60" s="111"/>
      <c r="AR60" s="192" t="s">
        <v>470</v>
      </c>
      <c r="AS60" s="193">
        <v>474</v>
      </c>
      <c r="AT60" s="230">
        <v>42254</v>
      </c>
      <c r="AU60" s="82">
        <v>42246</v>
      </c>
      <c r="AX60" s="373"/>
      <c r="AY60" s="374">
        <v>0</v>
      </c>
      <c r="AZ60" s="405"/>
      <c r="BA60" s="406"/>
      <c r="BB60" s="377">
        <v>0</v>
      </c>
      <c r="BC60" s="378"/>
    </row>
    <row r="61" spans="2:55" thickTop="1" x14ac:dyDescent="0.25">
      <c r="B61"/>
      <c r="C61"/>
      <c r="E61"/>
      <c r="F61"/>
      <c r="H61"/>
      <c r="I61"/>
      <c r="J61"/>
      <c r="K61"/>
      <c r="L61"/>
      <c r="M61"/>
      <c r="Q61"/>
      <c r="R61"/>
      <c r="T61"/>
      <c r="U61"/>
      <c r="W61"/>
      <c r="X61"/>
      <c r="Y61"/>
      <c r="Z61"/>
      <c r="AA61"/>
      <c r="AB61"/>
      <c r="AC61"/>
      <c r="AE61" s="74"/>
      <c r="AF61" s="126"/>
      <c r="AG61" s="70"/>
      <c r="AH61" s="71"/>
      <c r="AI61" s="213"/>
      <c r="AJ61" s="77">
        <f t="shared" si="0"/>
        <v>0</v>
      </c>
      <c r="AO61" s="126" t="s">
        <v>540</v>
      </c>
      <c r="AP61" s="70">
        <v>4060.2</v>
      </c>
      <c r="AQ61" s="111"/>
      <c r="AR61" s="192">
        <v>3245131</v>
      </c>
      <c r="AS61" s="193">
        <v>82210</v>
      </c>
      <c r="AT61" s="230">
        <v>42248</v>
      </c>
      <c r="AX61" s="350"/>
      <c r="AY61" s="85">
        <f>SUM(AY52:AY60)</f>
        <v>250071</v>
      </c>
      <c r="AZ61" s="203"/>
      <c r="BA61" s="204"/>
      <c r="BB61" s="89">
        <f>SUM(BB52:BB60)</f>
        <v>250071</v>
      </c>
      <c r="BC61" s="233"/>
    </row>
    <row r="62" spans="2:55" ht="15" x14ac:dyDescent="0.25">
      <c r="B62"/>
      <c r="C62"/>
      <c r="E62"/>
      <c r="F62"/>
      <c r="H62"/>
      <c r="I62"/>
      <c r="J62"/>
      <c r="K62"/>
      <c r="L62"/>
      <c r="M62"/>
      <c r="Q62"/>
      <c r="R62"/>
      <c r="T62"/>
      <c r="U62"/>
      <c r="W62"/>
      <c r="X62"/>
      <c r="Y62"/>
      <c r="Z62"/>
      <c r="AA62"/>
      <c r="AB62"/>
      <c r="AC62"/>
      <c r="AE62" s="74"/>
      <c r="AF62" s="126"/>
      <c r="AG62" s="70"/>
      <c r="AH62" s="131"/>
      <c r="AI62" s="85"/>
      <c r="AJ62" s="77">
        <f t="shared" si="0"/>
        <v>0</v>
      </c>
      <c r="AO62" s="126" t="s">
        <v>541</v>
      </c>
      <c r="AP62" s="70">
        <v>176936</v>
      </c>
      <c r="AQ62" s="111"/>
      <c r="AR62" s="192" t="s">
        <v>470</v>
      </c>
      <c r="AS62" s="193">
        <v>2562</v>
      </c>
      <c r="AT62" s="230">
        <v>42244</v>
      </c>
      <c r="AU62" s="82">
        <v>42249</v>
      </c>
      <c r="AX62" s="350"/>
      <c r="AY62" s="85"/>
      <c r="AZ62" s="203"/>
      <c r="BA62" s="204"/>
      <c r="BB62" s="205"/>
      <c r="BC62" s="233"/>
    </row>
    <row r="63" spans="2:55" ht="15" x14ac:dyDescent="0.25">
      <c r="B63"/>
      <c r="C63"/>
      <c r="E63"/>
      <c r="F63"/>
      <c r="H63"/>
      <c r="I63"/>
      <c r="J63"/>
      <c r="K63"/>
      <c r="L63"/>
      <c r="M63"/>
      <c r="Q63"/>
      <c r="R63"/>
      <c r="T63"/>
      <c r="U63"/>
      <c r="W63"/>
      <c r="X63"/>
      <c r="Y63"/>
      <c r="Z63"/>
      <c r="AA63"/>
      <c r="AB63"/>
      <c r="AC63"/>
      <c r="AE63" s="74"/>
      <c r="AF63" s="126"/>
      <c r="AG63" s="70"/>
      <c r="AH63" s="131"/>
      <c r="AI63" s="85"/>
      <c r="AJ63" s="77">
        <f t="shared" si="0"/>
        <v>0</v>
      </c>
      <c r="AO63" s="126" t="s">
        <v>542</v>
      </c>
      <c r="AP63" s="70">
        <v>12863.4</v>
      </c>
      <c r="AQ63" s="226"/>
      <c r="AR63" s="192" t="s">
        <v>470</v>
      </c>
      <c r="AS63" s="193">
        <v>7866</v>
      </c>
      <c r="AT63" s="230">
        <v>42247</v>
      </c>
      <c r="AU63" s="82">
        <v>42249</v>
      </c>
      <c r="AX63" s="350"/>
      <c r="AY63" s="85"/>
      <c r="AZ63" s="263"/>
      <c r="BA63" s="204"/>
      <c r="BB63" s="205"/>
      <c r="BC63" s="233"/>
    </row>
    <row r="64" spans="2:55" ht="15" x14ac:dyDescent="0.25">
      <c r="B64"/>
      <c r="C64"/>
      <c r="E64"/>
      <c r="F64"/>
      <c r="H64"/>
      <c r="I64"/>
      <c r="J64"/>
      <c r="K64"/>
      <c r="L64"/>
      <c r="M64"/>
      <c r="Q64"/>
      <c r="R64"/>
      <c r="T64"/>
      <c r="U64"/>
      <c r="W64"/>
      <c r="X64"/>
      <c r="Y64"/>
      <c r="Z64"/>
      <c r="AA64"/>
      <c r="AB64"/>
      <c r="AC64"/>
      <c r="AE64" s="74"/>
      <c r="AF64" s="126"/>
      <c r="AG64" s="70"/>
      <c r="AH64" s="131"/>
      <c r="AI64" s="85"/>
      <c r="AJ64" s="77">
        <f t="shared" si="0"/>
        <v>0</v>
      </c>
      <c r="AO64" s="126" t="s">
        <v>551</v>
      </c>
      <c r="AP64" s="70">
        <v>55907</v>
      </c>
      <c r="AQ64" s="226"/>
      <c r="AR64" s="192" t="s">
        <v>470</v>
      </c>
      <c r="AS64" s="193">
        <v>2020</v>
      </c>
      <c r="AT64" s="230">
        <v>42244</v>
      </c>
      <c r="AU64" s="82">
        <v>42249</v>
      </c>
      <c r="AX64" s="350"/>
      <c r="AY64" s="85"/>
      <c r="AZ64" s="145"/>
      <c r="BA64" s="204"/>
      <c r="BB64" s="205"/>
      <c r="BC64" s="233"/>
    </row>
    <row r="65" spans="2:55" ht="15" x14ac:dyDescent="0.25">
      <c r="B65"/>
      <c r="C65"/>
      <c r="E65"/>
      <c r="F65"/>
      <c r="H65"/>
      <c r="I65"/>
      <c r="J65"/>
      <c r="K65"/>
      <c r="L65"/>
      <c r="M65"/>
      <c r="Q65"/>
      <c r="R65"/>
      <c r="T65"/>
      <c r="U65"/>
      <c r="W65"/>
      <c r="X65"/>
      <c r="Y65"/>
      <c r="Z65"/>
      <c r="AA65"/>
      <c r="AB65"/>
      <c r="AC65"/>
      <c r="AE65" s="74"/>
      <c r="AF65" s="126"/>
      <c r="AG65" s="70"/>
      <c r="AH65" s="131"/>
      <c r="AI65" s="85"/>
      <c r="AJ65" s="77">
        <f t="shared" si="0"/>
        <v>0</v>
      </c>
      <c r="AO65" s="126"/>
      <c r="AP65" s="70"/>
      <c r="AQ65" s="244"/>
      <c r="AR65" s="192">
        <v>3245129</v>
      </c>
      <c r="AS65" s="193">
        <v>30000</v>
      </c>
      <c r="AT65" s="230">
        <v>42249</v>
      </c>
      <c r="AX65" s="350"/>
      <c r="AY65" s="85"/>
      <c r="AZ65" s="263"/>
      <c r="BA65" s="204"/>
      <c r="BB65" s="205"/>
      <c r="BC65" s="233"/>
    </row>
    <row r="66" spans="2:55" ht="15" x14ac:dyDescent="0.25">
      <c r="B66"/>
      <c r="C66"/>
      <c r="E66"/>
      <c r="F66"/>
      <c r="H66"/>
      <c r="I66"/>
      <c r="J66"/>
      <c r="K66"/>
      <c r="L66"/>
      <c r="M66"/>
      <c r="Q66"/>
      <c r="R66"/>
      <c r="T66"/>
      <c r="U66"/>
      <c r="W66"/>
      <c r="X66"/>
      <c r="Y66"/>
      <c r="Z66"/>
      <c r="AA66"/>
      <c r="AB66"/>
      <c r="AC66"/>
      <c r="AE66" s="74"/>
      <c r="AF66" s="126"/>
      <c r="AG66" s="70"/>
      <c r="AH66" s="131"/>
      <c r="AI66" s="85"/>
      <c r="AJ66" s="77">
        <f t="shared" si="0"/>
        <v>0</v>
      </c>
      <c r="AO66" s="121"/>
      <c r="AP66" s="121"/>
      <c r="AQ66" s="121"/>
      <c r="AR66" s="117">
        <v>3245127</v>
      </c>
      <c r="AS66" s="118">
        <v>32000</v>
      </c>
      <c r="AT66" s="120">
        <v>42249</v>
      </c>
      <c r="AX66" s="8"/>
      <c r="AY66" s="8"/>
      <c r="AZ66" s="8"/>
      <c r="BA66" s="402"/>
      <c r="BB66" s="138"/>
      <c r="BC66" s="388"/>
    </row>
    <row r="67" spans="2:55" ht="15" x14ac:dyDescent="0.25">
      <c r="B67"/>
      <c r="C67"/>
      <c r="E67"/>
      <c r="F67"/>
      <c r="H67"/>
      <c r="I67"/>
      <c r="J67"/>
      <c r="K67"/>
      <c r="L67"/>
      <c r="M67"/>
      <c r="Q67"/>
      <c r="R67"/>
      <c r="T67"/>
      <c r="U67"/>
      <c r="W67"/>
      <c r="X67"/>
      <c r="Y67"/>
      <c r="Z67"/>
      <c r="AA67"/>
      <c r="AB67"/>
      <c r="AC67"/>
      <c r="AE67" s="74"/>
      <c r="AF67" s="126"/>
      <c r="AG67" s="70"/>
      <c r="AH67" s="131"/>
      <c r="AI67" s="85"/>
      <c r="AJ67" s="77">
        <f t="shared" si="0"/>
        <v>0</v>
      </c>
      <c r="AO67" s="121"/>
      <c r="AP67" s="121"/>
      <c r="AQ67" s="121"/>
      <c r="AR67" s="117">
        <v>3245128</v>
      </c>
      <c r="AS67" s="118">
        <v>40000</v>
      </c>
      <c r="AT67" s="120">
        <v>42249</v>
      </c>
      <c r="AX67" s="8"/>
      <c r="AY67" s="8"/>
      <c r="AZ67" s="8"/>
      <c r="BA67" s="402"/>
      <c r="BB67" s="138"/>
      <c r="BC67" s="388"/>
    </row>
    <row r="68" spans="2:55" ht="15" x14ac:dyDescent="0.25">
      <c r="B68"/>
      <c r="C68"/>
      <c r="E68"/>
      <c r="F68"/>
      <c r="H68"/>
      <c r="I68"/>
      <c r="J68"/>
      <c r="K68"/>
      <c r="L68"/>
      <c r="M68"/>
      <c r="Q68"/>
      <c r="R68"/>
      <c r="T68"/>
      <c r="U68"/>
      <c r="W68"/>
      <c r="X68"/>
      <c r="Y68"/>
      <c r="Z68"/>
      <c r="AA68"/>
      <c r="AB68"/>
      <c r="AC68"/>
      <c r="AE68" s="74"/>
      <c r="AF68" s="126"/>
      <c r="AG68" s="70"/>
      <c r="AH68" s="131"/>
      <c r="AI68" s="85"/>
      <c r="AJ68" s="77">
        <f t="shared" ref="AJ68:AJ70" si="5">AG68-AI68</f>
        <v>0</v>
      </c>
      <c r="AO68" s="387"/>
      <c r="AP68" s="130"/>
      <c r="AQ68" s="244"/>
      <c r="AR68" s="192" t="s">
        <v>470</v>
      </c>
      <c r="AS68" s="193">
        <v>33757</v>
      </c>
      <c r="AT68" s="230">
        <v>42254</v>
      </c>
      <c r="AU68" s="82">
        <v>42249</v>
      </c>
      <c r="AX68" s="350"/>
      <c r="AY68" s="85"/>
      <c r="AZ68" s="263"/>
      <c r="BA68" s="204"/>
      <c r="BB68" s="205"/>
      <c r="BC68" s="233"/>
    </row>
    <row r="69" spans="2:55" ht="15" x14ac:dyDescent="0.25">
      <c r="B69"/>
      <c r="C69"/>
      <c r="E69"/>
      <c r="F69"/>
      <c r="H69"/>
      <c r="I69"/>
      <c r="J69"/>
      <c r="K69"/>
      <c r="L69"/>
      <c r="M69"/>
      <c r="Q69"/>
      <c r="R69"/>
      <c r="T69"/>
      <c r="U69"/>
      <c r="W69"/>
      <c r="X69"/>
      <c r="Y69"/>
      <c r="Z69"/>
      <c r="AA69"/>
      <c r="AB69"/>
      <c r="AC69"/>
      <c r="AE69" s="74"/>
      <c r="AF69" s="126"/>
      <c r="AG69" s="70"/>
      <c r="AH69" s="131"/>
      <c r="AI69" s="85"/>
      <c r="AJ69" s="77">
        <f t="shared" si="5"/>
        <v>0</v>
      </c>
      <c r="AO69" s="121"/>
      <c r="AP69" s="121"/>
      <c r="AQ69" s="121"/>
      <c r="AR69" s="117" t="s">
        <v>470</v>
      </c>
      <c r="AS69" s="118">
        <v>42000</v>
      </c>
      <c r="AT69" s="120">
        <v>42254</v>
      </c>
      <c r="AU69" s="82">
        <v>42250</v>
      </c>
      <c r="AX69" s="8"/>
      <c r="AY69" s="8"/>
      <c r="AZ69" s="8"/>
      <c r="BA69" s="402"/>
      <c r="BB69" s="138"/>
      <c r="BC69" s="388"/>
    </row>
    <row r="70" spans="2:55" thickBot="1" x14ac:dyDescent="0.3">
      <c r="B70"/>
      <c r="C70"/>
      <c r="E70"/>
      <c r="F70"/>
      <c r="H70"/>
      <c r="I70"/>
      <c r="J70"/>
      <c r="K70"/>
      <c r="L70"/>
      <c r="M70"/>
      <c r="Q70"/>
      <c r="R70"/>
      <c r="T70"/>
      <c r="U70"/>
      <c r="W70"/>
      <c r="X70"/>
      <c r="Y70"/>
      <c r="Z70"/>
      <c r="AA70"/>
      <c r="AB70"/>
      <c r="AC70"/>
      <c r="AE70" s="23"/>
      <c r="AF70" s="142"/>
      <c r="AG70" s="133"/>
      <c r="AH70" s="142"/>
      <c r="AI70" s="143"/>
      <c r="AJ70" s="134">
        <f t="shared" si="5"/>
        <v>0</v>
      </c>
      <c r="AO70" s="121"/>
      <c r="AP70" s="121"/>
      <c r="AQ70" s="121"/>
      <c r="AR70" s="121" t="s">
        <v>470</v>
      </c>
      <c r="AS70" s="118">
        <v>30000</v>
      </c>
      <c r="AT70" s="120">
        <v>42254</v>
      </c>
      <c r="AU70" s="82">
        <v>42250</v>
      </c>
      <c r="AX70" s="8"/>
      <c r="AY70" s="8"/>
      <c r="AZ70" s="8"/>
      <c r="BA70" s="402"/>
      <c r="BB70" s="138"/>
      <c r="BC70" s="388"/>
    </row>
    <row r="71" spans="2:55" ht="16.5" thickTop="1" x14ac:dyDescent="0.25">
      <c r="B71"/>
      <c r="C71"/>
      <c r="E71"/>
      <c r="F71"/>
      <c r="H71"/>
      <c r="I71"/>
      <c r="J71"/>
      <c r="K71"/>
      <c r="L71"/>
      <c r="M71"/>
      <c r="Q71"/>
      <c r="R71"/>
      <c r="T71"/>
      <c r="U71"/>
      <c r="W71"/>
      <c r="X71"/>
      <c r="Y71"/>
      <c r="Z71"/>
      <c r="AA71"/>
      <c r="AB71"/>
      <c r="AC71"/>
      <c r="AE71"/>
      <c r="AF71"/>
      <c r="AG71" s="132">
        <f>SUM(AG4:AG70)</f>
        <v>2446664.9300000006</v>
      </c>
      <c r="AH71" s="132"/>
      <c r="AI71" s="144">
        <f t="shared" ref="AI71" si="6">SUM(AI4:AI70)</f>
        <v>2423385.0600000005</v>
      </c>
      <c r="AJ71" s="144">
        <f>SUM(AJ4:AJ70)</f>
        <v>23279.87</v>
      </c>
      <c r="AO71" s="121"/>
      <c r="AP71" s="121"/>
      <c r="AQ71" s="121"/>
      <c r="AR71" s="121" t="s">
        <v>470</v>
      </c>
      <c r="AS71" s="118">
        <v>31000</v>
      </c>
      <c r="AT71" s="120">
        <v>42254</v>
      </c>
      <c r="AU71" s="82">
        <v>42250</v>
      </c>
      <c r="AX71" s="8"/>
      <c r="AY71" s="8"/>
      <c r="AZ71" s="8"/>
      <c r="BA71" s="402"/>
      <c r="BB71" s="138"/>
      <c r="BC71" s="388"/>
    </row>
    <row r="72" spans="2:55" ht="15" x14ac:dyDescent="0.25">
      <c r="B72"/>
      <c r="C72"/>
      <c r="E72"/>
      <c r="F72"/>
      <c r="H72"/>
      <c r="I72"/>
      <c r="J72"/>
      <c r="K72"/>
      <c r="L72"/>
      <c r="M72"/>
      <c r="Q72"/>
      <c r="R72"/>
      <c r="T72"/>
      <c r="U72"/>
      <c r="W72"/>
      <c r="X72"/>
      <c r="Y72"/>
      <c r="Z72"/>
      <c r="AA72"/>
      <c r="AB72"/>
      <c r="AC72"/>
      <c r="AE72" s="8"/>
      <c r="AF72" s="8"/>
      <c r="AG72" s="8"/>
      <c r="AH72" s="8"/>
      <c r="AI72" s="145"/>
      <c r="AJ72" s="145"/>
      <c r="AK72" s="8"/>
      <c r="AO72" s="121"/>
      <c r="AP72" s="121"/>
      <c r="AQ72" s="121"/>
      <c r="AR72" s="121" t="s">
        <v>470</v>
      </c>
      <c r="AS72" s="118">
        <v>23022</v>
      </c>
      <c r="AT72" s="120">
        <v>42254</v>
      </c>
      <c r="AU72" s="82">
        <v>42250</v>
      </c>
      <c r="AX72" s="8"/>
      <c r="AY72" s="8"/>
      <c r="AZ72" s="8"/>
      <c r="BA72" s="402"/>
      <c r="BB72" s="138"/>
      <c r="BC72" s="388"/>
    </row>
    <row r="73" spans="2:55" ht="18.75" x14ac:dyDescent="0.3">
      <c r="B73"/>
      <c r="C73"/>
      <c r="E73"/>
      <c r="F73"/>
      <c r="H73"/>
      <c r="I73"/>
      <c r="J73"/>
      <c r="K73"/>
      <c r="L73"/>
      <c r="M73"/>
      <c r="Q73"/>
      <c r="R73"/>
      <c r="T73"/>
      <c r="U73"/>
      <c r="W73"/>
      <c r="X73"/>
      <c r="Y73"/>
      <c r="Z73"/>
      <c r="AA73"/>
      <c r="AB73"/>
      <c r="AC73"/>
      <c r="AO73" s="121"/>
      <c r="AP73" s="121"/>
      <c r="AQ73" s="121"/>
      <c r="AR73" s="121" t="s">
        <v>470</v>
      </c>
      <c r="AS73" s="118">
        <v>14882</v>
      </c>
      <c r="AT73" s="120">
        <v>42250</v>
      </c>
      <c r="AU73" s="82">
        <v>42251</v>
      </c>
      <c r="AX73" s="8"/>
      <c r="AY73" s="290"/>
      <c r="AZ73" s="393"/>
      <c r="BA73" s="393"/>
      <c r="BB73" s="393"/>
      <c r="BC73" s="388"/>
    </row>
    <row r="74" spans="2:55" x14ac:dyDescent="0.25">
      <c r="B74"/>
      <c r="C74"/>
      <c r="E74"/>
      <c r="F74"/>
      <c r="H74"/>
      <c r="I74"/>
      <c r="J74"/>
      <c r="K74"/>
      <c r="L74"/>
      <c r="M74"/>
      <c r="Q74"/>
      <c r="R74"/>
      <c r="T74"/>
      <c r="U74"/>
      <c r="W74"/>
      <c r="X74"/>
      <c r="Y74"/>
      <c r="Z74"/>
      <c r="AA74"/>
      <c r="AB74"/>
      <c r="AC74"/>
      <c r="AO74" s="121"/>
      <c r="AP74" s="121"/>
      <c r="AQ74" s="121"/>
      <c r="AR74" s="121" t="s">
        <v>470</v>
      </c>
      <c r="AS74" s="118">
        <v>902.5</v>
      </c>
      <c r="AT74" s="120">
        <v>42250</v>
      </c>
      <c r="AU74" s="82">
        <v>42251</v>
      </c>
    </row>
    <row r="75" spans="2:55" x14ac:dyDescent="0.25">
      <c r="B75"/>
      <c r="C75"/>
      <c r="E75"/>
      <c r="F75"/>
      <c r="H75"/>
      <c r="I75"/>
      <c r="J75"/>
      <c r="K75"/>
      <c r="L75"/>
      <c r="M75"/>
      <c r="Q75"/>
      <c r="R75"/>
      <c r="T75"/>
      <c r="U75"/>
      <c r="W75"/>
      <c r="X75"/>
      <c r="Y75"/>
      <c r="Z75"/>
      <c r="AA75"/>
      <c r="AB75"/>
      <c r="AC75"/>
      <c r="AO75" s="121"/>
      <c r="AP75" s="121"/>
      <c r="AQ75" s="121"/>
      <c r="AR75" s="121" t="s">
        <v>470</v>
      </c>
      <c r="AS75" s="118">
        <v>50000</v>
      </c>
      <c r="AT75" s="120">
        <v>42254</v>
      </c>
      <c r="AU75" s="82">
        <v>42251</v>
      </c>
    </row>
    <row r="76" spans="2:55" x14ac:dyDescent="0.25">
      <c r="B76"/>
      <c r="C76"/>
      <c r="E76"/>
      <c r="F76"/>
      <c r="H76"/>
      <c r="I76"/>
      <c r="J76"/>
      <c r="K76"/>
      <c r="L76"/>
      <c r="M76"/>
      <c r="Q76"/>
      <c r="R76"/>
      <c r="T76"/>
      <c r="U76"/>
      <c r="W76"/>
      <c r="X76"/>
      <c r="Y76"/>
      <c r="Z76"/>
      <c r="AA76"/>
      <c r="AB76"/>
      <c r="AC76"/>
      <c r="AO76" s="121"/>
      <c r="AP76" s="121"/>
      <c r="AQ76" s="121"/>
      <c r="AR76" s="121" t="s">
        <v>470</v>
      </c>
      <c r="AS76" s="118">
        <v>55000</v>
      </c>
      <c r="AT76" s="120">
        <v>42254</v>
      </c>
      <c r="AU76" s="82">
        <v>42251</v>
      </c>
    </row>
    <row r="77" spans="2:55" x14ac:dyDescent="0.25">
      <c r="B77"/>
      <c r="C77"/>
      <c r="E77"/>
      <c r="F77"/>
      <c r="H77"/>
      <c r="I77"/>
      <c r="J77"/>
      <c r="K77"/>
      <c r="L77"/>
      <c r="M77"/>
      <c r="Q77"/>
      <c r="R77"/>
      <c r="T77"/>
      <c r="U77"/>
      <c r="W77"/>
      <c r="X77"/>
      <c r="Y77"/>
      <c r="Z77"/>
      <c r="AA77"/>
      <c r="AB77"/>
      <c r="AC77"/>
      <c r="AO77" s="121"/>
      <c r="AP77" s="121"/>
      <c r="AQ77" s="121"/>
      <c r="AR77" s="121" t="s">
        <v>470</v>
      </c>
      <c r="AS77" s="118">
        <v>8035</v>
      </c>
      <c r="AT77" s="120">
        <v>42251</v>
      </c>
    </row>
    <row r="78" spans="2:55" x14ac:dyDescent="0.25">
      <c r="B78"/>
      <c r="C78"/>
      <c r="E78"/>
      <c r="F78"/>
      <c r="H78"/>
      <c r="I78"/>
      <c r="J78"/>
      <c r="K78"/>
      <c r="L78"/>
      <c r="M78"/>
      <c r="Q78"/>
      <c r="R78"/>
      <c r="T78"/>
      <c r="U78"/>
      <c r="W78"/>
      <c r="X78"/>
      <c r="Y78"/>
      <c r="Z78"/>
      <c r="AA78"/>
      <c r="AB78"/>
      <c r="AC78"/>
      <c r="AO78" s="121"/>
      <c r="AP78" s="121"/>
      <c r="AQ78" s="121"/>
      <c r="AR78" s="121" t="s">
        <v>470</v>
      </c>
      <c r="AS78" s="118">
        <v>28000</v>
      </c>
      <c r="AT78" s="120">
        <v>42254</v>
      </c>
      <c r="AU78" s="82">
        <v>42252</v>
      </c>
    </row>
    <row r="79" spans="2:55" ht="15" x14ac:dyDescent="0.25">
      <c r="B79"/>
      <c r="C79"/>
      <c r="E79"/>
      <c r="F79"/>
      <c r="H79"/>
      <c r="I79"/>
      <c r="J79"/>
      <c r="K79"/>
      <c r="L79"/>
      <c r="M79"/>
      <c r="Q79"/>
      <c r="R79"/>
      <c r="T79"/>
      <c r="U79"/>
      <c r="W79"/>
      <c r="X79"/>
      <c r="Y79"/>
      <c r="Z79"/>
      <c r="AA79"/>
      <c r="AB79"/>
      <c r="AC79"/>
      <c r="AE79"/>
      <c r="AF79"/>
      <c r="AH79"/>
      <c r="AI79" s="23"/>
      <c r="AO79" s="121"/>
      <c r="AP79" s="121"/>
      <c r="AQ79" s="121"/>
      <c r="AR79" s="121" t="s">
        <v>470</v>
      </c>
      <c r="AS79" s="118">
        <v>28000</v>
      </c>
      <c r="AT79" s="120">
        <v>42254</v>
      </c>
      <c r="AU79" s="82">
        <v>42252</v>
      </c>
    </row>
    <row r="80" spans="2:55" ht="15" x14ac:dyDescent="0.25">
      <c r="B80"/>
      <c r="C80"/>
      <c r="E80"/>
      <c r="F80"/>
      <c r="H80"/>
      <c r="I80"/>
      <c r="J80"/>
      <c r="K80"/>
      <c r="L80"/>
      <c r="M80"/>
      <c r="Q80"/>
      <c r="R80"/>
      <c r="T80"/>
      <c r="U80"/>
      <c r="W80"/>
      <c r="X80"/>
      <c r="Y80"/>
      <c r="Z80"/>
      <c r="AA80"/>
      <c r="AB80"/>
      <c r="AC80"/>
      <c r="AE80"/>
      <c r="AF80"/>
      <c r="AH80"/>
      <c r="AI80" s="23"/>
      <c r="AO80" s="121"/>
      <c r="AP80" s="121"/>
      <c r="AQ80" s="121"/>
      <c r="AR80" s="121" t="s">
        <v>470</v>
      </c>
      <c r="AS80" s="118">
        <v>65000</v>
      </c>
      <c r="AT80" s="120">
        <v>42194</v>
      </c>
      <c r="AU80" s="82">
        <v>42254</v>
      </c>
    </row>
    <row r="81" spans="2:47" ht="15" x14ac:dyDescent="0.25">
      <c r="B81"/>
      <c r="C81"/>
      <c r="E81"/>
      <c r="F81"/>
      <c r="H81"/>
      <c r="I81"/>
      <c r="J81"/>
      <c r="K81"/>
      <c r="L81"/>
      <c r="M81"/>
      <c r="Q81"/>
      <c r="R81"/>
      <c r="T81"/>
      <c r="U81"/>
      <c r="W81"/>
      <c r="X81"/>
      <c r="Y81"/>
      <c r="Z81"/>
      <c r="AA81"/>
      <c r="AB81"/>
      <c r="AC81"/>
      <c r="AE81"/>
      <c r="AF81"/>
      <c r="AH81"/>
      <c r="AI81" s="23"/>
      <c r="AO81" s="121"/>
      <c r="AP81" s="121"/>
      <c r="AQ81" s="121"/>
      <c r="AR81" s="117">
        <v>813221</v>
      </c>
      <c r="AS81" s="118">
        <v>84002</v>
      </c>
      <c r="AT81" s="120">
        <v>42254</v>
      </c>
    </row>
    <row r="82" spans="2:47" ht="15" x14ac:dyDescent="0.25">
      <c r="B82"/>
      <c r="C82"/>
      <c r="E82"/>
      <c r="F82"/>
      <c r="H82"/>
      <c r="I82"/>
      <c r="J82"/>
      <c r="K82"/>
      <c r="L82"/>
      <c r="M82"/>
      <c r="Q82"/>
      <c r="R82"/>
      <c r="T82"/>
      <c r="U82"/>
      <c r="W82"/>
      <c r="X82"/>
      <c r="Y82"/>
      <c r="Z82"/>
      <c r="AA82"/>
      <c r="AB82"/>
      <c r="AC82"/>
      <c r="AE82"/>
      <c r="AF82"/>
      <c r="AH82"/>
      <c r="AI82" s="23"/>
      <c r="AO82" s="121"/>
      <c r="AP82" s="121"/>
      <c r="AQ82" s="121"/>
      <c r="AR82" s="117">
        <v>3245266</v>
      </c>
      <c r="AS82" s="118">
        <v>26011.5</v>
      </c>
      <c r="AT82" s="120">
        <v>42255</v>
      </c>
      <c r="AU82" s="82">
        <v>42254</v>
      </c>
    </row>
    <row r="83" spans="2:47" ht="15" x14ac:dyDescent="0.25">
      <c r="B83"/>
      <c r="C83"/>
      <c r="E83"/>
      <c r="F83"/>
      <c r="H83"/>
      <c r="I83"/>
      <c r="J83"/>
      <c r="K83"/>
      <c r="L83"/>
      <c r="M83"/>
      <c r="Q83"/>
      <c r="R83"/>
      <c r="T83"/>
      <c r="U83"/>
      <c r="W83"/>
      <c r="X83"/>
      <c r="Y83"/>
      <c r="Z83"/>
      <c r="AA83"/>
      <c r="AB83"/>
      <c r="AC83"/>
      <c r="AE83"/>
      <c r="AF83"/>
      <c r="AH83"/>
      <c r="AI83" s="23"/>
      <c r="AO83" s="121"/>
      <c r="AP83" s="121"/>
      <c r="AQ83" s="121"/>
      <c r="AR83" s="117">
        <v>3245268</v>
      </c>
      <c r="AS83" s="118">
        <v>10378</v>
      </c>
      <c r="AT83" s="120">
        <v>42254</v>
      </c>
    </row>
    <row r="84" spans="2:47" thickBot="1" x14ac:dyDescent="0.3">
      <c r="B84"/>
      <c r="C84"/>
      <c r="E84"/>
      <c r="F84"/>
      <c r="H84"/>
      <c r="I84"/>
      <c r="J84"/>
      <c r="K84"/>
      <c r="L84"/>
      <c r="M84"/>
      <c r="Q84"/>
      <c r="R84"/>
      <c r="T84"/>
      <c r="U84"/>
      <c r="W84"/>
      <c r="X84"/>
      <c r="Y84"/>
      <c r="Z84"/>
      <c r="AA84"/>
      <c r="AB84"/>
      <c r="AC84"/>
      <c r="AE84"/>
      <c r="AF84"/>
      <c r="AH84"/>
      <c r="AI84" s="23"/>
      <c r="AO84" s="389"/>
      <c r="AP84" s="389"/>
      <c r="AQ84" s="389"/>
      <c r="AR84" s="390"/>
      <c r="AS84" s="391">
        <v>0</v>
      </c>
      <c r="AT84" s="392"/>
    </row>
    <row r="85" spans="2:47" ht="19.5" thickTop="1" x14ac:dyDescent="0.3">
      <c r="B85"/>
      <c r="C85"/>
      <c r="E85"/>
      <c r="F85"/>
      <c r="H85"/>
      <c r="I85"/>
      <c r="J85"/>
      <c r="K85"/>
      <c r="L85"/>
      <c r="M85"/>
      <c r="Q85"/>
      <c r="R85"/>
      <c r="T85"/>
      <c r="U85"/>
      <c r="W85"/>
      <c r="X85"/>
      <c r="Y85"/>
      <c r="Z85"/>
      <c r="AA85"/>
      <c r="AB85"/>
      <c r="AC85"/>
      <c r="AE85"/>
      <c r="AF85"/>
      <c r="AH85"/>
      <c r="AI85" s="23"/>
      <c r="AO85" s="8"/>
      <c r="AP85" s="290">
        <f>SUM(AP52:AP84)</f>
        <v>987603.5</v>
      </c>
      <c r="AQ85" s="393"/>
      <c r="AR85" s="393"/>
      <c r="AS85" s="393">
        <f>SUM(AS52:AS84)</f>
        <v>987603.5</v>
      </c>
      <c r="AT85" s="388"/>
    </row>
    <row r="86" spans="2:47" ht="15" x14ac:dyDescent="0.25">
      <c r="B86"/>
      <c r="C86"/>
      <c r="E86"/>
      <c r="F86"/>
      <c r="H86"/>
      <c r="I86"/>
      <c r="J86"/>
      <c r="K86"/>
      <c r="L86"/>
      <c r="M86"/>
      <c r="Q86"/>
      <c r="R86"/>
      <c r="T86"/>
      <c r="U86"/>
      <c r="W86"/>
      <c r="X86"/>
      <c r="Y86"/>
      <c r="Z86"/>
      <c r="AA86"/>
      <c r="AB86"/>
      <c r="AC86"/>
      <c r="AE86"/>
      <c r="AF86"/>
      <c r="AH86"/>
      <c r="AI86" s="23"/>
    </row>
    <row r="87" spans="2:47" ht="15" x14ac:dyDescent="0.25">
      <c r="B87"/>
      <c r="C87"/>
      <c r="E87"/>
      <c r="F87"/>
      <c r="H87"/>
      <c r="I87"/>
      <c r="J87"/>
      <c r="K87"/>
      <c r="L87"/>
      <c r="M87"/>
      <c r="Q87"/>
      <c r="R87"/>
      <c r="T87"/>
      <c r="U87"/>
      <c r="W87"/>
      <c r="X87"/>
      <c r="Y87"/>
      <c r="Z87"/>
      <c r="AA87"/>
      <c r="AB87"/>
      <c r="AC87"/>
      <c r="AE87"/>
      <c r="AF87"/>
      <c r="AH87"/>
      <c r="AI87" s="23"/>
    </row>
    <row r="88" spans="2:47" ht="15" x14ac:dyDescent="0.25">
      <c r="B88"/>
      <c r="C88"/>
      <c r="E88"/>
      <c r="F88"/>
      <c r="H88"/>
      <c r="I88"/>
      <c r="J88"/>
      <c r="K88"/>
      <c r="L88"/>
      <c r="M88"/>
      <c r="Q88"/>
      <c r="R88"/>
      <c r="T88"/>
      <c r="U88"/>
      <c r="W88"/>
      <c r="X88"/>
      <c r="Y88"/>
      <c r="Z88"/>
      <c r="AA88"/>
      <c r="AB88"/>
      <c r="AC88"/>
      <c r="AE88"/>
      <c r="AF88"/>
      <c r="AH88"/>
      <c r="AI88" s="23"/>
    </row>
    <row r="89" spans="2:47" ht="15" x14ac:dyDescent="0.25">
      <c r="B89"/>
      <c r="C89"/>
      <c r="E89"/>
      <c r="F89"/>
      <c r="H89"/>
      <c r="I89"/>
      <c r="J89"/>
      <c r="K89"/>
      <c r="L89"/>
      <c r="M89"/>
      <c r="Q89"/>
      <c r="R89"/>
      <c r="T89"/>
      <c r="U89"/>
      <c r="W89"/>
      <c r="X89"/>
      <c r="Y89"/>
      <c r="Z89"/>
      <c r="AA89"/>
      <c r="AB89"/>
      <c r="AC89"/>
      <c r="AE89"/>
      <c r="AF89"/>
      <c r="AH89"/>
      <c r="AI89" s="23"/>
    </row>
    <row r="90" spans="2:47" ht="15" x14ac:dyDescent="0.25">
      <c r="B90"/>
      <c r="C90"/>
      <c r="E90"/>
      <c r="F90"/>
      <c r="H90"/>
      <c r="I90"/>
      <c r="J90"/>
      <c r="K90"/>
      <c r="L90"/>
      <c r="M90"/>
      <c r="Q90"/>
      <c r="R90"/>
      <c r="T90"/>
      <c r="U90"/>
      <c r="W90"/>
      <c r="X90"/>
      <c r="Y90"/>
      <c r="Z90"/>
      <c r="AA90"/>
      <c r="AB90"/>
      <c r="AC90"/>
      <c r="AE90"/>
      <c r="AF90"/>
      <c r="AH90"/>
      <c r="AI90" s="23"/>
    </row>
    <row r="91" spans="2:47" ht="15" x14ac:dyDescent="0.25">
      <c r="B91"/>
      <c r="C91"/>
      <c r="E91"/>
      <c r="F91"/>
      <c r="H91"/>
      <c r="I91"/>
      <c r="J91"/>
      <c r="K91"/>
      <c r="L91"/>
      <c r="M91"/>
      <c r="Q91"/>
      <c r="R91"/>
      <c r="T91"/>
      <c r="U91"/>
      <c r="W91"/>
      <c r="X91"/>
      <c r="Y91"/>
      <c r="Z91"/>
      <c r="AA91"/>
      <c r="AB91"/>
      <c r="AC91"/>
      <c r="AE91"/>
      <c r="AF91"/>
      <c r="AH91"/>
      <c r="AI91" s="23"/>
    </row>
    <row r="92" spans="2:47" ht="15" x14ac:dyDescent="0.25">
      <c r="B92"/>
      <c r="C92"/>
      <c r="E92"/>
      <c r="F92"/>
      <c r="H92"/>
      <c r="I92"/>
      <c r="J92"/>
      <c r="K92"/>
      <c r="L92"/>
      <c r="M92"/>
      <c r="Q92"/>
      <c r="R92"/>
      <c r="T92"/>
      <c r="U92"/>
      <c r="W92"/>
      <c r="X92"/>
      <c r="Y92"/>
      <c r="Z92"/>
      <c r="AA92"/>
      <c r="AB92"/>
      <c r="AC92"/>
      <c r="AE92"/>
      <c r="AF92"/>
      <c r="AH92"/>
      <c r="AI92" s="23"/>
    </row>
    <row r="93" spans="2:47" ht="15" x14ac:dyDescent="0.25">
      <c r="B93"/>
      <c r="C93"/>
      <c r="E93"/>
      <c r="F93"/>
      <c r="H93"/>
      <c r="I93"/>
      <c r="J93"/>
      <c r="K93"/>
      <c r="L93"/>
      <c r="M93"/>
      <c r="Q93"/>
      <c r="R93"/>
      <c r="T93"/>
      <c r="U93"/>
      <c r="W93"/>
      <c r="X93"/>
      <c r="Y93"/>
      <c r="Z93"/>
      <c r="AA93"/>
      <c r="AB93"/>
      <c r="AC93"/>
      <c r="AE93"/>
      <c r="AF93"/>
      <c r="AH93"/>
      <c r="AI93" s="23"/>
    </row>
    <row r="94" spans="2:47" ht="15" x14ac:dyDescent="0.25">
      <c r="B94"/>
      <c r="C94"/>
      <c r="E94"/>
      <c r="F94"/>
      <c r="H94"/>
      <c r="I94"/>
      <c r="J94"/>
      <c r="K94"/>
      <c r="L94"/>
      <c r="M94"/>
      <c r="Q94"/>
      <c r="R94"/>
      <c r="T94"/>
      <c r="U94"/>
      <c r="W94"/>
      <c r="X94"/>
      <c r="Y94"/>
      <c r="Z94"/>
      <c r="AA94"/>
      <c r="AB94"/>
      <c r="AC94"/>
      <c r="AE94"/>
      <c r="AF94"/>
      <c r="AH94"/>
      <c r="AI94" s="23"/>
    </row>
    <row r="95" spans="2:47" ht="15" x14ac:dyDescent="0.25">
      <c r="B95"/>
      <c r="C95"/>
      <c r="E95"/>
      <c r="F95"/>
      <c r="H95"/>
      <c r="I95"/>
      <c r="J95"/>
      <c r="K95"/>
      <c r="L95"/>
      <c r="M95"/>
      <c r="Q95"/>
      <c r="R95"/>
      <c r="T95"/>
      <c r="U95"/>
      <c r="W95"/>
      <c r="X95"/>
      <c r="Y95"/>
      <c r="Z95"/>
      <c r="AA95"/>
      <c r="AB95"/>
      <c r="AC95"/>
      <c r="AE95"/>
      <c r="AF95"/>
      <c r="AH95"/>
      <c r="AI95" s="23"/>
    </row>
    <row r="96" spans="2:47" ht="15" x14ac:dyDescent="0.25">
      <c r="B96"/>
      <c r="C96"/>
      <c r="E96"/>
      <c r="F96"/>
      <c r="H96"/>
      <c r="I96"/>
      <c r="J96"/>
      <c r="K96"/>
      <c r="L96"/>
      <c r="M96"/>
      <c r="Q96"/>
      <c r="R96"/>
      <c r="T96"/>
      <c r="U96"/>
      <c r="W96"/>
      <c r="X96"/>
      <c r="Y96"/>
      <c r="Z96"/>
      <c r="AA96"/>
      <c r="AB96"/>
      <c r="AC96"/>
      <c r="AE96"/>
      <c r="AF96"/>
      <c r="AH96"/>
      <c r="AI96" s="23"/>
    </row>
    <row r="97" spans="35:35" customFormat="1" ht="15" x14ac:dyDescent="0.25">
      <c r="AI97" s="23"/>
    </row>
    <row r="98" spans="35:35" customFormat="1" ht="15" x14ac:dyDescent="0.25">
      <c r="AI98" s="23"/>
    </row>
    <row r="99" spans="35:35" customFormat="1" ht="15" x14ac:dyDescent="0.25">
      <c r="AI99" s="23"/>
    </row>
    <row r="100" spans="35:35" customFormat="1" ht="15" x14ac:dyDescent="0.25">
      <c r="AI100" s="23"/>
    </row>
    <row r="101" spans="35:35" customFormat="1" ht="15" x14ac:dyDescent="0.25">
      <c r="AI101" s="23"/>
    </row>
    <row r="102" spans="35:35" customFormat="1" ht="15" x14ac:dyDescent="0.25">
      <c r="AI102" s="23"/>
    </row>
    <row r="103" spans="35:35" customFormat="1" ht="15" x14ac:dyDescent="0.25">
      <c r="AI103" s="23"/>
    </row>
    <row r="104" spans="35:35" customFormat="1" ht="15" x14ac:dyDescent="0.25">
      <c r="AI104" s="23"/>
    </row>
    <row r="105" spans="35:35" customFormat="1" ht="15" x14ac:dyDescent="0.25">
      <c r="AI105" s="23"/>
    </row>
    <row r="106" spans="35:35" customFormat="1" ht="15" x14ac:dyDescent="0.25">
      <c r="AI106" s="23"/>
    </row>
    <row r="107" spans="35:35" customFormat="1" ht="15" x14ac:dyDescent="0.25">
      <c r="AI107" s="23"/>
    </row>
    <row r="108" spans="35:35" customFormat="1" ht="15" x14ac:dyDescent="0.25">
      <c r="AI108" s="23"/>
    </row>
    <row r="109" spans="35:35" customFormat="1" ht="15" x14ac:dyDescent="0.25">
      <c r="AI109" s="23"/>
    </row>
    <row r="110" spans="35:35" customFormat="1" ht="15" x14ac:dyDescent="0.25">
      <c r="AI110" s="23"/>
    </row>
    <row r="111" spans="35:35" customFormat="1" ht="15" x14ac:dyDescent="0.25">
      <c r="AI111" s="23"/>
    </row>
  </sheetData>
  <sortState ref="BA32:BD41">
    <sortCondition ref="BC119:BC128"/>
  </sortState>
  <mergeCells count="26">
    <mergeCell ref="AX49:AX50"/>
    <mergeCell ref="AX29:AX30"/>
    <mergeCell ref="AX2:AX3"/>
    <mergeCell ref="AO1:AO2"/>
    <mergeCell ref="P40:Q40"/>
    <mergeCell ref="S40:T40"/>
    <mergeCell ref="X45:Y45"/>
    <mergeCell ref="AO23:AO24"/>
    <mergeCell ref="AO49:AO50"/>
    <mergeCell ref="W51:X51"/>
    <mergeCell ref="R1:Y1"/>
    <mergeCell ref="T3:U3"/>
    <mergeCell ref="X3:Z3"/>
    <mergeCell ref="P38:Q38"/>
    <mergeCell ref="W39:X39"/>
    <mergeCell ref="Y39:Z39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C111"/>
  <sheetViews>
    <sheetView topLeftCell="A44" workbookViewId="0">
      <selection activeCell="E71" sqref="E71"/>
    </sheetView>
  </sheetViews>
  <sheetFormatPr baseColWidth="10" defaultRowHeight="15.75" x14ac:dyDescent="0.25"/>
  <cols>
    <col min="3" max="3" width="11.42578125" style="79"/>
    <col min="4" max="4" width="14.140625" style="80" bestFit="1" customWidth="1"/>
    <col min="5" max="5" width="18.7109375" bestFit="1" customWidth="1"/>
    <col min="6" max="6" width="15.85546875" style="81" customWidth="1"/>
    <col min="7" max="7" width="14.140625" style="315" bestFit="1" customWidth="1"/>
    <col min="8" max="8" width="14.140625" style="23" bestFit="1" customWidth="1"/>
    <col min="14" max="14" width="18.28515625" customWidth="1"/>
    <col min="16" max="16" width="13" customWidth="1"/>
    <col min="17" max="17" width="19.5703125" bestFit="1" customWidth="1"/>
    <col min="24" max="24" width="16.5703125" customWidth="1"/>
    <col min="27" max="27" width="20.140625" bestFit="1" customWidth="1"/>
  </cols>
  <sheetData>
    <row r="1" spans="3:29" ht="19.5" thickBot="1" x14ac:dyDescent="0.35">
      <c r="M1" s="491">
        <v>1</v>
      </c>
      <c r="N1" s="96" t="s">
        <v>124</v>
      </c>
      <c r="O1" s="96"/>
      <c r="P1" s="97"/>
      <c r="Q1" s="372">
        <v>42250</v>
      </c>
      <c r="R1" s="229"/>
    </row>
    <row r="2" spans="3:29" ht="19.5" thickBot="1" x14ac:dyDescent="0.35">
      <c r="E2" s="96" t="s">
        <v>310</v>
      </c>
      <c r="M2" s="492"/>
      <c r="N2" s="100"/>
      <c r="O2" s="100"/>
      <c r="P2" s="101"/>
      <c r="Q2" s="102"/>
      <c r="R2" s="229"/>
      <c r="W2" s="491">
        <v>1</v>
      </c>
      <c r="X2" s="96" t="s">
        <v>124</v>
      </c>
      <c r="Y2" s="96"/>
      <c r="Z2" s="97"/>
      <c r="AA2" s="398">
        <v>42265</v>
      </c>
      <c r="AB2" s="229"/>
    </row>
    <row r="3" spans="3:29" ht="16.5" thickBot="1" x14ac:dyDescent="0.3">
      <c r="C3"/>
      <c r="D3" s="171" t="s">
        <v>126</v>
      </c>
      <c r="E3" s="172" t="s">
        <v>127</v>
      </c>
      <c r="F3" s="172" t="s">
        <v>155</v>
      </c>
      <c r="G3" s="316" t="s">
        <v>127</v>
      </c>
      <c r="H3" s="173" t="s">
        <v>156</v>
      </c>
      <c r="M3" s="104" t="s">
        <v>126</v>
      </c>
      <c r="N3" s="100" t="s">
        <v>127</v>
      </c>
      <c r="O3" s="100"/>
      <c r="P3" s="101" t="s">
        <v>128</v>
      </c>
      <c r="Q3" s="102" t="s">
        <v>129</v>
      </c>
      <c r="R3" s="229"/>
      <c r="W3" s="492"/>
      <c r="X3" s="100"/>
      <c r="Y3" s="100"/>
      <c r="Z3" s="101"/>
      <c r="AA3" s="102"/>
      <c r="AB3" s="229"/>
    </row>
    <row r="4" spans="3:29" ht="16.5" thickBot="1" x14ac:dyDescent="0.3">
      <c r="C4" s="74">
        <v>42248</v>
      </c>
      <c r="D4" s="371" t="s">
        <v>516</v>
      </c>
      <c r="E4" s="70">
        <v>28977</v>
      </c>
      <c r="F4" s="71">
        <v>42250</v>
      </c>
      <c r="G4" s="70">
        <v>28977</v>
      </c>
      <c r="H4" s="170">
        <f t="shared" ref="H4:H67" si="0">E4-G4</f>
        <v>0</v>
      </c>
      <c r="I4" s="73"/>
      <c r="M4" s="369" t="s">
        <v>494</v>
      </c>
      <c r="N4" s="106">
        <v>55512.84</v>
      </c>
      <c r="O4" s="106"/>
      <c r="P4" s="186">
        <v>3245161</v>
      </c>
      <c r="Q4" s="187">
        <v>45000</v>
      </c>
      <c r="R4" s="230">
        <v>42237</v>
      </c>
      <c r="W4" s="302" t="s">
        <v>126</v>
      </c>
      <c r="X4" s="302" t="s">
        <v>127</v>
      </c>
      <c r="Y4" s="302"/>
      <c r="Z4" s="395" t="s">
        <v>128</v>
      </c>
      <c r="AA4" s="396" t="s">
        <v>129</v>
      </c>
      <c r="AB4" s="397"/>
    </row>
    <row r="5" spans="3:29" ht="16.5" thickTop="1" x14ac:dyDescent="0.25">
      <c r="C5" s="74">
        <v>42249</v>
      </c>
      <c r="D5" s="126" t="s">
        <v>517</v>
      </c>
      <c r="E5" s="70">
        <v>13896.3</v>
      </c>
      <c r="F5" s="128" t="s">
        <v>531</v>
      </c>
      <c r="G5" s="70">
        <f>2617.56+11278.74</f>
        <v>13896.3</v>
      </c>
      <c r="H5" s="72">
        <f t="shared" si="0"/>
        <v>0</v>
      </c>
      <c r="I5" s="75"/>
      <c r="M5" s="126" t="s">
        <v>504</v>
      </c>
      <c r="N5" s="70">
        <v>38108</v>
      </c>
      <c r="O5" s="111"/>
      <c r="P5" s="186">
        <v>3245160</v>
      </c>
      <c r="Q5" s="187">
        <v>35000</v>
      </c>
      <c r="R5" s="230">
        <v>42238</v>
      </c>
      <c r="W5" s="394" t="s">
        <v>551</v>
      </c>
      <c r="X5" s="298">
        <v>185226.69</v>
      </c>
      <c r="Y5" s="298"/>
      <c r="Z5" s="299" t="s">
        <v>470</v>
      </c>
      <c r="AA5" s="300">
        <v>11580</v>
      </c>
      <c r="AB5" s="301">
        <v>42254</v>
      </c>
      <c r="AC5" s="82">
        <v>42252</v>
      </c>
    </row>
    <row r="6" spans="3:29" x14ac:dyDescent="0.25">
      <c r="C6" s="74">
        <v>42250</v>
      </c>
      <c r="D6" s="126" t="s">
        <v>530</v>
      </c>
      <c r="E6" s="70">
        <v>11761.2</v>
      </c>
      <c r="F6" s="71" t="s">
        <v>555</v>
      </c>
      <c r="G6" s="70">
        <f>11558.72+202.48</f>
        <v>11761.199999999999</v>
      </c>
      <c r="H6" s="72">
        <f t="shared" si="0"/>
        <v>0</v>
      </c>
      <c r="I6" s="76"/>
      <c r="M6" s="126" t="s">
        <v>505</v>
      </c>
      <c r="N6" s="70">
        <v>14144</v>
      </c>
      <c r="O6" s="111"/>
      <c r="P6" s="186">
        <v>3245158</v>
      </c>
      <c r="Q6" s="187">
        <v>30000</v>
      </c>
      <c r="R6" s="230">
        <v>42238</v>
      </c>
      <c r="W6" s="126" t="s">
        <v>552</v>
      </c>
      <c r="X6" s="70">
        <v>29663.85</v>
      </c>
      <c r="Y6" s="111"/>
      <c r="Z6" s="186">
        <v>3245115</v>
      </c>
      <c r="AA6" s="187">
        <v>50000</v>
      </c>
      <c r="AB6" s="230">
        <v>42252</v>
      </c>
    </row>
    <row r="7" spans="3:29" x14ac:dyDescent="0.25">
      <c r="C7" s="74">
        <v>42251</v>
      </c>
      <c r="D7" s="126" t="s">
        <v>532</v>
      </c>
      <c r="E7" s="70">
        <v>22393.8</v>
      </c>
      <c r="F7" s="71">
        <v>42259</v>
      </c>
      <c r="G7" s="70">
        <v>22393.8</v>
      </c>
      <c r="H7" s="77">
        <f t="shared" si="0"/>
        <v>0</v>
      </c>
      <c r="I7" s="76"/>
      <c r="M7" s="126" t="s">
        <v>506</v>
      </c>
      <c r="N7" s="70">
        <v>25258</v>
      </c>
      <c r="O7" s="111"/>
      <c r="P7" s="186">
        <v>3245159</v>
      </c>
      <c r="Q7" s="187">
        <v>21251.5</v>
      </c>
      <c r="R7" s="230">
        <v>42238</v>
      </c>
      <c r="W7" s="126" t="s">
        <v>556</v>
      </c>
      <c r="X7" s="70">
        <v>1588.8</v>
      </c>
      <c r="Y7" s="111"/>
      <c r="Z7" s="186">
        <v>3245114</v>
      </c>
      <c r="AA7" s="187">
        <v>41695</v>
      </c>
      <c r="AB7" s="230">
        <v>42252</v>
      </c>
    </row>
    <row r="8" spans="3:29" x14ac:dyDescent="0.25">
      <c r="C8" s="74">
        <v>42251</v>
      </c>
      <c r="D8" s="126" t="s">
        <v>533</v>
      </c>
      <c r="E8" s="70">
        <v>119372.82</v>
      </c>
      <c r="F8" s="71">
        <v>42259</v>
      </c>
      <c r="G8" s="70">
        <v>119372.82</v>
      </c>
      <c r="H8" s="72">
        <f t="shared" si="0"/>
        <v>0</v>
      </c>
      <c r="I8" s="76"/>
      <c r="M8" s="126" t="s">
        <v>507</v>
      </c>
      <c r="N8" s="70">
        <v>16610</v>
      </c>
      <c r="O8" s="111"/>
      <c r="P8" s="186">
        <v>3245156</v>
      </c>
      <c r="Q8" s="187">
        <v>50000</v>
      </c>
      <c r="R8" s="230">
        <v>42239</v>
      </c>
      <c r="W8" s="126" t="s">
        <v>553</v>
      </c>
      <c r="X8" s="70">
        <v>23164.45</v>
      </c>
      <c r="Y8" s="111"/>
      <c r="Z8" s="186">
        <v>3245116</v>
      </c>
      <c r="AA8" s="187">
        <v>70000</v>
      </c>
      <c r="AB8" s="230">
        <v>42252</v>
      </c>
    </row>
    <row r="9" spans="3:29" x14ac:dyDescent="0.25">
      <c r="C9" s="74">
        <v>42251</v>
      </c>
      <c r="D9" s="126" t="s">
        <v>534</v>
      </c>
      <c r="E9" s="70">
        <v>57050.5</v>
      </c>
      <c r="F9" s="71">
        <v>42259</v>
      </c>
      <c r="G9" s="70">
        <v>57050.5</v>
      </c>
      <c r="H9" s="77">
        <f t="shared" si="0"/>
        <v>0</v>
      </c>
      <c r="I9" s="76"/>
      <c r="M9" s="126" t="s">
        <v>508</v>
      </c>
      <c r="N9" s="70">
        <v>70625.600000000006</v>
      </c>
      <c r="O9" s="190"/>
      <c r="P9" s="186">
        <v>3245157</v>
      </c>
      <c r="Q9" s="187">
        <v>25783</v>
      </c>
      <c r="R9" s="230">
        <v>42239</v>
      </c>
      <c r="W9" s="126" t="s">
        <v>554</v>
      </c>
      <c r="X9" s="70">
        <v>241205.25</v>
      </c>
      <c r="Y9" s="111"/>
      <c r="Z9" s="186">
        <v>3245213</v>
      </c>
      <c r="AA9" s="187">
        <v>30000</v>
      </c>
      <c r="AB9" s="230">
        <v>42253</v>
      </c>
    </row>
    <row r="10" spans="3:29" x14ac:dyDescent="0.25">
      <c r="C10" s="74">
        <v>42251</v>
      </c>
      <c r="D10" s="126" t="s">
        <v>535</v>
      </c>
      <c r="E10" s="70">
        <v>9051.9</v>
      </c>
      <c r="F10" s="71">
        <v>42259</v>
      </c>
      <c r="G10" s="70">
        <v>9051.9</v>
      </c>
      <c r="H10" s="77">
        <f t="shared" si="0"/>
        <v>0</v>
      </c>
      <c r="I10" s="76"/>
      <c r="M10" s="126" t="s">
        <v>509</v>
      </c>
      <c r="N10" s="70">
        <v>29530.7</v>
      </c>
      <c r="O10" s="226"/>
      <c r="P10" s="186" t="s">
        <v>470</v>
      </c>
      <c r="Q10" s="187">
        <v>6058</v>
      </c>
      <c r="R10" s="230">
        <v>42238</v>
      </c>
      <c r="S10" s="82">
        <v>42240</v>
      </c>
      <c r="W10" s="126" t="s">
        <v>557</v>
      </c>
      <c r="X10" s="70">
        <v>1797.12</v>
      </c>
      <c r="Y10" s="190"/>
      <c r="Z10" s="186">
        <v>3245212</v>
      </c>
      <c r="AA10" s="187">
        <v>40000</v>
      </c>
      <c r="AB10" s="230">
        <v>42253</v>
      </c>
    </row>
    <row r="11" spans="3:29" x14ac:dyDescent="0.25">
      <c r="C11" s="74">
        <v>42252</v>
      </c>
      <c r="D11" s="126" t="s">
        <v>536</v>
      </c>
      <c r="E11" s="70">
        <v>21477</v>
      </c>
      <c r="F11" s="71">
        <v>42259</v>
      </c>
      <c r="G11" s="70">
        <v>21477</v>
      </c>
      <c r="H11" s="77">
        <f t="shared" si="0"/>
        <v>0</v>
      </c>
      <c r="I11" s="76"/>
      <c r="M11" s="126" t="s">
        <v>510</v>
      </c>
      <c r="N11" s="70">
        <v>120834.5</v>
      </c>
      <c r="O11" s="111"/>
      <c r="P11" s="192">
        <v>3245155</v>
      </c>
      <c r="Q11" s="193">
        <v>68000</v>
      </c>
      <c r="R11" s="230">
        <v>42240</v>
      </c>
      <c r="W11" s="126" t="s">
        <v>558</v>
      </c>
      <c r="X11" s="70">
        <v>28819.37</v>
      </c>
      <c r="Y11" s="226"/>
      <c r="Z11" s="186">
        <v>3245211</v>
      </c>
      <c r="AA11" s="187">
        <v>40164</v>
      </c>
      <c r="AB11" s="230">
        <v>42253</v>
      </c>
    </row>
    <row r="12" spans="3:29" ht="15" x14ac:dyDescent="0.25">
      <c r="C12" s="74">
        <v>42252</v>
      </c>
      <c r="D12" s="126" t="s">
        <v>537</v>
      </c>
      <c r="E12" s="70">
        <v>296559.25</v>
      </c>
      <c r="F12" s="71">
        <v>42259</v>
      </c>
      <c r="G12" s="70">
        <v>296559.25</v>
      </c>
      <c r="H12" s="77">
        <f t="shared" si="0"/>
        <v>0</v>
      </c>
      <c r="I12" s="76"/>
      <c r="M12" s="126" t="s">
        <v>511</v>
      </c>
      <c r="N12" s="70">
        <v>10081.5</v>
      </c>
      <c r="O12" s="111"/>
      <c r="P12" s="192">
        <v>3245154</v>
      </c>
      <c r="Q12" s="193">
        <v>54000</v>
      </c>
      <c r="R12" s="230">
        <v>42240</v>
      </c>
      <c r="W12" s="126" t="s">
        <v>559</v>
      </c>
      <c r="X12" s="70">
        <v>90852.44</v>
      </c>
      <c r="Y12" s="111"/>
      <c r="Z12" s="192">
        <v>3245210</v>
      </c>
      <c r="AA12" s="193">
        <v>32295.5</v>
      </c>
      <c r="AB12" s="230">
        <v>42254</v>
      </c>
    </row>
    <row r="13" spans="3:29" ht="15" x14ac:dyDescent="0.25">
      <c r="C13" s="74">
        <v>42254</v>
      </c>
      <c r="D13" s="126" t="s">
        <v>538</v>
      </c>
      <c r="E13" s="70">
        <v>20518.400000000001</v>
      </c>
      <c r="F13" s="71">
        <v>42259</v>
      </c>
      <c r="G13" s="70">
        <v>20518.400000000001</v>
      </c>
      <c r="H13" s="77">
        <f t="shared" si="0"/>
        <v>0</v>
      </c>
      <c r="I13" s="73"/>
      <c r="M13" s="126" t="s">
        <v>512</v>
      </c>
      <c r="N13" s="70">
        <v>59670.2</v>
      </c>
      <c r="O13" s="111"/>
      <c r="P13" s="192">
        <v>3245150</v>
      </c>
      <c r="Q13" s="193">
        <v>50000</v>
      </c>
      <c r="R13" s="230">
        <v>42240</v>
      </c>
      <c r="W13" s="126" t="s">
        <v>560</v>
      </c>
      <c r="X13" s="70">
        <v>14504</v>
      </c>
      <c r="Y13" s="111"/>
      <c r="Z13" s="192">
        <v>3245209</v>
      </c>
      <c r="AA13" s="193">
        <v>78526</v>
      </c>
      <c r="AB13" s="230">
        <v>42255</v>
      </c>
    </row>
    <row r="14" spans="3:29" ht="15" x14ac:dyDescent="0.25">
      <c r="C14" s="74">
        <v>42254</v>
      </c>
      <c r="D14" s="126" t="s">
        <v>539</v>
      </c>
      <c r="E14" s="70">
        <v>191210.75</v>
      </c>
      <c r="F14" s="71">
        <v>42259</v>
      </c>
      <c r="G14" s="70">
        <v>191210.75</v>
      </c>
      <c r="H14" s="77">
        <f t="shared" si="0"/>
        <v>0</v>
      </c>
      <c r="I14" s="73"/>
      <c r="M14" s="126" t="s">
        <v>513</v>
      </c>
      <c r="N14" s="70">
        <v>4609.6000000000004</v>
      </c>
      <c r="O14" s="111"/>
      <c r="P14" s="192">
        <v>3245152</v>
      </c>
      <c r="Q14" s="193">
        <v>50000</v>
      </c>
      <c r="R14" s="230">
        <v>42240</v>
      </c>
      <c r="W14" s="126" t="s">
        <v>561</v>
      </c>
      <c r="X14" s="70">
        <v>20169.8</v>
      </c>
      <c r="Y14" s="111"/>
      <c r="Z14" s="192">
        <v>3245208</v>
      </c>
      <c r="AA14" s="193">
        <v>66000</v>
      </c>
      <c r="AB14" s="230">
        <v>42256</v>
      </c>
    </row>
    <row r="15" spans="3:29" ht="15" x14ac:dyDescent="0.25">
      <c r="C15" s="74">
        <v>42255</v>
      </c>
      <c r="D15" s="126" t="s">
        <v>540</v>
      </c>
      <c r="E15" s="70">
        <v>4060.2</v>
      </c>
      <c r="F15" s="71">
        <v>42259</v>
      </c>
      <c r="G15" s="70">
        <v>4060.2</v>
      </c>
      <c r="H15" s="77">
        <f t="shared" si="0"/>
        <v>0</v>
      </c>
      <c r="I15" s="73"/>
      <c r="M15" s="126" t="s">
        <v>514</v>
      </c>
      <c r="N15" s="70">
        <v>29480</v>
      </c>
      <c r="O15" s="226"/>
      <c r="P15" s="192">
        <v>3245153</v>
      </c>
      <c r="Q15" s="193">
        <v>30967</v>
      </c>
      <c r="R15" s="230">
        <v>42240</v>
      </c>
      <c r="W15" s="126" t="s">
        <v>562</v>
      </c>
      <c r="X15" s="70">
        <v>16901.3</v>
      </c>
      <c r="Y15" s="111"/>
      <c r="Z15" s="192">
        <v>3245207</v>
      </c>
      <c r="AA15" s="193">
        <v>40000</v>
      </c>
      <c r="AB15" s="230">
        <v>42256</v>
      </c>
    </row>
    <row r="16" spans="3:29" ht="15" x14ac:dyDescent="0.25">
      <c r="C16" s="74">
        <v>42255</v>
      </c>
      <c r="D16" s="126" t="s">
        <v>541</v>
      </c>
      <c r="E16" s="70">
        <v>176936</v>
      </c>
      <c r="F16" s="71">
        <v>42259</v>
      </c>
      <c r="G16" s="70">
        <v>176936</v>
      </c>
      <c r="H16" s="77">
        <f t="shared" si="0"/>
        <v>0</v>
      </c>
      <c r="M16" s="371" t="s">
        <v>516</v>
      </c>
      <c r="N16" s="70">
        <v>28977</v>
      </c>
      <c r="O16" s="226"/>
      <c r="P16" s="192">
        <v>3245151</v>
      </c>
      <c r="Q16" s="193">
        <v>40000</v>
      </c>
      <c r="R16" s="230">
        <v>42241</v>
      </c>
      <c r="W16" s="126" t="s">
        <v>567</v>
      </c>
      <c r="X16" s="70">
        <v>157367.43</v>
      </c>
      <c r="Y16" s="244" t="s">
        <v>137</v>
      </c>
      <c r="Z16" s="192">
        <v>3245205</v>
      </c>
      <c r="AA16" s="193">
        <v>36901</v>
      </c>
      <c r="AB16" s="230">
        <v>42256</v>
      </c>
    </row>
    <row r="17" spans="3:29" ht="15" x14ac:dyDescent="0.25">
      <c r="C17" s="74">
        <v>42256</v>
      </c>
      <c r="D17" s="126" t="s">
        <v>542</v>
      </c>
      <c r="E17" s="70">
        <v>12863.4</v>
      </c>
      <c r="F17" s="71">
        <v>42259</v>
      </c>
      <c r="G17" s="70">
        <v>12863.4</v>
      </c>
      <c r="H17" s="77">
        <f t="shared" si="0"/>
        <v>0</v>
      </c>
      <c r="M17" s="126" t="s">
        <v>517</v>
      </c>
      <c r="N17" s="70">
        <v>2617.56</v>
      </c>
      <c r="O17" s="244" t="s">
        <v>137</v>
      </c>
      <c r="P17" s="192"/>
      <c r="Q17" s="193">
        <v>0</v>
      </c>
      <c r="R17" s="230"/>
      <c r="W17" s="126"/>
      <c r="X17" s="70"/>
      <c r="Y17" s="226"/>
      <c r="Z17" s="192">
        <v>3245204</v>
      </c>
      <c r="AA17" s="193">
        <v>21498</v>
      </c>
      <c r="AB17" s="230">
        <v>42257</v>
      </c>
    </row>
    <row r="18" spans="3:29" thickBot="1" x14ac:dyDescent="0.3">
      <c r="C18" s="74">
        <v>42226</v>
      </c>
      <c r="D18" s="126" t="s">
        <v>551</v>
      </c>
      <c r="E18" s="70">
        <v>241133.73</v>
      </c>
      <c r="F18" s="128" t="s">
        <v>568</v>
      </c>
      <c r="G18" s="70">
        <f>55907.04+185226.69</f>
        <v>241133.73</v>
      </c>
      <c r="H18" s="77">
        <f t="shared" si="0"/>
        <v>0</v>
      </c>
      <c r="M18" s="373"/>
      <c r="N18" s="374">
        <v>0</v>
      </c>
      <c r="O18" s="375"/>
      <c r="P18" s="376"/>
      <c r="Q18" s="377">
        <v>0</v>
      </c>
      <c r="R18" s="378"/>
      <c r="S18" s="82"/>
      <c r="W18" s="126"/>
      <c r="X18" s="70"/>
      <c r="Y18" s="244"/>
      <c r="Z18" s="192">
        <v>3245206</v>
      </c>
      <c r="AA18" s="193">
        <v>43000</v>
      </c>
      <c r="AB18" s="230">
        <v>42257</v>
      </c>
    </row>
    <row r="19" spans="3:29" ht="16.5" thickTop="1" x14ac:dyDescent="0.25">
      <c r="C19" s="74">
        <v>42258</v>
      </c>
      <c r="D19" s="126" t="s">
        <v>552</v>
      </c>
      <c r="E19" s="70">
        <v>29663.85</v>
      </c>
      <c r="F19" s="71">
        <v>42265</v>
      </c>
      <c r="G19" s="70">
        <v>29663.85</v>
      </c>
      <c r="H19" s="77">
        <f t="shared" si="0"/>
        <v>0</v>
      </c>
      <c r="M19" s="350"/>
      <c r="N19" s="85">
        <f>SUM(N4:N18)</f>
        <v>506059.5</v>
      </c>
      <c r="O19" s="145"/>
      <c r="P19" s="204"/>
      <c r="Q19" s="379">
        <f>SUM(Q4:Q18)</f>
        <v>506059.5</v>
      </c>
      <c r="R19" s="233"/>
      <c r="S19" s="8"/>
      <c r="W19" s="121"/>
      <c r="X19" s="121"/>
      <c r="Y19" s="121"/>
      <c r="Z19" s="117">
        <v>3245203</v>
      </c>
      <c r="AA19" s="118">
        <v>50000</v>
      </c>
      <c r="AB19" s="120">
        <v>42257</v>
      </c>
    </row>
    <row r="20" spans="3:29" ht="15" x14ac:dyDescent="0.25">
      <c r="C20" s="74">
        <v>42258</v>
      </c>
      <c r="D20" s="126" t="s">
        <v>556</v>
      </c>
      <c r="E20" s="70">
        <v>1588.8</v>
      </c>
      <c r="F20" s="71">
        <v>42265</v>
      </c>
      <c r="G20" s="70">
        <v>1588.8</v>
      </c>
      <c r="H20" s="77">
        <f t="shared" si="0"/>
        <v>0</v>
      </c>
      <c r="M20" s="350"/>
      <c r="N20" s="85"/>
      <c r="O20" s="263"/>
      <c r="P20" s="204"/>
      <c r="Q20" s="205"/>
      <c r="R20" s="233"/>
      <c r="S20" s="8"/>
      <c r="W20" s="121"/>
      <c r="X20" s="121"/>
      <c r="Y20" s="121"/>
      <c r="Z20" s="117" t="s">
        <v>470</v>
      </c>
      <c r="AA20" s="118">
        <v>14028</v>
      </c>
      <c r="AB20" s="120">
        <v>42257</v>
      </c>
    </row>
    <row r="21" spans="3:29" ht="15" x14ac:dyDescent="0.25">
      <c r="C21" s="74">
        <v>42259</v>
      </c>
      <c r="D21" s="126" t="s">
        <v>553</v>
      </c>
      <c r="E21" s="70">
        <v>23164.45</v>
      </c>
      <c r="F21" s="71">
        <v>42265</v>
      </c>
      <c r="G21" s="70">
        <v>23164.45</v>
      </c>
      <c r="H21" s="77">
        <f t="shared" si="0"/>
        <v>0</v>
      </c>
      <c r="M21" s="350"/>
      <c r="N21" s="85"/>
      <c r="O21" s="145"/>
      <c r="P21" s="204"/>
      <c r="Q21" s="205"/>
      <c r="R21" s="233"/>
      <c r="S21" s="8"/>
      <c r="W21" s="387"/>
      <c r="X21" s="130"/>
      <c r="Y21" s="244"/>
      <c r="Z21" s="192">
        <v>3245199</v>
      </c>
      <c r="AA21" s="193">
        <v>41693</v>
      </c>
      <c r="AB21" s="230">
        <v>42258</v>
      </c>
    </row>
    <row r="22" spans="3:29" thickBot="1" x14ac:dyDescent="0.3">
      <c r="C22" s="74">
        <v>42259</v>
      </c>
      <c r="D22" s="126" t="s">
        <v>554</v>
      </c>
      <c r="E22" s="70">
        <v>241205.25</v>
      </c>
      <c r="F22" s="71">
        <v>42265</v>
      </c>
      <c r="G22" s="70">
        <v>241205.25</v>
      </c>
      <c r="H22" s="77">
        <f t="shared" si="0"/>
        <v>0</v>
      </c>
      <c r="M22" s="350"/>
      <c r="N22" s="85"/>
      <c r="O22" s="145"/>
      <c r="P22" s="204"/>
      <c r="Q22" s="205"/>
      <c r="R22" s="233"/>
      <c r="S22" s="272"/>
      <c r="W22" s="121"/>
      <c r="X22" s="121"/>
      <c r="Y22" s="121"/>
      <c r="Z22" s="117" t="s">
        <v>470</v>
      </c>
      <c r="AA22" s="118">
        <v>880</v>
      </c>
      <c r="AB22" s="120">
        <v>42254</v>
      </c>
      <c r="AC22" s="82">
        <v>42258</v>
      </c>
    </row>
    <row r="23" spans="3:29" ht="19.5" thickBot="1" x14ac:dyDescent="0.35">
      <c r="C23" s="74">
        <v>42262</v>
      </c>
      <c r="D23" s="126" t="s">
        <v>557</v>
      </c>
      <c r="E23" s="70">
        <v>1797.12</v>
      </c>
      <c r="F23" s="71">
        <v>42265</v>
      </c>
      <c r="G23" s="70">
        <v>1797.12</v>
      </c>
      <c r="H23" s="77">
        <f t="shared" si="0"/>
        <v>0</v>
      </c>
      <c r="M23" s="491">
        <v>1</v>
      </c>
      <c r="N23" s="96" t="s">
        <v>124</v>
      </c>
      <c r="O23" s="96"/>
      <c r="P23" s="97"/>
      <c r="Q23" s="386">
        <v>42251</v>
      </c>
      <c r="R23" s="229"/>
      <c r="S23" s="272"/>
      <c r="W23" s="121"/>
      <c r="X23" s="121"/>
      <c r="Y23" s="121"/>
      <c r="Z23" s="117">
        <v>3245201</v>
      </c>
      <c r="AA23" s="118">
        <v>40000</v>
      </c>
      <c r="AB23" s="120">
        <v>42258</v>
      </c>
    </row>
    <row r="24" spans="3:29" ht="16.5" thickBot="1" x14ac:dyDescent="0.3">
      <c r="C24" s="74">
        <v>42262</v>
      </c>
      <c r="D24" s="126" t="s">
        <v>558</v>
      </c>
      <c r="E24" s="70">
        <v>28819.37</v>
      </c>
      <c r="F24" s="71">
        <v>42265</v>
      </c>
      <c r="G24" s="70">
        <v>28819.37</v>
      </c>
      <c r="H24" s="77">
        <f t="shared" si="0"/>
        <v>0</v>
      </c>
      <c r="M24" s="492"/>
      <c r="N24" s="100"/>
      <c r="O24" s="100"/>
      <c r="P24" s="101"/>
      <c r="Q24" s="102"/>
      <c r="R24" s="229"/>
      <c r="S24" s="8"/>
      <c r="W24" s="121"/>
      <c r="X24" s="121"/>
      <c r="Y24" s="121"/>
      <c r="Z24" s="117">
        <v>3245202</v>
      </c>
      <c r="AA24" s="118">
        <v>63000</v>
      </c>
      <c r="AB24" s="120">
        <v>42258</v>
      </c>
    </row>
    <row r="25" spans="3:29" ht="16.5" thickBot="1" x14ac:dyDescent="0.3">
      <c r="C25" s="74">
        <v>42262</v>
      </c>
      <c r="D25" s="126" t="s">
        <v>559</v>
      </c>
      <c r="E25" s="70">
        <v>90852.44</v>
      </c>
      <c r="F25" s="71">
        <v>42265</v>
      </c>
      <c r="G25" s="70">
        <v>90852.44</v>
      </c>
      <c r="H25" s="72">
        <f t="shared" si="0"/>
        <v>0</v>
      </c>
      <c r="M25" s="302" t="s">
        <v>126</v>
      </c>
      <c r="N25" s="302" t="s">
        <v>127</v>
      </c>
      <c r="O25" s="302"/>
      <c r="P25" s="395" t="s">
        <v>128</v>
      </c>
      <c r="Q25" s="396" t="s">
        <v>129</v>
      </c>
      <c r="R25" s="397"/>
      <c r="S25" s="8"/>
      <c r="W25" s="389"/>
      <c r="X25" s="389"/>
      <c r="Y25" s="389"/>
      <c r="Z25" s="390"/>
      <c r="AA25" s="391">
        <v>0</v>
      </c>
      <c r="AB25" s="392"/>
    </row>
    <row r="26" spans="3:29" ht="19.5" thickTop="1" x14ac:dyDescent="0.3">
      <c r="C26" s="74">
        <v>42263</v>
      </c>
      <c r="D26" s="126" t="s">
        <v>560</v>
      </c>
      <c r="E26" s="70">
        <v>14504</v>
      </c>
      <c r="F26" s="71">
        <v>42265</v>
      </c>
      <c r="G26" s="70">
        <v>14504</v>
      </c>
      <c r="H26" s="77">
        <f t="shared" si="0"/>
        <v>0</v>
      </c>
      <c r="M26" s="394" t="s">
        <v>527</v>
      </c>
      <c r="N26" s="298">
        <v>318412.71999999997</v>
      </c>
      <c r="O26" s="298"/>
      <c r="P26" s="299">
        <v>3245149</v>
      </c>
      <c r="Q26" s="300">
        <v>34861</v>
      </c>
      <c r="R26" s="301">
        <v>42241</v>
      </c>
      <c r="S26" s="8"/>
      <c r="W26" s="8"/>
      <c r="X26" s="290">
        <f>SUM(X5:X25)</f>
        <v>811260.5</v>
      </c>
      <c r="Y26" s="393"/>
      <c r="Z26" s="393"/>
      <c r="AA26" s="393">
        <f>SUM(AA5:AA25)</f>
        <v>811260.5</v>
      </c>
      <c r="AB26" s="388"/>
    </row>
    <row r="27" spans="3:29" x14ac:dyDescent="0.25">
      <c r="C27" s="74">
        <v>42263</v>
      </c>
      <c r="D27" s="126" t="s">
        <v>571</v>
      </c>
      <c r="E27" s="129">
        <v>268755.20000000001</v>
      </c>
      <c r="F27" s="71">
        <v>42268</v>
      </c>
      <c r="G27" s="70">
        <v>268755.20000000001</v>
      </c>
      <c r="H27" s="77">
        <f t="shared" si="0"/>
        <v>0</v>
      </c>
      <c r="M27" s="126" t="s">
        <v>528</v>
      </c>
      <c r="N27" s="70">
        <v>314635.32</v>
      </c>
      <c r="O27" s="111"/>
      <c r="P27" s="186" t="s">
        <v>470</v>
      </c>
      <c r="Q27" s="187">
        <v>12854</v>
      </c>
      <c r="R27" s="230">
        <v>42240</v>
      </c>
      <c r="S27" s="272">
        <v>42242</v>
      </c>
    </row>
    <row r="28" spans="3:29" ht="16.5" thickBot="1" x14ac:dyDescent="0.3">
      <c r="C28" s="74">
        <v>42264</v>
      </c>
      <c r="D28" s="126" t="s">
        <v>561</v>
      </c>
      <c r="E28" s="70">
        <v>20169.8</v>
      </c>
      <c r="F28" s="71">
        <v>42265</v>
      </c>
      <c r="G28" s="70">
        <v>20169.8</v>
      </c>
      <c r="H28" s="77">
        <f t="shared" si="0"/>
        <v>0</v>
      </c>
      <c r="M28" s="126" t="s">
        <v>517</v>
      </c>
      <c r="N28" s="70">
        <v>11278.74</v>
      </c>
      <c r="O28" s="111"/>
      <c r="P28" s="186" t="s">
        <v>470</v>
      </c>
      <c r="Q28" s="187">
        <v>6057</v>
      </c>
      <c r="R28" s="230">
        <v>42242</v>
      </c>
      <c r="S28" s="8"/>
    </row>
    <row r="29" spans="3:29" ht="19.5" thickBot="1" x14ac:dyDescent="0.35">
      <c r="C29" s="74">
        <v>42264</v>
      </c>
      <c r="D29" s="126" t="s">
        <v>562</v>
      </c>
      <c r="E29" s="70">
        <v>16901.3</v>
      </c>
      <c r="F29" s="71">
        <v>42265</v>
      </c>
      <c r="G29" s="70">
        <v>16901.3</v>
      </c>
      <c r="H29" s="77">
        <f t="shared" si="0"/>
        <v>0</v>
      </c>
      <c r="M29" s="126" t="s">
        <v>530</v>
      </c>
      <c r="N29" s="70">
        <v>11558.72</v>
      </c>
      <c r="O29" s="111" t="s">
        <v>165</v>
      </c>
      <c r="P29" s="186">
        <v>3245148</v>
      </c>
      <c r="Q29" s="187">
        <v>70000</v>
      </c>
      <c r="R29" s="230">
        <v>42242</v>
      </c>
      <c r="S29" s="8"/>
      <c r="W29" s="491">
        <v>1</v>
      </c>
      <c r="X29" s="96" t="s">
        <v>124</v>
      </c>
      <c r="Y29" s="96"/>
      <c r="Z29" s="97"/>
      <c r="AA29" s="399">
        <v>42268</v>
      </c>
      <c r="AB29" s="229"/>
    </row>
    <row r="30" spans="3:29" ht="16.5" thickBot="1" x14ac:dyDescent="0.3">
      <c r="C30" s="74">
        <v>42264</v>
      </c>
      <c r="D30" s="126" t="s">
        <v>567</v>
      </c>
      <c r="E30" s="70">
        <v>177099.92</v>
      </c>
      <c r="F30" s="196" t="s">
        <v>575</v>
      </c>
      <c r="G30" s="70">
        <f>157367.43+19732.49</f>
        <v>177099.91999999998</v>
      </c>
      <c r="H30" s="77">
        <f t="shared" si="0"/>
        <v>0</v>
      </c>
      <c r="M30" s="126"/>
      <c r="N30" s="70"/>
      <c r="O30" s="111"/>
      <c r="P30" s="186">
        <v>3245147</v>
      </c>
      <c r="Q30" s="187">
        <v>50150</v>
      </c>
      <c r="R30" s="230">
        <v>42242</v>
      </c>
      <c r="S30" s="8"/>
      <c r="W30" s="492"/>
      <c r="X30" s="100"/>
      <c r="Y30" s="100"/>
      <c r="Z30" s="101"/>
      <c r="AA30" s="102"/>
      <c r="AB30" s="229"/>
    </row>
    <row r="31" spans="3:29" ht="16.5" thickBot="1" x14ac:dyDescent="0.3">
      <c r="C31" s="74">
        <v>42266</v>
      </c>
      <c r="D31" s="126" t="s">
        <v>569</v>
      </c>
      <c r="E31" s="70">
        <v>30074.6</v>
      </c>
      <c r="F31" s="71">
        <v>42268</v>
      </c>
      <c r="G31" s="70">
        <v>30074.6</v>
      </c>
      <c r="H31" s="77">
        <f t="shared" si="0"/>
        <v>0</v>
      </c>
      <c r="M31" s="126"/>
      <c r="N31" s="70"/>
      <c r="O31" s="190"/>
      <c r="P31" s="186" t="s">
        <v>470</v>
      </c>
      <c r="Q31" s="187">
        <v>15361</v>
      </c>
      <c r="R31" s="230">
        <v>42242</v>
      </c>
      <c r="S31" s="272">
        <v>42243</v>
      </c>
      <c r="W31" s="302" t="s">
        <v>126</v>
      </c>
      <c r="X31" s="302" t="s">
        <v>127</v>
      </c>
      <c r="Y31" s="302"/>
      <c r="Z31" s="395" t="s">
        <v>128</v>
      </c>
      <c r="AA31" s="396" t="s">
        <v>129</v>
      </c>
      <c r="AB31" s="397"/>
    </row>
    <row r="32" spans="3:29" ht="16.5" thickTop="1" x14ac:dyDescent="0.25">
      <c r="C32" s="74">
        <v>42266</v>
      </c>
      <c r="D32" s="126" t="s">
        <v>570</v>
      </c>
      <c r="E32" s="129">
        <v>219651.08</v>
      </c>
      <c r="F32" s="128" t="s">
        <v>578</v>
      </c>
      <c r="G32" s="70">
        <f>1455.71+218195.37</f>
        <v>219651.08</v>
      </c>
      <c r="H32" s="77">
        <f t="shared" si="0"/>
        <v>0</v>
      </c>
      <c r="M32" s="126"/>
      <c r="N32" s="70"/>
      <c r="O32" s="226"/>
      <c r="P32" s="186" t="s">
        <v>470</v>
      </c>
      <c r="Q32" s="187">
        <v>9592</v>
      </c>
      <c r="R32" s="230">
        <v>42241</v>
      </c>
      <c r="S32" s="272">
        <v>42243</v>
      </c>
      <c r="W32" s="394" t="s">
        <v>571</v>
      </c>
      <c r="X32" s="298">
        <v>268755.20000000001</v>
      </c>
      <c r="Y32" s="298"/>
      <c r="Z32" s="299">
        <v>3245200</v>
      </c>
      <c r="AA32" s="300">
        <v>50000</v>
      </c>
      <c r="AB32" s="301">
        <v>42259</v>
      </c>
    </row>
    <row r="33" spans="2:29" x14ac:dyDescent="0.25">
      <c r="C33" s="74">
        <v>42267</v>
      </c>
      <c r="D33" s="126" t="s">
        <v>572</v>
      </c>
      <c r="E33" s="70">
        <v>5755.3</v>
      </c>
      <c r="F33" s="71">
        <v>42270</v>
      </c>
      <c r="G33" s="70">
        <v>5755.3</v>
      </c>
      <c r="H33" s="77">
        <f t="shared" si="0"/>
        <v>0</v>
      </c>
      <c r="M33" s="126"/>
      <c r="N33" s="70"/>
      <c r="O33" s="111"/>
      <c r="P33" s="192">
        <v>3245146</v>
      </c>
      <c r="Q33" s="193">
        <v>54000</v>
      </c>
      <c r="R33" s="230">
        <v>42243</v>
      </c>
      <c r="S33" s="8"/>
      <c r="W33" s="126" t="s">
        <v>567</v>
      </c>
      <c r="X33" s="70">
        <v>19732.490000000002</v>
      </c>
      <c r="Y33" s="111"/>
      <c r="Z33" s="186">
        <v>3245198</v>
      </c>
      <c r="AA33" s="187">
        <v>32721.5</v>
      </c>
      <c r="AB33" s="230">
        <v>42259</v>
      </c>
    </row>
    <row r="34" spans="2:29" ht="15" x14ac:dyDescent="0.25">
      <c r="B34" s="82"/>
      <c r="C34" s="74">
        <v>42268</v>
      </c>
      <c r="D34" s="126" t="s">
        <v>573</v>
      </c>
      <c r="E34" s="70">
        <v>15742</v>
      </c>
      <c r="F34" s="71">
        <v>42270</v>
      </c>
      <c r="G34" s="70">
        <v>15742</v>
      </c>
      <c r="H34" s="77">
        <f t="shared" si="0"/>
        <v>0</v>
      </c>
      <c r="M34" s="126"/>
      <c r="N34" s="70"/>
      <c r="O34" s="111"/>
      <c r="P34" s="192">
        <v>3245144</v>
      </c>
      <c r="Q34" s="193">
        <v>50000</v>
      </c>
      <c r="R34" s="230">
        <v>42243</v>
      </c>
      <c r="S34" s="8"/>
      <c r="W34" s="126" t="s">
        <v>569</v>
      </c>
      <c r="X34" s="70">
        <v>30074.6</v>
      </c>
      <c r="Y34" s="111"/>
      <c r="Z34" s="117">
        <v>3206672</v>
      </c>
      <c r="AA34" s="118">
        <v>13863</v>
      </c>
      <c r="AB34" s="120">
        <v>42259</v>
      </c>
    </row>
    <row r="35" spans="2:29" x14ac:dyDescent="0.25">
      <c r="C35" s="74">
        <v>42268</v>
      </c>
      <c r="D35" s="126" t="s">
        <v>574</v>
      </c>
      <c r="E35" s="70">
        <v>6065.1</v>
      </c>
      <c r="F35" s="71">
        <v>42270</v>
      </c>
      <c r="G35" s="70">
        <v>6065.1</v>
      </c>
      <c r="H35" s="77">
        <f t="shared" si="0"/>
        <v>0</v>
      </c>
      <c r="M35" s="126"/>
      <c r="N35" s="70"/>
      <c r="O35" s="111"/>
      <c r="P35" s="192">
        <v>3245145</v>
      </c>
      <c r="Q35" s="193">
        <v>27476.5</v>
      </c>
      <c r="R35" s="230">
        <v>42243</v>
      </c>
      <c r="S35" s="8"/>
      <c r="W35" s="126" t="s">
        <v>570</v>
      </c>
      <c r="X35" s="70">
        <v>1455.71</v>
      </c>
      <c r="Y35" s="111" t="s">
        <v>137</v>
      </c>
      <c r="Z35" s="186">
        <v>3245197</v>
      </c>
      <c r="AA35" s="187">
        <v>25000</v>
      </c>
      <c r="AB35" s="230">
        <v>42260</v>
      </c>
    </row>
    <row r="36" spans="2:29" x14ac:dyDescent="0.25">
      <c r="C36" s="74">
        <v>42269</v>
      </c>
      <c r="D36" s="126" t="s">
        <v>577</v>
      </c>
      <c r="E36" s="70">
        <v>27593.1</v>
      </c>
      <c r="F36" s="71" t="s">
        <v>584</v>
      </c>
      <c r="G36" s="70">
        <f>4313.23+23279.87</f>
        <v>27593.1</v>
      </c>
      <c r="H36" s="77">
        <f t="shared" si="0"/>
        <v>0</v>
      </c>
      <c r="M36" s="126"/>
      <c r="N36" s="70"/>
      <c r="O36" s="111"/>
      <c r="P36" s="192">
        <v>3245143</v>
      </c>
      <c r="Q36" s="193">
        <v>83500</v>
      </c>
      <c r="R36" s="230">
        <v>42244</v>
      </c>
      <c r="S36" s="8"/>
      <c r="W36" s="126"/>
      <c r="X36" s="70"/>
      <c r="Y36" s="111"/>
      <c r="Z36" s="186">
        <v>3245196</v>
      </c>
      <c r="AA36" s="187">
        <v>54000</v>
      </c>
      <c r="AB36" s="230">
        <v>42260</v>
      </c>
    </row>
    <row r="37" spans="2:29" x14ac:dyDescent="0.25">
      <c r="C37" s="74">
        <v>42272</v>
      </c>
      <c r="D37" s="126" t="s">
        <v>583</v>
      </c>
      <c r="E37" s="70">
        <v>24766.5</v>
      </c>
      <c r="F37" s="71">
        <v>42273</v>
      </c>
      <c r="G37" s="70">
        <v>24766.5</v>
      </c>
      <c r="H37" s="77">
        <f t="shared" si="0"/>
        <v>0</v>
      </c>
      <c r="M37" s="126"/>
      <c r="N37" s="70"/>
      <c r="O37" s="226"/>
      <c r="P37" s="192">
        <v>3245142</v>
      </c>
      <c r="Q37" s="193">
        <v>30000</v>
      </c>
      <c r="R37" s="230">
        <v>42244</v>
      </c>
      <c r="W37" s="126"/>
      <c r="X37" s="70"/>
      <c r="Y37" s="190"/>
      <c r="Z37" s="186">
        <v>3245195</v>
      </c>
      <c r="AA37" s="187">
        <v>32233.5</v>
      </c>
      <c r="AB37" s="230">
        <v>42260</v>
      </c>
    </row>
    <row r="38" spans="2:29" x14ac:dyDescent="0.25">
      <c r="C38" s="74">
        <v>42272</v>
      </c>
      <c r="D38" s="126" t="s">
        <v>579</v>
      </c>
      <c r="E38" s="70">
        <v>154754.43</v>
      </c>
      <c r="F38" s="71">
        <v>42273</v>
      </c>
      <c r="G38" s="70">
        <v>154754.43</v>
      </c>
      <c r="H38" s="77">
        <f t="shared" si="0"/>
        <v>0</v>
      </c>
      <c r="M38" s="371"/>
      <c r="N38" s="70"/>
      <c r="O38" s="226"/>
      <c r="P38" s="192">
        <v>3245141</v>
      </c>
      <c r="Q38" s="193">
        <v>19034</v>
      </c>
      <c r="R38" s="230">
        <v>42244</v>
      </c>
      <c r="W38" s="126"/>
      <c r="X38" s="70"/>
      <c r="Y38" s="226"/>
      <c r="Z38" s="186">
        <v>3245194</v>
      </c>
      <c r="AA38" s="187">
        <v>25000</v>
      </c>
      <c r="AB38" s="230">
        <v>42261</v>
      </c>
    </row>
    <row r="39" spans="2:29" ht="15" x14ac:dyDescent="0.25">
      <c r="C39" s="74">
        <v>42272</v>
      </c>
      <c r="D39" s="126" t="s">
        <v>580</v>
      </c>
      <c r="E39" s="70">
        <v>3374</v>
      </c>
      <c r="F39" s="71">
        <v>42273</v>
      </c>
      <c r="G39" s="70">
        <v>3374</v>
      </c>
      <c r="H39" s="77">
        <f t="shared" si="0"/>
        <v>0</v>
      </c>
      <c r="M39" s="126"/>
      <c r="N39" s="70"/>
      <c r="O39" s="244"/>
      <c r="P39" s="192">
        <v>3245140</v>
      </c>
      <c r="Q39" s="193">
        <v>45000</v>
      </c>
      <c r="R39" s="230">
        <v>42245</v>
      </c>
      <c r="W39" s="126"/>
      <c r="X39" s="70"/>
      <c r="Y39" s="111"/>
      <c r="Z39" s="192">
        <v>3245192</v>
      </c>
      <c r="AA39" s="193">
        <v>30000</v>
      </c>
      <c r="AB39" s="230">
        <v>42261</v>
      </c>
    </row>
    <row r="40" spans="2:29" ht="15" x14ac:dyDescent="0.25">
      <c r="C40" s="74">
        <v>42272</v>
      </c>
      <c r="D40" s="126" t="s">
        <v>581</v>
      </c>
      <c r="E40" s="70">
        <v>25667.599999999999</v>
      </c>
      <c r="F40" s="71" t="s">
        <v>589</v>
      </c>
      <c r="G40" s="70">
        <f>12070.7+13596.9</f>
        <v>25667.599999999999</v>
      </c>
      <c r="H40" s="77">
        <f t="shared" si="0"/>
        <v>0</v>
      </c>
      <c r="M40" s="121"/>
      <c r="N40" s="121"/>
      <c r="O40" s="121"/>
      <c r="P40" s="117">
        <v>3245139</v>
      </c>
      <c r="Q40" s="118">
        <v>50000</v>
      </c>
      <c r="R40" s="120">
        <v>42245</v>
      </c>
      <c r="W40" s="126"/>
      <c r="X40" s="70"/>
      <c r="Y40" s="111"/>
      <c r="Z40" s="192">
        <v>3245193</v>
      </c>
      <c r="AA40" s="193">
        <v>57000</v>
      </c>
      <c r="AB40" s="230">
        <v>42261</v>
      </c>
    </row>
    <row r="41" spans="2:29" ht="16.5" thickBot="1" x14ac:dyDescent="0.3">
      <c r="C41" s="74">
        <v>42273</v>
      </c>
      <c r="D41" s="126" t="s">
        <v>585</v>
      </c>
      <c r="E41" s="70">
        <v>40882.699999999997</v>
      </c>
      <c r="F41" s="71">
        <v>42276</v>
      </c>
      <c r="G41" s="70">
        <v>40882.699999999997</v>
      </c>
      <c r="H41" s="77">
        <f t="shared" si="0"/>
        <v>0</v>
      </c>
      <c r="M41" s="121"/>
      <c r="N41" s="121"/>
      <c r="O41" s="121"/>
      <c r="P41" s="117">
        <v>3245137</v>
      </c>
      <c r="Q41" s="118">
        <v>40000</v>
      </c>
      <c r="R41" s="120">
        <v>42245</v>
      </c>
      <c r="W41" s="389"/>
      <c r="X41" s="389"/>
      <c r="Y41" s="389"/>
      <c r="Z41" s="400" t="s">
        <v>470</v>
      </c>
      <c r="AA41" s="401">
        <v>200</v>
      </c>
      <c r="AB41" s="378">
        <v>42268</v>
      </c>
      <c r="AC41" s="82">
        <v>42261</v>
      </c>
    </row>
    <row r="42" spans="2:29" ht="19.5" thickTop="1" x14ac:dyDescent="0.3">
      <c r="C42" s="74">
        <v>42273</v>
      </c>
      <c r="D42" s="126" t="s">
        <v>586</v>
      </c>
      <c r="E42" s="70">
        <v>26111.599999999999</v>
      </c>
      <c r="F42" s="71">
        <v>42276</v>
      </c>
      <c r="G42" s="70">
        <v>26111.599999999999</v>
      </c>
      <c r="H42" s="77">
        <f t="shared" si="0"/>
        <v>0</v>
      </c>
      <c r="M42" s="387"/>
      <c r="N42" s="130"/>
      <c r="O42" s="244"/>
      <c r="P42" s="192">
        <v>3245138</v>
      </c>
      <c r="Q42" s="193">
        <v>58000</v>
      </c>
      <c r="R42" s="230">
        <v>42245</v>
      </c>
      <c r="W42" s="8"/>
      <c r="X42" s="290">
        <f>SUM(X32:X41)</f>
        <v>320018</v>
      </c>
      <c r="Y42" s="393"/>
      <c r="Z42" s="393"/>
      <c r="AA42" s="393">
        <f>SUM(AA32:AA41)</f>
        <v>320018</v>
      </c>
      <c r="AB42" s="388"/>
    </row>
    <row r="43" spans="2:29" ht="15" x14ac:dyDescent="0.25">
      <c r="C43" s="74">
        <v>42274</v>
      </c>
      <c r="D43" s="126" t="s">
        <v>587</v>
      </c>
      <c r="E43" s="70">
        <v>26978.7</v>
      </c>
      <c r="F43" s="71">
        <v>42276</v>
      </c>
      <c r="G43" s="70">
        <v>26978.7</v>
      </c>
      <c r="H43" s="77">
        <f t="shared" si="0"/>
        <v>0</v>
      </c>
      <c r="M43" s="121"/>
      <c r="N43" s="121"/>
      <c r="O43" s="121"/>
      <c r="P43" s="117"/>
      <c r="Q43" s="118">
        <v>0</v>
      </c>
      <c r="R43" s="120"/>
    </row>
    <row r="44" spans="2:29" thickBot="1" x14ac:dyDescent="0.3">
      <c r="C44" s="74">
        <v>42275</v>
      </c>
      <c r="D44" s="126" t="s">
        <v>588</v>
      </c>
      <c r="E44" s="70">
        <v>13996.5</v>
      </c>
      <c r="F44" s="71" t="s">
        <v>595</v>
      </c>
      <c r="G44" s="70">
        <f>6760.1+7236.4</f>
        <v>13996.5</v>
      </c>
      <c r="H44" s="77">
        <f t="shared" si="0"/>
        <v>0</v>
      </c>
      <c r="M44" s="389"/>
      <c r="N44" s="389"/>
      <c r="O44" s="389"/>
      <c r="P44" s="390"/>
      <c r="Q44" s="391">
        <v>0</v>
      </c>
      <c r="R44" s="392"/>
    </row>
    <row r="45" spans="2:29" ht="19.5" thickTop="1" x14ac:dyDescent="0.3">
      <c r="C45" s="74">
        <v>42275</v>
      </c>
      <c r="D45" s="126" t="s">
        <v>594</v>
      </c>
      <c r="E45" s="70">
        <v>117570</v>
      </c>
      <c r="F45" s="412" t="s">
        <v>601</v>
      </c>
      <c r="G45" s="70">
        <f>99963.6+17606.4</f>
        <v>117570</v>
      </c>
      <c r="H45" s="77">
        <f t="shared" si="0"/>
        <v>0</v>
      </c>
      <c r="M45" s="8"/>
      <c r="N45" s="290">
        <f t="shared" ref="N45" si="1">SUM(N26:N44)</f>
        <v>655885.5</v>
      </c>
      <c r="O45" s="393"/>
      <c r="P45" s="393"/>
      <c r="Q45" s="393">
        <f>SUM(Q26:Q44)</f>
        <v>655885.5</v>
      </c>
      <c r="R45" s="388"/>
    </row>
    <row r="46" spans="2:29" ht="15" x14ac:dyDescent="0.25">
      <c r="C46" s="74">
        <v>42276</v>
      </c>
      <c r="D46" s="126" t="s">
        <v>597</v>
      </c>
      <c r="E46" s="70">
        <v>137451</v>
      </c>
      <c r="F46" s="413">
        <v>42280</v>
      </c>
      <c r="G46" s="70">
        <v>137451</v>
      </c>
      <c r="H46" s="77">
        <f t="shared" si="0"/>
        <v>0</v>
      </c>
      <c r="M46" s="8"/>
      <c r="N46" s="8"/>
      <c r="O46" s="8"/>
      <c r="P46" s="404"/>
      <c r="Q46" s="138"/>
      <c r="R46" s="388"/>
    </row>
    <row r="47" spans="2:29" ht="15" x14ac:dyDescent="0.25">
      <c r="C47" s="74">
        <v>42277</v>
      </c>
      <c r="D47" s="126" t="s">
        <v>596</v>
      </c>
      <c r="E47" s="70">
        <v>16317</v>
      </c>
      <c r="F47" s="413">
        <v>42280</v>
      </c>
      <c r="G47" s="274">
        <v>16317</v>
      </c>
      <c r="H47" s="77">
        <f t="shared" si="0"/>
        <v>0</v>
      </c>
      <c r="M47" s="8"/>
      <c r="N47" s="8"/>
      <c r="O47" s="8"/>
      <c r="P47" s="404"/>
      <c r="Q47" s="138"/>
      <c r="R47" s="388"/>
      <c r="S47" s="82"/>
    </row>
    <row r="48" spans="2:29" thickBot="1" x14ac:dyDescent="0.3">
      <c r="C48" s="74">
        <v>42277</v>
      </c>
      <c r="D48" s="126" t="s">
        <v>598</v>
      </c>
      <c r="E48" s="70">
        <v>412653.6</v>
      </c>
      <c r="F48" s="413">
        <v>42280</v>
      </c>
      <c r="G48" s="274">
        <v>412653.6</v>
      </c>
      <c r="H48" s="77">
        <f t="shared" si="0"/>
        <v>0</v>
      </c>
      <c r="M48" s="8"/>
      <c r="N48" s="8"/>
      <c r="O48" s="8"/>
      <c r="P48" s="404"/>
      <c r="Q48" s="138"/>
      <c r="R48" s="388"/>
    </row>
    <row r="49" spans="3:28" ht="19.5" thickBot="1" x14ac:dyDescent="0.35">
      <c r="C49" s="74"/>
      <c r="D49" s="126"/>
      <c r="E49" s="70"/>
      <c r="F49" s="146"/>
      <c r="G49" s="274"/>
      <c r="H49" s="77">
        <f t="shared" si="0"/>
        <v>0</v>
      </c>
      <c r="M49" s="491">
        <v>1</v>
      </c>
      <c r="N49" s="96" t="s">
        <v>124</v>
      </c>
      <c r="O49" s="96"/>
      <c r="P49" s="97"/>
      <c r="Q49" s="386">
        <v>42259</v>
      </c>
      <c r="R49" s="229"/>
      <c r="W49" s="491">
        <v>1</v>
      </c>
      <c r="X49" s="96" t="s">
        <v>124</v>
      </c>
      <c r="Y49" s="96"/>
      <c r="Z49" s="97"/>
      <c r="AA49" s="372">
        <v>42270</v>
      </c>
      <c r="AB49" s="229"/>
    </row>
    <row r="50" spans="3:28" ht="16.5" thickBot="1" x14ac:dyDescent="0.3">
      <c r="C50" s="74"/>
      <c r="D50" s="126"/>
      <c r="E50" s="70"/>
      <c r="F50" s="146"/>
      <c r="G50" s="274"/>
      <c r="H50" s="77">
        <f t="shared" si="0"/>
        <v>0</v>
      </c>
      <c r="M50" s="492"/>
      <c r="N50" s="100"/>
      <c r="O50" s="100"/>
      <c r="P50" s="101"/>
      <c r="Q50" s="102"/>
      <c r="R50" s="229"/>
      <c r="W50" s="492"/>
      <c r="X50" s="100"/>
      <c r="Y50" s="100"/>
      <c r="Z50" s="101"/>
      <c r="AA50" s="102"/>
      <c r="AB50" s="229"/>
    </row>
    <row r="51" spans="3:28" ht="16.5" thickBot="1" x14ac:dyDescent="0.3">
      <c r="C51" s="74"/>
      <c r="D51" s="126"/>
      <c r="E51" s="70"/>
      <c r="F51" s="146"/>
      <c r="G51" s="274"/>
      <c r="H51" s="77">
        <f t="shared" si="0"/>
        <v>0</v>
      </c>
      <c r="M51" s="302" t="s">
        <v>126</v>
      </c>
      <c r="N51" s="302" t="s">
        <v>127</v>
      </c>
      <c r="O51" s="302"/>
      <c r="P51" s="395" t="s">
        <v>128</v>
      </c>
      <c r="Q51" s="396" t="s">
        <v>129</v>
      </c>
      <c r="R51" s="397"/>
      <c r="W51" s="302" t="s">
        <v>126</v>
      </c>
      <c r="X51" s="302" t="s">
        <v>127</v>
      </c>
      <c r="Y51" s="302"/>
      <c r="Z51" s="395" t="s">
        <v>128</v>
      </c>
      <c r="AA51" s="396" t="s">
        <v>129</v>
      </c>
      <c r="AB51" s="397"/>
    </row>
    <row r="52" spans="3:28" ht="16.5" thickTop="1" x14ac:dyDescent="0.25">
      <c r="C52" s="74"/>
      <c r="D52" s="126"/>
      <c r="E52" s="70"/>
      <c r="F52" s="146"/>
      <c r="G52" s="274"/>
      <c r="H52" s="77">
        <f t="shared" si="0"/>
        <v>0</v>
      </c>
      <c r="M52" s="394" t="s">
        <v>530</v>
      </c>
      <c r="N52" s="298">
        <v>202.48</v>
      </c>
      <c r="O52" s="298"/>
      <c r="P52" s="299">
        <v>3245136</v>
      </c>
      <c r="Q52" s="300">
        <v>29821</v>
      </c>
      <c r="R52" s="301">
        <v>42245</v>
      </c>
      <c r="W52" s="394" t="s">
        <v>570</v>
      </c>
      <c r="X52" s="298">
        <v>218195.37</v>
      </c>
      <c r="Y52" s="298"/>
      <c r="Z52" s="299">
        <v>3245191</v>
      </c>
      <c r="AA52" s="300">
        <v>35450</v>
      </c>
      <c r="AB52" s="301">
        <v>42261</v>
      </c>
    </row>
    <row r="53" spans="3:28" x14ac:dyDescent="0.25">
      <c r="C53" s="74"/>
      <c r="D53" s="126"/>
      <c r="E53" s="70"/>
      <c r="F53" s="146"/>
      <c r="G53" s="274"/>
      <c r="H53" s="77">
        <f t="shared" si="0"/>
        <v>0</v>
      </c>
      <c r="M53" s="126" t="s">
        <v>532</v>
      </c>
      <c r="N53" s="70">
        <v>22393.8</v>
      </c>
      <c r="O53" s="111"/>
      <c r="P53" s="186">
        <v>3245135</v>
      </c>
      <c r="Q53" s="187">
        <v>50000</v>
      </c>
      <c r="R53" s="230">
        <v>42246</v>
      </c>
      <c r="W53" s="126" t="s">
        <v>572</v>
      </c>
      <c r="X53" s="70">
        <v>5755.3</v>
      </c>
      <c r="Y53" s="111"/>
      <c r="Z53" s="186">
        <v>3245063</v>
      </c>
      <c r="AA53" s="187">
        <v>5913</v>
      </c>
      <c r="AB53" s="230">
        <v>42262</v>
      </c>
    </row>
    <row r="54" spans="3:28" x14ac:dyDescent="0.25">
      <c r="C54" s="74"/>
      <c r="D54" s="126"/>
      <c r="E54" s="70"/>
      <c r="F54" s="146"/>
      <c r="G54" s="274"/>
      <c r="H54" s="77">
        <f t="shared" si="0"/>
        <v>0</v>
      </c>
      <c r="M54" s="126" t="s">
        <v>533</v>
      </c>
      <c r="N54" s="70">
        <v>119372.82</v>
      </c>
      <c r="O54" s="111"/>
      <c r="P54" s="186">
        <v>3245134</v>
      </c>
      <c r="Q54" s="187">
        <v>25000</v>
      </c>
      <c r="R54" s="230">
        <v>42246</v>
      </c>
      <c r="W54" s="126" t="s">
        <v>573</v>
      </c>
      <c r="X54" s="70">
        <v>15742</v>
      </c>
      <c r="Y54" s="111"/>
      <c r="Z54" s="186">
        <v>3245062</v>
      </c>
      <c r="AA54" s="187">
        <v>15960</v>
      </c>
      <c r="AB54" s="230">
        <v>42262</v>
      </c>
    </row>
    <row r="55" spans="3:28" x14ac:dyDescent="0.25">
      <c r="C55" s="74"/>
      <c r="D55" s="126"/>
      <c r="E55" s="70"/>
      <c r="F55" s="146"/>
      <c r="G55" s="274"/>
      <c r="H55" s="77">
        <f t="shared" si="0"/>
        <v>0</v>
      </c>
      <c r="M55" s="126" t="s">
        <v>534</v>
      </c>
      <c r="N55" s="70">
        <v>57050.5</v>
      </c>
      <c r="O55" s="111"/>
      <c r="P55" s="186">
        <v>3245132</v>
      </c>
      <c r="Q55" s="187">
        <v>23094.5</v>
      </c>
      <c r="R55" s="230">
        <v>42246</v>
      </c>
      <c r="W55" s="126" t="s">
        <v>574</v>
      </c>
      <c r="X55" s="70">
        <v>6065.1</v>
      </c>
      <c r="Y55" s="111"/>
      <c r="Z55" s="186">
        <v>3209335</v>
      </c>
      <c r="AA55" s="187">
        <v>29160</v>
      </c>
      <c r="AB55" s="230">
        <v>42262</v>
      </c>
    </row>
    <row r="56" spans="3:28" x14ac:dyDescent="0.25">
      <c r="C56" s="74"/>
      <c r="D56" s="126"/>
      <c r="E56" s="70"/>
      <c r="F56" s="146"/>
      <c r="G56" s="274"/>
      <c r="H56" s="77">
        <f t="shared" si="0"/>
        <v>0</v>
      </c>
      <c r="M56" s="126" t="s">
        <v>535</v>
      </c>
      <c r="N56" s="70">
        <v>9051.9</v>
      </c>
      <c r="O56" s="111"/>
      <c r="P56" s="186">
        <v>3245133</v>
      </c>
      <c r="Q56" s="187">
        <v>28000</v>
      </c>
      <c r="R56" s="230">
        <v>42247</v>
      </c>
      <c r="W56" s="126" t="s">
        <v>577</v>
      </c>
      <c r="X56" s="70">
        <v>4313.2299999999996</v>
      </c>
      <c r="Y56" s="111" t="s">
        <v>165</v>
      </c>
      <c r="Z56" s="186">
        <v>3245189</v>
      </c>
      <c r="AA56" s="187">
        <v>50000</v>
      </c>
      <c r="AB56" s="230">
        <v>42262</v>
      </c>
    </row>
    <row r="57" spans="3:28" x14ac:dyDescent="0.25">
      <c r="C57" s="74"/>
      <c r="D57" s="126"/>
      <c r="E57" s="70"/>
      <c r="F57" s="146"/>
      <c r="G57" s="274"/>
      <c r="H57" s="77">
        <f t="shared" si="0"/>
        <v>0</v>
      </c>
      <c r="M57" s="126" t="s">
        <v>536</v>
      </c>
      <c r="N57" s="70">
        <v>21477</v>
      </c>
      <c r="O57" s="190"/>
      <c r="P57" s="186">
        <v>3245130</v>
      </c>
      <c r="Q57" s="187">
        <v>26749</v>
      </c>
      <c r="R57" s="230">
        <v>42247</v>
      </c>
      <c r="W57" s="126"/>
      <c r="X57" s="70">
        <v>0</v>
      </c>
      <c r="Y57" s="190"/>
      <c r="Z57" s="186">
        <v>3245190</v>
      </c>
      <c r="AA57" s="187">
        <v>50000</v>
      </c>
      <c r="AB57" s="230">
        <v>42262</v>
      </c>
    </row>
    <row r="58" spans="3:28" x14ac:dyDescent="0.25">
      <c r="C58" s="74"/>
      <c r="D58" s="126"/>
      <c r="E58" s="70"/>
      <c r="F58" s="146"/>
      <c r="G58" s="274"/>
      <c r="H58" s="77">
        <f t="shared" si="0"/>
        <v>0</v>
      </c>
      <c r="M58" s="126" t="s">
        <v>537</v>
      </c>
      <c r="N58" s="70">
        <v>296559.25</v>
      </c>
      <c r="O58" s="226"/>
      <c r="P58" s="186">
        <v>3245294</v>
      </c>
      <c r="Q58" s="187">
        <v>28544</v>
      </c>
      <c r="R58" s="230">
        <v>42248</v>
      </c>
      <c r="S58" s="82">
        <v>42247</v>
      </c>
      <c r="W58" s="126"/>
      <c r="X58" s="70">
        <v>0</v>
      </c>
      <c r="Y58" s="226"/>
      <c r="Z58" s="186">
        <v>3245187</v>
      </c>
      <c r="AA58" s="187">
        <v>25000</v>
      </c>
      <c r="AB58" s="230">
        <v>42263</v>
      </c>
    </row>
    <row r="59" spans="3:28" ht="15" x14ac:dyDescent="0.25">
      <c r="C59" s="74"/>
      <c r="D59" s="126"/>
      <c r="E59" s="70"/>
      <c r="F59" s="146"/>
      <c r="G59" s="275"/>
      <c r="H59" s="77">
        <f t="shared" si="0"/>
        <v>0</v>
      </c>
      <c r="M59" s="126" t="s">
        <v>538</v>
      </c>
      <c r="N59" s="70">
        <v>20518.400000000001</v>
      </c>
      <c r="O59" s="111"/>
      <c r="P59" s="192">
        <v>3245296</v>
      </c>
      <c r="Q59" s="193">
        <v>49273</v>
      </c>
      <c r="R59" s="230">
        <v>42248</v>
      </c>
      <c r="S59" s="82">
        <v>42247</v>
      </c>
      <c r="W59" s="126"/>
      <c r="X59" s="70">
        <v>0</v>
      </c>
      <c r="Y59" s="111"/>
      <c r="Z59" s="192">
        <v>3245185</v>
      </c>
      <c r="AA59" s="193">
        <v>38588</v>
      </c>
      <c r="AB59" s="230">
        <v>42263</v>
      </c>
    </row>
    <row r="60" spans="3:28" thickBot="1" x14ac:dyDescent="0.3">
      <c r="C60" s="74"/>
      <c r="D60" s="126"/>
      <c r="E60" s="70"/>
      <c r="F60" s="146"/>
      <c r="G60" s="246"/>
      <c r="H60" s="77">
        <f t="shared" si="0"/>
        <v>0</v>
      </c>
      <c r="M60" s="126" t="s">
        <v>539</v>
      </c>
      <c r="N60" s="70">
        <v>191210.75</v>
      </c>
      <c r="O60" s="111"/>
      <c r="P60" s="192" t="s">
        <v>470</v>
      </c>
      <c r="Q60" s="193">
        <v>474</v>
      </c>
      <c r="R60" s="230">
        <v>42254</v>
      </c>
      <c r="S60" s="82">
        <v>42246</v>
      </c>
      <c r="W60" s="373"/>
      <c r="X60" s="374">
        <v>0</v>
      </c>
      <c r="Y60" s="405"/>
      <c r="Z60" s="406"/>
      <c r="AA60" s="377">
        <v>0</v>
      </c>
      <c r="AB60" s="378"/>
    </row>
    <row r="61" spans="3:28" thickTop="1" x14ac:dyDescent="0.25">
      <c r="C61" s="74"/>
      <c r="D61" s="126"/>
      <c r="E61" s="70"/>
      <c r="F61" s="71"/>
      <c r="G61" s="213"/>
      <c r="H61" s="77">
        <f t="shared" si="0"/>
        <v>0</v>
      </c>
      <c r="M61" s="126" t="s">
        <v>540</v>
      </c>
      <c r="N61" s="70">
        <v>4060.2</v>
      </c>
      <c r="O61" s="111"/>
      <c r="P61" s="192">
        <v>3245131</v>
      </c>
      <c r="Q61" s="193">
        <v>82210</v>
      </c>
      <c r="R61" s="230">
        <v>42248</v>
      </c>
      <c r="W61" s="350"/>
      <c r="X61" s="85">
        <f>SUM(X52:X60)</f>
        <v>250071</v>
      </c>
      <c r="Y61" s="203"/>
      <c r="Z61" s="204"/>
      <c r="AA61" s="89">
        <f>SUM(AA52:AA60)</f>
        <v>250071</v>
      </c>
      <c r="AB61" s="233"/>
    </row>
    <row r="62" spans="3:28" ht="15" x14ac:dyDescent="0.25">
      <c r="C62" s="74"/>
      <c r="D62" s="126"/>
      <c r="E62" s="70"/>
      <c r="F62" s="131"/>
      <c r="G62" s="85"/>
      <c r="H62" s="77">
        <f t="shared" si="0"/>
        <v>0</v>
      </c>
      <c r="M62" s="126" t="s">
        <v>541</v>
      </c>
      <c r="N62" s="70">
        <v>176936</v>
      </c>
      <c r="O62" s="111"/>
      <c r="P62" s="192" t="s">
        <v>470</v>
      </c>
      <c r="Q62" s="193">
        <v>2562</v>
      </c>
      <c r="R62" s="230">
        <v>42244</v>
      </c>
      <c r="S62" s="82">
        <v>42249</v>
      </c>
      <c r="W62" s="350"/>
      <c r="X62" s="85"/>
      <c r="Y62" s="203"/>
      <c r="Z62" s="204"/>
      <c r="AA62" s="205"/>
      <c r="AB62" s="233"/>
    </row>
    <row r="63" spans="3:28" ht="15" x14ac:dyDescent="0.25">
      <c r="C63" s="74"/>
      <c r="D63" s="126"/>
      <c r="E63" s="70"/>
      <c r="F63" s="131"/>
      <c r="G63" s="85"/>
      <c r="H63" s="77">
        <f t="shared" si="0"/>
        <v>0</v>
      </c>
      <c r="M63" s="126" t="s">
        <v>542</v>
      </c>
      <c r="N63" s="70">
        <v>12863.4</v>
      </c>
      <c r="O63" s="226"/>
      <c r="P63" s="192" t="s">
        <v>470</v>
      </c>
      <c r="Q63" s="193">
        <v>7866</v>
      </c>
      <c r="R63" s="230">
        <v>42247</v>
      </c>
      <c r="S63" s="82">
        <v>42249</v>
      </c>
      <c r="W63" s="350"/>
      <c r="X63" s="85"/>
      <c r="Y63" s="263"/>
      <c r="Z63" s="204"/>
      <c r="AA63" s="205"/>
      <c r="AB63" s="233"/>
    </row>
    <row r="64" spans="3:28" ht="15" x14ac:dyDescent="0.25">
      <c r="C64" s="74"/>
      <c r="D64" s="126"/>
      <c r="E64" s="70"/>
      <c r="F64" s="131"/>
      <c r="G64" s="85"/>
      <c r="H64" s="77">
        <f t="shared" si="0"/>
        <v>0</v>
      </c>
      <c r="M64" s="126" t="s">
        <v>551</v>
      </c>
      <c r="N64" s="70">
        <v>55907</v>
      </c>
      <c r="O64" s="226"/>
      <c r="P64" s="192" t="s">
        <v>470</v>
      </c>
      <c r="Q64" s="193">
        <v>2020</v>
      </c>
      <c r="R64" s="230">
        <v>42244</v>
      </c>
      <c r="S64" s="82">
        <v>42249</v>
      </c>
      <c r="W64" s="350"/>
      <c r="X64" s="85"/>
      <c r="Y64" s="145"/>
      <c r="Z64" s="204"/>
      <c r="AA64" s="205"/>
      <c r="AB64" s="233"/>
    </row>
    <row r="65" spans="3:28" thickBot="1" x14ac:dyDescent="0.3">
      <c r="C65" s="74"/>
      <c r="D65" s="126"/>
      <c r="E65" s="70"/>
      <c r="F65" s="131"/>
      <c r="G65" s="85"/>
      <c r="H65" s="77">
        <f t="shared" si="0"/>
        <v>0</v>
      </c>
      <c r="M65" s="126"/>
      <c r="N65" s="70"/>
      <c r="O65" s="244"/>
      <c r="P65" s="192">
        <v>3245129</v>
      </c>
      <c r="Q65" s="193">
        <v>30000</v>
      </c>
      <c r="R65" s="230">
        <v>42249</v>
      </c>
      <c r="W65" s="350"/>
      <c r="X65" s="85"/>
      <c r="Y65" s="263"/>
      <c r="Z65" s="204"/>
      <c r="AA65" s="205"/>
      <c r="AB65" s="233"/>
    </row>
    <row r="66" spans="3:28" ht="19.5" thickBot="1" x14ac:dyDescent="0.35">
      <c r="C66" s="74"/>
      <c r="D66" s="126"/>
      <c r="E66" s="70"/>
      <c r="F66" s="131"/>
      <c r="G66" s="85"/>
      <c r="H66" s="77">
        <f t="shared" si="0"/>
        <v>0</v>
      </c>
      <c r="M66" s="121"/>
      <c r="N66" s="121"/>
      <c r="O66" s="121"/>
      <c r="P66" s="117">
        <v>3245127</v>
      </c>
      <c r="Q66" s="118">
        <v>32000</v>
      </c>
      <c r="R66" s="120">
        <v>42249</v>
      </c>
      <c r="W66" s="491">
        <v>1</v>
      </c>
      <c r="X66" s="96" t="s">
        <v>124</v>
      </c>
      <c r="Y66" s="96"/>
      <c r="Z66" s="97"/>
      <c r="AA66" s="411">
        <v>42271</v>
      </c>
      <c r="AB66" s="229"/>
    </row>
    <row r="67" spans="3:28" ht="16.5" thickBot="1" x14ac:dyDescent="0.3">
      <c r="C67" s="74"/>
      <c r="D67" s="126"/>
      <c r="E67" s="70"/>
      <c r="F67" s="131"/>
      <c r="G67" s="85"/>
      <c r="H67" s="77">
        <f t="shared" si="0"/>
        <v>0</v>
      </c>
      <c r="M67" s="121"/>
      <c r="N67" s="121"/>
      <c r="O67" s="121"/>
      <c r="P67" s="117">
        <v>3245128</v>
      </c>
      <c r="Q67" s="118">
        <v>40000</v>
      </c>
      <c r="R67" s="120">
        <v>42249</v>
      </c>
      <c r="W67" s="492"/>
      <c r="X67" s="100"/>
      <c r="Y67" s="100"/>
      <c r="Z67" s="101"/>
      <c r="AA67" s="102"/>
      <c r="AB67" s="229"/>
    </row>
    <row r="68" spans="3:28" ht="16.5" thickBot="1" x14ac:dyDescent="0.3">
      <c r="C68" s="74"/>
      <c r="D68" s="126"/>
      <c r="E68" s="70"/>
      <c r="F68" s="131"/>
      <c r="G68" s="85"/>
      <c r="H68" s="77">
        <f t="shared" ref="H68:H69" si="2">E68-G68</f>
        <v>0</v>
      </c>
      <c r="M68" s="387"/>
      <c r="N68" s="130"/>
      <c r="O68" s="244"/>
      <c r="P68" s="192" t="s">
        <v>470</v>
      </c>
      <c r="Q68" s="193">
        <v>33757</v>
      </c>
      <c r="R68" s="230">
        <v>42254</v>
      </c>
      <c r="S68" s="82">
        <v>42249</v>
      </c>
      <c r="W68" s="302" t="s">
        <v>126</v>
      </c>
      <c r="X68" s="302" t="s">
        <v>127</v>
      </c>
      <c r="Y68" s="302"/>
      <c r="Z68" s="395" t="s">
        <v>128</v>
      </c>
      <c r="AA68" s="396" t="s">
        <v>129</v>
      </c>
      <c r="AB68" s="397"/>
    </row>
    <row r="69" spans="3:28" ht="16.5" thickTop="1" x14ac:dyDescent="0.25">
      <c r="C69" s="74"/>
      <c r="D69" s="126"/>
      <c r="E69" s="70"/>
      <c r="F69" s="131"/>
      <c r="G69" s="85"/>
      <c r="H69" s="77">
        <f t="shared" si="2"/>
        <v>0</v>
      </c>
      <c r="M69" s="121"/>
      <c r="N69" s="121"/>
      <c r="O69" s="121"/>
      <c r="P69" s="117" t="s">
        <v>470</v>
      </c>
      <c r="Q69" s="118">
        <v>42000</v>
      </c>
      <c r="R69" s="120">
        <v>42254</v>
      </c>
      <c r="S69" s="82">
        <v>42250</v>
      </c>
      <c r="W69" s="394" t="s">
        <v>577</v>
      </c>
      <c r="X69" s="298">
        <v>23279.87</v>
      </c>
      <c r="Y69" s="298"/>
      <c r="Z69" s="299">
        <v>3245186</v>
      </c>
      <c r="AA69" s="300">
        <v>45000</v>
      </c>
      <c r="AB69" s="301">
        <v>42263</v>
      </c>
    </row>
    <row r="70" spans="3:28" ht="16.5" thickBot="1" x14ac:dyDescent="0.3">
      <c r="C70" s="23"/>
      <c r="D70" s="142"/>
      <c r="E70" s="133"/>
      <c r="F70" s="142"/>
      <c r="G70" s="143"/>
      <c r="H70" s="134">
        <f t="shared" ref="H70" si="3">E70-G70</f>
        <v>0</v>
      </c>
      <c r="M70" s="121"/>
      <c r="N70" s="121"/>
      <c r="O70" s="121"/>
      <c r="P70" s="121" t="s">
        <v>470</v>
      </c>
      <c r="Q70" s="118">
        <v>30000</v>
      </c>
      <c r="R70" s="120">
        <v>42254</v>
      </c>
      <c r="S70" s="82">
        <v>42250</v>
      </c>
      <c r="W70" s="126" t="s">
        <v>583</v>
      </c>
      <c r="X70" s="70">
        <v>24766.5</v>
      </c>
      <c r="Y70" s="111"/>
      <c r="Z70" s="186">
        <v>3209336</v>
      </c>
      <c r="AA70" s="187">
        <v>33402</v>
      </c>
      <c r="AB70" s="230">
        <v>42263</v>
      </c>
    </row>
    <row r="71" spans="3:28" ht="16.5" thickTop="1" x14ac:dyDescent="0.25">
      <c r="C71"/>
      <c r="D71"/>
      <c r="E71" s="132">
        <f>SUM(E4:E70)</f>
        <v>3447188.5600000015</v>
      </c>
      <c r="F71" s="132"/>
      <c r="G71" s="144">
        <f t="shared" ref="G71" si="4">SUM(G4:G70)</f>
        <v>3447188.5600000015</v>
      </c>
      <c r="H71" s="144">
        <f>SUM(H4:H70)</f>
        <v>0</v>
      </c>
      <c r="M71" s="121"/>
      <c r="N71" s="121"/>
      <c r="O71" s="121"/>
      <c r="P71" s="121" t="s">
        <v>470</v>
      </c>
      <c r="Q71" s="118">
        <v>31000</v>
      </c>
      <c r="R71" s="120">
        <v>42254</v>
      </c>
      <c r="S71" s="82">
        <v>42250</v>
      </c>
      <c r="W71" s="126" t="s">
        <v>579</v>
      </c>
      <c r="X71" s="70">
        <v>154754.43</v>
      </c>
      <c r="Y71" s="111"/>
      <c r="Z71" s="186">
        <v>3245184</v>
      </c>
      <c r="AA71" s="187">
        <v>45000</v>
      </c>
      <c r="AB71" s="230">
        <v>42264</v>
      </c>
    </row>
    <row r="72" spans="3:28" x14ac:dyDescent="0.25">
      <c r="C72" s="8"/>
      <c r="D72" s="8"/>
      <c r="E72" s="8"/>
      <c r="F72" s="8"/>
      <c r="G72" s="145"/>
      <c r="H72" s="145"/>
      <c r="I72" s="8"/>
      <c r="M72" s="121"/>
      <c r="N72" s="121"/>
      <c r="O72" s="121"/>
      <c r="P72" s="121" t="s">
        <v>470</v>
      </c>
      <c r="Q72" s="118">
        <v>23022</v>
      </c>
      <c r="R72" s="120">
        <v>42254</v>
      </c>
      <c r="S72" s="82">
        <v>42250</v>
      </c>
      <c r="W72" s="126" t="s">
        <v>580</v>
      </c>
      <c r="X72" s="70">
        <v>3374</v>
      </c>
      <c r="Y72" s="111"/>
      <c r="Z72" s="186">
        <v>3245183</v>
      </c>
      <c r="AA72" s="187">
        <v>60000</v>
      </c>
      <c r="AB72" s="230">
        <v>42264</v>
      </c>
    </row>
    <row r="73" spans="3:28" x14ac:dyDescent="0.25">
      <c r="M73" s="121"/>
      <c r="N73" s="121"/>
      <c r="O73" s="121"/>
      <c r="P73" s="121" t="s">
        <v>470</v>
      </c>
      <c r="Q73" s="118">
        <v>14882</v>
      </c>
      <c r="R73" s="120">
        <v>42250</v>
      </c>
      <c r="S73" s="82">
        <v>42251</v>
      </c>
      <c r="W73" s="126" t="s">
        <v>581</v>
      </c>
      <c r="X73" s="70">
        <v>12070.7</v>
      </c>
      <c r="Y73" s="111" t="s">
        <v>165</v>
      </c>
      <c r="Z73" s="186">
        <v>3245179</v>
      </c>
      <c r="AA73" s="187">
        <v>34843.5</v>
      </c>
      <c r="AB73" s="230">
        <v>42264</v>
      </c>
    </row>
    <row r="74" spans="3:28" x14ac:dyDescent="0.25">
      <c r="M74" s="121"/>
      <c r="N74" s="121"/>
      <c r="O74" s="121"/>
      <c r="P74" s="121" t="s">
        <v>470</v>
      </c>
      <c r="Q74" s="118">
        <v>902.5</v>
      </c>
      <c r="R74" s="120">
        <v>42250</v>
      </c>
      <c r="S74" s="82">
        <v>42251</v>
      </c>
      <c r="W74" s="126"/>
      <c r="X74" s="70"/>
      <c r="Y74" s="190"/>
      <c r="Z74" s="186"/>
      <c r="AA74" s="187"/>
      <c r="AB74" s="230"/>
    </row>
    <row r="75" spans="3:28" x14ac:dyDescent="0.25">
      <c r="M75" s="121"/>
      <c r="N75" s="121"/>
      <c r="O75" s="121"/>
      <c r="P75" s="121" t="s">
        <v>470</v>
      </c>
      <c r="Q75" s="118">
        <v>50000</v>
      </c>
      <c r="R75" s="120">
        <v>42254</v>
      </c>
      <c r="S75" s="82">
        <v>42251</v>
      </c>
      <c r="W75" s="126"/>
      <c r="X75" s="70"/>
      <c r="Y75" s="226"/>
      <c r="Z75" s="186"/>
      <c r="AA75" s="187"/>
      <c r="AB75" s="230"/>
    </row>
    <row r="76" spans="3:28" x14ac:dyDescent="0.25">
      <c r="M76" s="121"/>
      <c r="N76" s="121"/>
      <c r="O76" s="121"/>
      <c r="P76" s="121" t="s">
        <v>470</v>
      </c>
      <c r="Q76" s="118">
        <v>55000</v>
      </c>
      <c r="R76" s="120">
        <v>42254</v>
      </c>
      <c r="S76" s="82">
        <v>42251</v>
      </c>
      <c r="W76" s="126"/>
      <c r="X76" s="70"/>
      <c r="Y76" s="111"/>
      <c r="Z76" s="192"/>
      <c r="AA76" s="193"/>
      <c r="AB76" s="230"/>
    </row>
    <row r="77" spans="3:28" ht="16.5" thickBot="1" x14ac:dyDescent="0.3">
      <c r="M77" s="121"/>
      <c r="N77" s="121"/>
      <c r="O77" s="121"/>
      <c r="P77" s="121" t="s">
        <v>470</v>
      </c>
      <c r="Q77" s="118">
        <v>8035</v>
      </c>
      <c r="R77" s="120">
        <v>42251</v>
      </c>
      <c r="W77" s="373"/>
      <c r="X77" s="374">
        <v>0</v>
      </c>
      <c r="Y77" s="405"/>
      <c r="Z77" s="406"/>
      <c r="AA77" s="377">
        <v>0</v>
      </c>
      <c r="AB77" s="378"/>
    </row>
    <row r="78" spans="3:28" ht="16.5" thickTop="1" x14ac:dyDescent="0.25">
      <c r="M78" s="121"/>
      <c r="N78" s="121"/>
      <c r="O78" s="121"/>
      <c r="P78" s="121" t="s">
        <v>470</v>
      </c>
      <c r="Q78" s="118">
        <v>28000</v>
      </c>
      <c r="R78" s="120">
        <v>42254</v>
      </c>
      <c r="S78" s="82">
        <v>42252</v>
      </c>
      <c r="W78" s="350"/>
      <c r="X78" s="85">
        <f>SUM(X69:X77)</f>
        <v>218245.5</v>
      </c>
      <c r="Y78" s="203"/>
      <c r="Z78" s="204"/>
      <c r="AA78" s="89">
        <f>SUM(AA69:AA77)</f>
        <v>218245.5</v>
      </c>
      <c r="AB78" s="233"/>
    </row>
    <row r="79" spans="3:28" ht="15" x14ac:dyDescent="0.25">
      <c r="C79"/>
      <c r="D79"/>
      <c r="F79"/>
      <c r="G79" s="23"/>
      <c r="M79" s="121"/>
      <c r="N79" s="121"/>
      <c r="O79" s="121"/>
      <c r="P79" s="121" t="s">
        <v>470</v>
      </c>
      <c r="Q79" s="118">
        <v>28000</v>
      </c>
      <c r="R79" s="120">
        <v>42254</v>
      </c>
      <c r="S79" s="82">
        <v>42252</v>
      </c>
    </row>
    <row r="80" spans="3:28" thickBot="1" x14ac:dyDescent="0.3">
      <c r="C80"/>
      <c r="D80"/>
      <c r="F80"/>
      <c r="G80" s="23"/>
      <c r="M80" s="121"/>
      <c r="N80" s="121"/>
      <c r="O80" s="121"/>
      <c r="P80" s="121" t="s">
        <v>470</v>
      </c>
      <c r="Q80" s="118">
        <v>65000</v>
      </c>
      <c r="R80" s="120">
        <v>42194</v>
      </c>
      <c r="S80" s="82">
        <v>42254</v>
      </c>
    </row>
    <row r="81" spans="3:28" ht="19.5" customHeight="1" thickBot="1" x14ac:dyDescent="0.35">
      <c r="C81"/>
      <c r="D81"/>
      <c r="F81"/>
      <c r="G81" s="23"/>
      <c r="M81" s="121"/>
      <c r="N81" s="121"/>
      <c r="O81" s="121"/>
      <c r="P81" s="117">
        <v>813221</v>
      </c>
      <c r="Q81" s="118">
        <v>84002</v>
      </c>
      <c r="R81" s="120">
        <v>42254</v>
      </c>
      <c r="W81" s="491">
        <v>1</v>
      </c>
      <c r="X81" s="96" t="s">
        <v>124</v>
      </c>
      <c r="Y81" s="96"/>
      <c r="Z81" s="97"/>
      <c r="AA81" s="354">
        <v>42276</v>
      </c>
      <c r="AB81" s="229"/>
    </row>
    <row r="82" spans="3:28" ht="16.5" customHeight="1" thickBot="1" x14ac:dyDescent="0.3">
      <c r="C82"/>
      <c r="D82"/>
      <c r="F82"/>
      <c r="G82" s="23"/>
      <c r="M82" s="121"/>
      <c r="N82" s="121"/>
      <c r="O82" s="121"/>
      <c r="P82" s="117">
        <v>3245266</v>
      </c>
      <c r="Q82" s="118">
        <v>26011.5</v>
      </c>
      <c r="R82" s="120">
        <v>42255</v>
      </c>
      <c r="S82" s="82">
        <v>42254</v>
      </c>
      <c r="W82" s="492"/>
      <c r="X82" s="100"/>
      <c r="Y82" s="100"/>
      <c r="Z82" s="101"/>
      <c r="AA82" s="102"/>
      <c r="AB82" s="229"/>
    </row>
    <row r="83" spans="3:28" ht="16.5" thickBot="1" x14ac:dyDescent="0.3">
      <c r="C83"/>
      <c r="D83"/>
      <c r="F83"/>
      <c r="G83" s="23"/>
      <c r="M83" s="121"/>
      <c r="N83" s="121"/>
      <c r="O83" s="121"/>
      <c r="P83" s="117">
        <v>3245268</v>
      </c>
      <c r="Q83" s="118">
        <v>10378</v>
      </c>
      <c r="R83" s="120">
        <v>42254</v>
      </c>
      <c r="W83" s="302" t="s">
        <v>126</v>
      </c>
      <c r="X83" s="302" t="s">
        <v>127</v>
      </c>
      <c r="Y83" s="302"/>
      <c r="Z83" s="395" t="s">
        <v>128</v>
      </c>
      <c r="AA83" s="396" t="s">
        <v>129</v>
      </c>
      <c r="AB83" s="397"/>
    </row>
    <row r="84" spans="3:28" ht="17.25" thickTop="1" thickBot="1" x14ac:dyDescent="0.3">
      <c r="C84"/>
      <c r="D84"/>
      <c r="F84"/>
      <c r="G84" s="23"/>
      <c r="M84" s="389"/>
      <c r="N84" s="389"/>
      <c r="O84" s="389"/>
      <c r="P84" s="390"/>
      <c r="Q84" s="391">
        <v>0</v>
      </c>
      <c r="R84" s="392"/>
      <c r="W84" s="394" t="s">
        <v>581</v>
      </c>
      <c r="X84" s="298">
        <v>13596.9</v>
      </c>
      <c r="Y84" s="298"/>
      <c r="Z84" s="299">
        <v>3245180</v>
      </c>
      <c r="AA84" s="300">
        <v>50000</v>
      </c>
      <c r="AB84" s="301">
        <v>42264</v>
      </c>
    </row>
    <row r="85" spans="3:28" ht="19.5" thickTop="1" x14ac:dyDescent="0.3">
      <c r="C85"/>
      <c r="D85"/>
      <c r="F85"/>
      <c r="G85" s="23"/>
      <c r="M85" s="8"/>
      <c r="N85" s="290">
        <f>SUM(N52:N84)</f>
        <v>987603.5</v>
      </c>
      <c r="O85" s="393"/>
      <c r="P85" s="393"/>
      <c r="Q85" s="393">
        <f>SUM(Q52:Q84)</f>
        <v>987603.5</v>
      </c>
      <c r="R85" s="388"/>
      <c r="W85" s="126" t="s">
        <v>585</v>
      </c>
      <c r="X85" s="70">
        <v>40882.699999999997</v>
      </c>
      <c r="Y85" s="111"/>
      <c r="Z85" s="186">
        <v>3245176</v>
      </c>
      <c r="AA85" s="187">
        <v>31530</v>
      </c>
      <c r="AB85" s="230">
        <v>42266</v>
      </c>
    </row>
    <row r="86" spans="3:28" x14ac:dyDescent="0.25">
      <c r="C86"/>
      <c r="D86"/>
      <c r="F86"/>
      <c r="G86" s="23"/>
      <c r="W86" s="126" t="s">
        <v>586</v>
      </c>
      <c r="X86" s="70">
        <v>26111.599999999999</v>
      </c>
      <c r="Y86" s="111"/>
      <c r="Z86" s="186">
        <v>3245181</v>
      </c>
      <c r="AA86" s="187">
        <v>32800</v>
      </c>
      <c r="AB86" s="230">
        <v>42265</v>
      </c>
    </row>
    <row r="87" spans="3:28" x14ac:dyDescent="0.25">
      <c r="C87"/>
      <c r="D87"/>
      <c r="F87"/>
      <c r="G87" s="23"/>
      <c r="W87" s="126" t="s">
        <v>587</v>
      </c>
      <c r="X87" s="70">
        <v>26978.7</v>
      </c>
      <c r="Y87" s="111"/>
      <c r="Z87" s="186"/>
      <c r="AA87" s="187"/>
      <c r="AB87" s="230"/>
    </row>
    <row r="88" spans="3:28" x14ac:dyDescent="0.25">
      <c r="C88"/>
      <c r="D88"/>
      <c r="F88"/>
      <c r="G88" s="23"/>
      <c r="W88" s="126" t="s">
        <v>588</v>
      </c>
      <c r="X88" s="70">
        <v>6760.1</v>
      </c>
      <c r="Y88" s="111" t="s">
        <v>165</v>
      </c>
      <c r="Z88" s="186"/>
      <c r="AA88" s="187"/>
      <c r="AB88" s="230"/>
    </row>
    <row r="89" spans="3:28" x14ac:dyDescent="0.25">
      <c r="C89"/>
      <c r="D89"/>
      <c r="F89"/>
      <c r="G89" s="23"/>
      <c r="W89" s="126"/>
      <c r="X89" s="70"/>
      <c r="Y89" s="190"/>
      <c r="Z89" s="186"/>
      <c r="AA89" s="187"/>
      <c r="AB89" s="230"/>
    </row>
    <row r="90" spans="3:28" x14ac:dyDescent="0.25">
      <c r="C90"/>
      <c r="D90"/>
      <c r="F90"/>
      <c r="G90" s="23"/>
      <c r="W90" s="126"/>
      <c r="X90" s="70"/>
      <c r="Y90" s="226"/>
      <c r="Z90" s="186"/>
      <c r="AA90" s="187"/>
      <c r="AB90" s="230"/>
    </row>
    <row r="91" spans="3:28" ht="15" x14ac:dyDescent="0.25">
      <c r="C91"/>
      <c r="D91"/>
      <c r="F91"/>
      <c r="G91" s="23"/>
      <c r="W91" s="126"/>
      <c r="X91" s="70"/>
      <c r="Y91" s="111"/>
      <c r="Z91" s="192"/>
      <c r="AA91" s="193"/>
      <c r="AB91" s="230"/>
    </row>
    <row r="92" spans="3:28" thickBot="1" x14ac:dyDescent="0.3">
      <c r="C92"/>
      <c r="D92"/>
      <c r="F92"/>
      <c r="G92" s="23"/>
      <c r="W92" s="373"/>
      <c r="X92" s="374">
        <v>0</v>
      </c>
      <c r="Y92" s="405"/>
      <c r="Z92" s="406"/>
      <c r="AA92" s="377">
        <v>0</v>
      </c>
      <c r="AB92" s="378"/>
    </row>
    <row r="93" spans="3:28" thickTop="1" x14ac:dyDescent="0.25">
      <c r="C93"/>
      <c r="D93"/>
      <c r="F93"/>
      <c r="G93" s="23"/>
      <c r="W93" s="350"/>
      <c r="X93" s="85">
        <f>SUM(X84:X92)</f>
        <v>114330</v>
      </c>
      <c r="Y93" s="203"/>
      <c r="Z93" s="204"/>
      <c r="AA93" s="89">
        <f>SUM(AA84:AA92)</f>
        <v>114330</v>
      </c>
      <c r="AB93" s="233"/>
    </row>
    <row r="94" spans="3:28" ht="15" x14ac:dyDescent="0.25">
      <c r="C94"/>
      <c r="D94"/>
      <c r="F94"/>
      <c r="G94" s="23"/>
    </row>
    <row r="95" spans="3:28" thickBot="1" x14ac:dyDescent="0.3">
      <c r="C95"/>
      <c r="D95"/>
      <c r="F95"/>
      <c r="G95" s="23"/>
    </row>
    <row r="96" spans="3:28" ht="19.5" thickBot="1" x14ac:dyDescent="0.35">
      <c r="C96"/>
      <c r="D96"/>
      <c r="F96"/>
      <c r="G96" s="23"/>
      <c r="W96" s="491">
        <v>1</v>
      </c>
      <c r="X96" s="96" t="s">
        <v>124</v>
      </c>
      <c r="Y96" s="96"/>
      <c r="Z96" s="97"/>
      <c r="AA96" s="353">
        <v>42277</v>
      </c>
      <c r="AB96" s="229"/>
    </row>
    <row r="97" spans="3:28" ht="16.5" thickBot="1" x14ac:dyDescent="0.3">
      <c r="C97"/>
      <c r="D97"/>
      <c r="F97"/>
      <c r="G97" s="23"/>
      <c r="W97" s="492"/>
      <c r="X97" s="100"/>
      <c r="Y97" s="100"/>
      <c r="Z97" s="101"/>
      <c r="AA97" s="102"/>
      <c r="AB97" s="229"/>
    </row>
    <row r="98" spans="3:28" ht="16.5" thickBot="1" x14ac:dyDescent="0.3">
      <c r="C98"/>
      <c r="D98"/>
      <c r="F98"/>
      <c r="G98" s="23"/>
      <c r="W98" s="302" t="s">
        <v>126</v>
      </c>
      <c r="X98" s="302" t="s">
        <v>127</v>
      </c>
      <c r="Y98" s="302"/>
      <c r="Z98" s="395" t="s">
        <v>128</v>
      </c>
      <c r="AA98" s="396" t="s">
        <v>129</v>
      </c>
      <c r="AB98" s="397"/>
    </row>
    <row r="99" spans="3:28" ht="16.5" thickTop="1" x14ac:dyDescent="0.25">
      <c r="C99"/>
      <c r="D99"/>
      <c r="F99"/>
      <c r="G99" s="23"/>
      <c r="W99" s="394" t="s">
        <v>588</v>
      </c>
      <c r="X99" s="298">
        <v>7236.4</v>
      </c>
      <c r="Y99" s="298"/>
      <c r="Z99" s="299">
        <v>3245182</v>
      </c>
      <c r="AA99" s="300">
        <v>58200</v>
      </c>
      <c r="AB99" s="301">
        <v>42265</v>
      </c>
    </row>
    <row r="100" spans="3:28" x14ac:dyDescent="0.25">
      <c r="C100"/>
      <c r="D100"/>
      <c r="F100"/>
      <c r="G100" s="23"/>
      <c r="W100" s="126" t="s">
        <v>594</v>
      </c>
      <c r="X100" s="70">
        <v>99963.6</v>
      </c>
      <c r="Y100" s="111"/>
      <c r="Z100" s="186">
        <v>3245178</v>
      </c>
      <c r="AA100" s="187">
        <v>49000</v>
      </c>
      <c r="AB100" s="230">
        <v>42266</v>
      </c>
    </row>
    <row r="101" spans="3:28" ht="16.5" thickBot="1" x14ac:dyDescent="0.3">
      <c r="C101"/>
      <c r="D101"/>
      <c r="F101"/>
      <c r="G101" s="23"/>
      <c r="W101" s="373"/>
      <c r="X101" s="374">
        <v>0</v>
      </c>
      <c r="Y101" s="405"/>
      <c r="Z101" s="400"/>
      <c r="AA101" s="401">
        <v>0</v>
      </c>
      <c r="AB101" s="378"/>
    </row>
    <row r="102" spans="3:28" ht="16.5" thickTop="1" x14ac:dyDescent="0.25">
      <c r="C102"/>
      <c r="D102"/>
      <c r="F102"/>
      <c r="G102" s="23"/>
      <c r="W102" s="350"/>
      <c r="X102" s="85">
        <f>SUM(X99:X101)</f>
        <v>107200</v>
      </c>
      <c r="Y102" s="203"/>
      <c r="Z102" s="214"/>
      <c r="AA102" s="379">
        <f>SUM(AA99:AA101)</f>
        <v>107200</v>
      </c>
      <c r="AB102" s="233"/>
    </row>
    <row r="103" spans="3:28" x14ac:dyDescent="0.25">
      <c r="C103"/>
      <c r="D103"/>
      <c r="F103"/>
      <c r="G103" s="23"/>
      <c r="W103" s="350"/>
      <c r="X103" s="85"/>
      <c r="Y103" s="203"/>
      <c r="Z103" s="214"/>
      <c r="AA103" s="215"/>
      <c r="AB103" s="233"/>
    </row>
    <row r="104" spans="3:28" x14ac:dyDescent="0.25">
      <c r="C104"/>
      <c r="D104"/>
      <c r="F104"/>
      <c r="G104" s="23"/>
      <c r="W104" s="350"/>
      <c r="X104" s="85"/>
      <c r="Y104" s="203"/>
      <c r="Z104" s="214"/>
      <c r="AA104" s="215"/>
      <c r="AB104" s="233"/>
    </row>
    <row r="105" spans="3:28" x14ac:dyDescent="0.25">
      <c r="C105"/>
      <c r="D105"/>
      <c r="F105"/>
      <c r="G105" s="23"/>
      <c r="W105" s="350"/>
      <c r="X105" s="85"/>
      <c r="Y105" s="145"/>
      <c r="Z105" s="214"/>
      <c r="AA105" s="215"/>
      <c r="AB105" s="233"/>
    </row>
    <row r="106" spans="3:28" ht="15" x14ac:dyDescent="0.25">
      <c r="C106"/>
      <c r="D106"/>
      <c r="F106"/>
      <c r="G106" s="23"/>
      <c r="W106" s="350"/>
      <c r="X106" s="85"/>
      <c r="Y106" s="203"/>
      <c r="Z106" s="204"/>
      <c r="AA106" s="205"/>
      <c r="AB106" s="233"/>
    </row>
    <row r="107" spans="3:28" ht="15" x14ac:dyDescent="0.25">
      <c r="C107"/>
      <c r="D107"/>
      <c r="F107"/>
      <c r="G107" s="23"/>
      <c r="W107" s="350"/>
      <c r="X107" s="85"/>
      <c r="Y107" s="203"/>
      <c r="Z107" s="204"/>
      <c r="AA107" s="205"/>
      <c r="AB107" s="233"/>
    </row>
    <row r="108" spans="3:28" ht="15" x14ac:dyDescent="0.25">
      <c r="C108"/>
      <c r="D108"/>
      <c r="F108"/>
      <c r="G108" s="23"/>
      <c r="W108" s="350"/>
      <c r="X108" s="85"/>
      <c r="Y108" s="203"/>
      <c r="Z108" s="204"/>
      <c r="AA108" s="89"/>
      <c r="AB108" s="233"/>
    </row>
    <row r="109" spans="3:28" ht="15" x14ac:dyDescent="0.25">
      <c r="C109"/>
      <c r="D109"/>
      <c r="F109"/>
      <c r="G109" s="23"/>
      <c r="W109" s="8"/>
      <c r="X109" s="8"/>
      <c r="Y109" s="8"/>
      <c r="Z109" s="8"/>
      <c r="AA109" s="8"/>
      <c r="AB109" s="8"/>
    </row>
    <row r="110" spans="3:28" ht="15" x14ac:dyDescent="0.25">
      <c r="C110"/>
      <c r="D110"/>
      <c r="F110"/>
      <c r="G110" s="23"/>
    </row>
    <row r="111" spans="3:28" ht="15" x14ac:dyDescent="0.25">
      <c r="C111"/>
      <c r="D111"/>
      <c r="F111"/>
      <c r="G111" s="23"/>
    </row>
  </sheetData>
  <sortState ref="C46:E48">
    <sortCondition ref="D46:D48"/>
  </sortState>
  <mergeCells count="9">
    <mergeCell ref="W96:W97"/>
    <mergeCell ref="W81:W82"/>
    <mergeCell ref="W66:W67"/>
    <mergeCell ref="M1:M2"/>
    <mergeCell ref="M23:M24"/>
    <mergeCell ref="M49:M50"/>
    <mergeCell ref="W2:W3"/>
    <mergeCell ref="W29:W30"/>
    <mergeCell ref="W49:W5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R111"/>
  <sheetViews>
    <sheetView workbookViewId="0">
      <selection activeCell="E18" sqref="E18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5" max="15" width="8.140625" customWidth="1"/>
    <col min="16" max="16" width="10.7109375" style="4" customWidth="1"/>
    <col min="17" max="17" width="16.28515625" style="67" customWidth="1"/>
    <col min="18" max="18" width="12.42578125" customWidth="1"/>
    <col min="19" max="19" width="11.42578125" style="4"/>
    <col min="20" max="20" width="17.85546875" style="4" bestFit="1" customWidth="1"/>
    <col min="21" max="21" width="4.85546875" customWidth="1"/>
    <col min="22" max="22" width="11.42578125" style="4"/>
    <col min="23" max="23" width="14.140625" style="4" customWidth="1"/>
    <col min="24" max="24" width="11.42578125" style="4"/>
    <col min="25" max="25" width="14.140625" style="4" bestFit="1" customWidth="1"/>
    <col min="26" max="26" width="14.140625" style="67" bestFit="1" customWidth="1"/>
    <col min="27" max="27" width="14.140625" style="67" customWidth="1"/>
    <col min="29" max="29" width="8.140625" customWidth="1"/>
    <col min="30" max="30" width="10.7109375" style="4" customWidth="1"/>
    <col min="31" max="31" width="16.28515625" style="67" customWidth="1"/>
    <col min="32" max="32" width="12.42578125" customWidth="1"/>
    <col min="33" max="33" width="11.42578125" style="4"/>
    <col min="34" max="34" width="17.85546875" style="4" bestFit="1" customWidth="1"/>
    <col min="35" max="35" width="4.85546875" customWidth="1"/>
    <col min="36" max="36" width="11.42578125" style="4"/>
    <col min="37" max="37" width="14.140625" style="4" customWidth="1"/>
    <col min="38" max="38" width="11.42578125" style="4"/>
    <col min="39" max="39" width="14.140625" style="4" bestFit="1" customWidth="1"/>
    <col min="40" max="40" width="14.140625" style="67" bestFit="1" customWidth="1"/>
    <col min="41" max="41" width="14.140625" style="67" customWidth="1"/>
    <col min="43" max="43" width="8.140625" customWidth="1"/>
    <col min="44" max="44" width="10.7109375" style="4" customWidth="1"/>
    <col min="45" max="45" width="16.28515625" style="67" customWidth="1"/>
    <col min="46" max="46" width="12.42578125" customWidth="1"/>
    <col min="47" max="47" width="11.42578125" style="4"/>
    <col min="48" max="48" width="17.85546875" style="4" bestFit="1" customWidth="1"/>
    <col min="49" max="49" width="4.85546875" customWidth="1"/>
    <col min="50" max="50" width="11.42578125" style="4"/>
    <col min="51" max="51" width="14.140625" style="4" customWidth="1"/>
    <col min="52" max="52" width="11.42578125" style="4"/>
    <col min="53" max="53" width="14.140625" style="4" bestFit="1" customWidth="1"/>
    <col min="54" max="54" width="14.140625" style="67" bestFit="1" customWidth="1"/>
    <col min="55" max="55" width="14.140625" style="67" customWidth="1"/>
    <col min="57" max="57" width="8.140625" customWidth="1"/>
    <col min="58" max="58" width="10.7109375" style="4" customWidth="1"/>
    <col min="59" max="59" width="16.28515625" style="67" customWidth="1"/>
    <col min="60" max="60" width="12.42578125" customWidth="1"/>
    <col min="61" max="61" width="11.42578125" style="4"/>
    <col min="62" max="62" width="17.85546875" style="4" bestFit="1" customWidth="1"/>
    <col min="63" max="63" width="4.85546875" customWidth="1"/>
    <col min="64" max="64" width="11.42578125" style="4"/>
    <col min="65" max="65" width="14.140625" style="4" customWidth="1"/>
    <col min="66" max="66" width="11.42578125" style="4"/>
    <col min="67" max="67" width="14.140625" style="4" bestFit="1" customWidth="1"/>
    <col min="68" max="68" width="14.140625" style="67" bestFit="1" customWidth="1"/>
    <col min="69" max="69" width="14.140625" style="67" customWidth="1"/>
    <col min="70" max="70" width="12.7109375" bestFit="1" customWidth="1"/>
  </cols>
  <sheetData>
    <row r="1" spans="1:70" ht="24" customHeight="1" thickBot="1" x14ac:dyDescent="0.4">
      <c r="C1" s="456" t="s">
        <v>691</v>
      </c>
      <c r="D1" s="456"/>
      <c r="E1" s="456"/>
      <c r="F1" s="456"/>
      <c r="G1" s="456"/>
      <c r="H1" s="456"/>
      <c r="I1" s="456"/>
      <c r="J1" s="456"/>
      <c r="Q1" s="456" t="s">
        <v>691</v>
      </c>
      <c r="R1" s="456"/>
      <c r="S1" s="456"/>
      <c r="T1" s="456"/>
      <c r="U1" s="456"/>
      <c r="V1" s="456"/>
      <c r="W1" s="456"/>
      <c r="X1" s="456"/>
      <c r="AE1" s="456" t="s">
        <v>691</v>
      </c>
      <c r="AF1" s="456"/>
      <c r="AG1" s="456"/>
      <c r="AH1" s="456"/>
      <c r="AI1" s="456"/>
      <c r="AJ1" s="456"/>
      <c r="AK1" s="456"/>
      <c r="AL1" s="456"/>
      <c r="AS1" s="456" t="s">
        <v>691</v>
      </c>
      <c r="AT1" s="456"/>
      <c r="AU1" s="456"/>
      <c r="AV1" s="456"/>
      <c r="AW1" s="456"/>
      <c r="AX1" s="456"/>
      <c r="AY1" s="456"/>
      <c r="AZ1" s="456"/>
      <c r="BG1" s="456" t="s">
        <v>691</v>
      </c>
      <c r="BH1" s="456"/>
      <c r="BI1" s="456"/>
      <c r="BJ1" s="456"/>
      <c r="BK1" s="456"/>
      <c r="BL1" s="456"/>
      <c r="BM1" s="456"/>
      <c r="BN1" s="456"/>
    </row>
    <row r="2" spans="1:70" ht="19.5" customHeight="1" thickBot="1" x14ac:dyDescent="0.3">
      <c r="C2" s="174" t="s">
        <v>0</v>
      </c>
      <c r="E2" s="33"/>
      <c r="F2" s="33"/>
      <c r="Q2" s="174" t="s">
        <v>0</v>
      </c>
      <c r="S2" s="33"/>
      <c r="T2" s="33"/>
      <c r="AE2" s="174" t="s">
        <v>0</v>
      </c>
      <c r="AG2" s="33"/>
      <c r="AH2" s="33"/>
      <c r="AS2" s="174" t="s">
        <v>0</v>
      </c>
      <c r="AU2" s="33"/>
      <c r="AV2" s="33"/>
      <c r="BG2" s="174" t="s">
        <v>0</v>
      </c>
      <c r="BI2" s="33"/>
      <c r="BJ2" s="33"/>
    </row>
    <row r="3" spans="1:70" ht="32.25" customHeight="1" thickTop="1" thickBot="1" x14ac:dyDescent="0.35">
      <c r="A3" s="9" t="s">
        <v>2</v>
      </c>
      <c r="B3" s="42"/>
      <c r="C3" s="175">
        <v>212472.37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M3" s="87"/>
      <c r="O3" s="9" t="s">
        <v>2</v>
      </c>
      <c r="P3" s="42"/>
      <c r="Q3" s="175">
        <v>212472.37</v>
      </c>
      <c r="R3" s="2"/>
      <c r="S3" s="465" t="s">
        <v>13</v>
      </c>
      <c r="T3" s="466"/>
      <c r="W3" s="467" t="s">
        <v>4</v>
      </c>
      <c r="X3" s="468"/>
      <c r="Y3" s="469"/>
      <c r="Z3" s="87" t="s">
        <v>112</v>
      </c>
      <c r="AA3" s="87"/>
      <c r="AC3" s="9" t="s">
        <v>2</v>
      </c>
      <c r="AD3" s="42"/>
      <c r="AE3" s="175">
        <v>212472.37</v>
      </c>
      <c r="AF3" s="2"/>
      <c r="AG3" s="465" t="s">
        <v>13</v>
      </c>
      <c r="AH3" s="466"/>
      <c r="AK3" s="467" t="s">
        <v>4</v>
      </c>
      <c r="AL3" s="468"/>
      <c r="AM3" s="469"/>
      <c r="AN3" s="87" t="s">
        <v>112</v>
      </c>
      <c r="AO3" s="87"/>
      <c r="AQ3" s="9" t="s">
        <v>2</v>
      </c>
      <c r="AR3" s="42"/>
      <c r="AS3" s="175">
        <v>212472.37</v>
      </c>
      <c r="AT3" s="2"/>
      <c r="AU3" s="465" t="s">
        <v>13</v>
      </c>
      <c r="AV3" s="466"/>
      <c r="AY3" s="467" t="s">
        <v>4</v>
      </c>
      <c r="AZ3" s="468"/>
      <c r="BA3" s="469"/>
      <c r="BB3" s="87" t="s">
        <v>112</v>
      </c>
      <c r="BC3" s="87"/>
      <c r="BE3" s="9" t="s">
        <v>2</v>
      </c>
      <c r="BF3" s="42"/>
      <c r="BG3" s="175">
        <v>212472.37</v>
      </c>
      <c r="BH3" s="2"/>
      <c r="BI3" s="465" t="s">
        <v>13</v>
      </c>
      <c r="BJ3" s="466"/>
      <c r="BM3" s="467" t="s">
        <v>4</v>
      </c>
      <c r="BN3" s="468"/>
      <c r="BO3" s="469"/>
      <c r="BP3" s="87" t="s">
        <v>112</v>
      </c>
      <c r="BQ3" s="87"/>
    </row>
    <row r="4" spans="1:70" ht="15.75" thickTop="1" x14ac:dyDescent="0.25">
      <c r="B4" s="43">
        <v>42278</v>
      </c>
      <c r="C4" s="176">
        <v>0</v>
      </c>
      <c r="D4" s="83"/>
      <c r="E4" s="224">
        <v>42278</v>
      </c>
      <c r="F4" s="28">
        <v>160172.79999999999</v>
      </c>
      <c r="G4" s="23"/>
      <c r="H4" s="46">
        <v>42278</v>
      </c>
      <c r="I4" s="29">
        <v>0</v>
      </c>
      <c r="J4" s="48"/>
      <c r="K4" s="49"/>
      <c r="L4" s="89">
        <f>43751+68000+70000+22172.5</f>
        <v>203923.5</v>
      </c>
      <c r="M4" s="89"/>
      <c r="P4" s="43">
        <v>42278</v>
      </c>
      <c r="Q4" s="176">
        <v>0</v>
      </c>
      <c r="R4" s="83"/>
      <c r="S4" s="224">
        <v>42278</v>
      </c>
      <c r="T4" s="28">
        <v>160172.79999999999</v>
      </c>
      <c r="U4" s="23"/>
      <c r="V4" s="46">
        <v>42278</v>
      </c>
      <c r="W4" s="29">
        <v>0</v>
      </c>
      <c r="X4" s="48"/>
      <c r="Y4" s="49"/>
      <c r="Z4" s="89">
        <f>43751+68000+70000+22172.5</f>
        <v>203923.5</v>
      </c>
      <c r="AA4" s="89"/>
      <c r="AD4" s="43">
        <v>42278</v>
      </c>
      <c r="AE4" s="176">
        <v>0</v>
      </c>
      <c r="AF4" s="83"/>
      <c r="AG4" s="224">
        <v>42278</v>
      </c>
      <c r="AH4" s="28">
        <v>160172.79999999999</v>
      </c>
      <c r="AI4" s="23"/>
      <c r="AJ4" s="46">
        <v>42278</v>
      </c>
      <c r="AK4" s="29">
        <v>0</v>
      </c>
      <c r="AL4" s="48"/>
      <c r="AM4" s="49"/>
      <c r="AN4" s="89">
        <f>43751+68000+70000+22172.5</f>
        <v>203923.5</v>
      </c>
      <c r="AO4" s="89"/>
      <c r="AR4" s="43">
        <v>42278</v>
      </c>
      <c r="AS4" s="176">
        <v>0</v>
      </c>
      <c r="AT4" s="83"/>
      <c r="AU4" s="224">
        <v>42278</v>
      </c>
      <c r="AV4" s="28">
        <v>160172.79999999999</v>
      </c>
      <c r="AW4" s="23"/>
      <c r="AX4" s="46">
        <v>42278</v>
      </c>
      <c r="AY4" s="29">
        <v>0</v>
      </c>
      <c r="AZ4" s="48"/>
      <c r="BA4" s="49"/>
      <c r="BB4" s="89">
        <f>43751+68000+70000+22172.5</f>
        <v>203923.5</v>
      </c>
      <c r="BC4" s="89"/>
      <c r="BF4" s="43">
        <v>42278</v>
      </c>
      <c r="BG4" s="176">
        <v>0</v>
      </c>
      <c r="BH4" s="83"/>
      <c r="BI4" s="224">
        <v>42278</v>
      </c>
      <c r="BJ4" s="28">
        <v>160172.79999999999</v>
      </c>
      <c r="BK4" s="23"/>
      <c r="BL4" s="46">
        <v>42278</v>
      </c>
      <c r="BM4" s="29">
        <v>0</v>
      </c>
      <c r="BN4" s="48"/>
      <c r="BO4" s="49"/>
      <c r="BP4" s="89">
        <f>43751+68000+70000+22172.5</f>
        <v>203923.5</v>
      </c>
      <c r="BQ4" s="89"/>
      <c r="BR4" s="23"/>
    </row>
    <row r="5" spans="1:70" x14ac:dyDescent="0.25">
      <c r="B5" s="43">
        <v>42279</v>
      </c>
      <c r="C5" s="176">
        <v>6403</v>
      </c>
      <c r="D5" s="24" t="s">
        <v>692</v>
      </c>
      <c r="E5" s="225">
        <v>42279</v>
      </c>
      <c r="F5" s="28">
        <v>162928</v>
      </c>
      <c r="G5" s="20"/>
      <c r="H5" s="47">
        <v>42279</v>
      </c>
      <c r="I5" s="29">
        <v>20</v>
      </c>
      <c r="J5" s="50" t="s">
        <v>5</v>
      </c>
      <c r="K5" s="34">
        <v>649</v>
      </c>
      <c r="L5" s="89">
        <f>24895+30000+35000+35000+50000</f>
        <v>174895</v>
      </c>
      <c r="M5" s="89"/>
      <c r="P5" s="43">
        <v>42279</v>
      </c>
      <c r="Q5" s="176">
        <v>6403</v>
      </c>
      <c r="R5" s="24" t="s">
        <v>692</v>
      </c>
      <c r="S5" s="225">
        <v>42279</v>
      </c>
      <c r="T5" s="28">
        <v>162928</v>
      </c>
      <c r="U5" s="20"/>
      <c r="V5" s="47">
        <v>42279</v>
      </c>
      <c r="W5" s="29">
        <v>20</v>
      </c>
      <c r="X5" s="50" t="s">
        <v>5</v>
      </c>
      <c r="Y5" s="34">
        <v>649</v>
      </c>
      <c r="Z5" s="89">
        <f>24895+30000+35000+35000+50000</f>
        <v>174895</v>
      </c>
      <c r="AA5" s="89"/>
      <c r="AD5" s="43">
        <v>42279</v>
      </c>
      <c r="AE5" s="176">
        <v>6403</v>
      </c>
      <c r="AF5" s="24" t="s">
        <v>692</v>
      </c>
      <c r="AG5" s="225">
        <v>42279</v>
      </c>
      <c r="AH5" s="28">
        <v>162928</v>
      </c>
      <c r="AI5" s="20"/>
      <c r="AJ5" s="47">
        <v>42279</v>
      </c>
      <c r="AK5" s="29">
        <v>20</v>
      </c>
      <c r="AL5" s="50" t="s">
        <v>5</v>
      </c>
      <c r="AM5" s="34">
        <v>649</v>
      </c>
      <c r="AN5" s="89">
        <f>24895+30000+35000+35000+50000</f>
        <v>174895</v>
      </c>
      <c r="AO5" s="89"/>
      <c r="AR5" s="43">
        <v>42279</v>
      </c>
      <c r="AS5" s="176">
        <v>6403</v>
      </c>
      <c r="AT5" s="24" t="s">
        <v>692</v>
      </c>
      <c r="AU5" s="225">
        <v>42279</v>
      </c>
      <c r="AV5" s="28">
        <v>162928</v>
      </c>
      <c r="AW5" s="20"/>
      <c r="AX5" s="47">
        <v>42279</v>
      </c>
      <c r="AY5" s="29">
        <v>20</v>
      </c>
      <c r="AZ5" s="50" t="s">
        <v>5</v>
      </c>
      <c r="BA5" s="34">
        <v>0</v>
      </c>
      <c r="BB5" s="89">
        <f>24895+30000+35000+35000+50000</f>
        <v>174895</v>
      </c>
      <c r="BC5" s="89"/>
      <c r="BF5" s="43">
        <v>42279</v>
      </c>
      <c r="BG5" s="176">
        <v>6403</v>
      </c>
      <c r="BH5" s="24" t="s">
        <v>692</v>
      </c>
      <c r="BI5" s="225">
        <v>42279</v>
      </c>
      <c r="BJ5" s="28">
        <v>162928</v>
      </c>
      <c r="BK5" s="20"/>
      <c r="BL5" s="47">
        <v>42279</v>
      </c>
      <c r="BM5" s="29">
        <v>20</v>
      </c>
      <c r="BN5" s="50" t="s">
        <v>5</v>
      </c>
      <c r="BO5" s="34">
        <v>0</v>
      </c>
      <c r="BP5" s="89">
        <f>24895+30000+35000+35000+50000</f>
        <v>174895</v>
      </c>
      <c r="BQ5" s="89"/>
      <c r="BR5" s="23"/>
    </row>
    <row r="6" spans="1:70" x14ac:dyDescent="0.25">
      <c r="B6" s="43">
        <v>42280</v>
      </c>
      <c r="C6" s="176">
        <v>23132</v>
      </c>
      <c r="D6" s="24" t="s">
        <v>693</v>
      </c>
      <c r="E6" s="225">
        <v>42280</v>
      </c>
      <c r="F6" s="28">
        <v>175851.4</v>
      </c>
      <c r="G6" s="23"/>
      <c r="H6" s="47">
        <v>42280</v>
      </c>
      <c r="I6" s="29">
        <v>30</v>
      </c>
      <c r="J6" s="409" t="s">
        <v>230</v>
      </c>
      <c r="K6" s="34">
        <v>10000</v>
      </c>
      <c r="L6" s="89">
        <f>11393+56934+40000+39000+35000+27296.5</f>
        <v>209623.5</v>
      </c>
      <c r="M6" s="89"/>
      <c r="P6" s="43">
        <v>42280</v>
      </c>
      <c r="Q6" s="176">
        <v>23132</v>
      </c>
      <c r="R6" s="24" t="s">
        <v>693</v>
      </c>
      <c r="S6" s="225">
        <v>42280</v>
      </c>
      <c r="T6" s="28">
        <v>175851.4</v>
      </c>
      <c r="U6" s="23"/>
      <c r="V6" s="47">
        <v>42280</v>
      </c>
      <c r="W6" s="29">
        <v>30</v>
      </c>
      <c r="X6" s="409" t="s">
        <v>230</v>
      </c>
      <c r="Y6" s="34">
        <v>10000</v>
      </c>
      <c r="Z6" s="89">
        <f>11393+56934+40000+39000+35000+27296.5</f>
        <v>209623.5</v>
      </c>
      <c r="AA6" s="89"/>
      <c r="AD6" s="43">
        <v>42280</v>
      </c>
      <c r="AE6" s="176">
        <v>23132</v>
      </c>
      <c r="AF6" s="24" t="s">
        <v>693</v>
      </c>
      <c r="AG6" s="225">
        <v>42280</v>
      </c>
      <c r="AH6" s="28">
        <v>175851.4</v>
      </c>
      <c r="AI6" s="23"/>
      <c r="AJ6" s="47">
        <v>42280</v>
      </c>
      <c r="AK6" s="29">
        <v>30</v>
      </c>
      <c r="AL6" s="409" t="s">
        <v>230</v>
      </c>
      <c r="AM6" s="34">
        <v>10000</v>
      </c>
      <c r="AN6" s="89">
        <f>11393+56934+40000+39000+35000+27296.5</f>
        <v>209623.5</v>
      </c>
      <c r="AO6" s="89"/>
      <c r="AR6" s="43">
        <v>42280</v>
      </c>
      <c r="AS6" s="176">
        <v>23132</v>
      </c>
      <c r="AT6" s="24" t="s">
        <v>693</v>
      </c>
      <c r="AU6" s="225">
        <v>42280</v>
      </c>
      <c r="AV6" s="28">
        <v>175851.4</v>
      </c>
      <c r="AW6" s="23"/>
      <c r="AX6" s="47">
        <v>42280</v>
      </c>
      <c r="AY6" s="29">
        <v>30</v>
      </c>
      <c r="AZ6" s="409" t="s">
        <v>230</v>
      </c>
      <c r="BA6" s="34">
        <v>0</v>
      </c>
      <c r="BB6" s="89">
        <f>11393+56934+40000+39000+35000+27296.5</f>
        <v>209623.5</v>
      </c>
      <c r="BC6" s="89"/>
      <c r="BF6" s="43">
        <v>42280</v>
      </c>
      <c r="BG6" s="176">
        <v>23132</v>
      </c>
      <c r="BH6" s="24" t="s">
        <v>693</v>
      </c>
      <c r="BI6" s="225">
        <v>42280</v>
      </c>
      <c r="BJ6" s="28">
        <v>175851.4</v>
      </c>
      <c r="BK6" s="23"/>
      <c r="BL6" s="47">
        <v>42280</v>
      </c>
      <c r="BM6" s="29">
        <v>30</v>
      </c>
      <c r="BN6" s="409" t="s">
        <v>230</v>
      </c>
      <c r="BO6" s="34">
        <v>0</v>
      </c>
      <c r="BP6" s="89">
        <v>206683</v>
      </c>
      <c r="BQ6" s="89"/>
      <c r="BR6" s="23"/>
    </row>
    <row r="7" spans="1:70" x14ac:dyDescent="0.25">
      <c r="B7" s="43">
        <v>42281</v>
      </c>
      <c r="C7" s="176">
        <v>4890.72</v>
      </c>
      <c r="D7" s="363" t="s">
        <v>114</v>
      </c>
      <c r="E7" s="225">
        <v>42281</v>
      </c>
      <c r="F7" s="28">
        <v>66569.8</v>
      </c>
      <c r="G7" s="23"/>
      <c r="H7" s="47">
        <v>42281</v>
      </c>
      <c r="I7" s="29">
        <v>100</v>
      </c>
      <c r="J7" s="50" t="s">
        <v>6</v>
      </c>
      <c r="K7" s="34">
        <v>28750</v>
      </c>
      <c r="L7" s="89">
        <f>61579</f>
        <v>61579</v>
      </c>
      <c r="M7" s="89"/>
      <c r="P7" s="43">
        <v>42281</v>
      </c>
      <c r="Q7" s="176">
        <v>4890.72</v>
      </c>
      <c r="R7" s="363" t="s">
        <v>114</v>
      </c>
      <c r="S7" s="225">
        <v>42281</v>
      </c>
      <c r="T7" s="28">
        <v>66569.8</v>
      </c>
      <c r="U7" s="23"/>
      <c r="V7" s="47">
        <v>42281</v>
      </c>
      <c r="W7" s="29">
        <v>100</v>
      </c>
      <c r="X7" s="50" t="s">
        <v>6</v>
      </c>
      <c r="Y7" s="34">
        <v>28750</v>
      </c>
      <c r="Z7" s="89">
        <f>61579</f>
        <v>61579</v>
      </c>
      <c r="AA7" s="89"/>
      <c r="AD7" s="43">
        <v>42281</v>
      </c>
      <c r="AE7" s="176">
        <v>4890.72</v>
      </c>
      <c r="AF7" s="363" t="s">
        <v>114</v>
      </c>
      <c r="AG7" s="225">
        <v>42281</v>
      </c>
      <c r="AH7" s="28">
        <v>66569.8</v>
      </c>
      <c r="AI7" s="23"/>
      <c r="AJ7" s="47">
        <v>42281</v>
      </c>
      <c r="AK7" s="29">
        <v>100</v>
      </c>
      <c r="AL7" s="50" t="s">
        <v>6</v>
      </c>
      <c r="AM7" s="34">
        <v>28750</v>
      </c>
      <c r="AN7" s="89">
        <f>61579</f>
        <v>61579</v>
      </c>
      <c r="AO7" s="89"/>
      <c r="AR7" s="43">
        <v>42281</v>
      </c>
      <c r="AS7" s="176">
        <v>4890.72</v>
      </c>
      <c r="AT7" s="363" t="s">
        <v>114</v>
      </c>
      <c r="AU7" s="225">
        <v>42281</v>
      </c>
      <c r="AV7" s="28">
        <v>66569.8</v>
      </c>
      <c r="AW7" s="23"/>
      <c r="AX7" s="47">
        <v>42281</v>
      </c>
      <c r="AY7" s="29">
        <v>100</v>
      </c>
      <c r="AZ7" s="50" t="s">
        <v>6</v>
      </c>
      <c r="BA7" s="34">
        <v>28750</v>
      </c>
      <c r="BB7" s="89">
        <f>61579</f>
        <v>61579</v>
      </c>
      <c r="BC7" s="89"/>
      <c r="BF7" s="43">
        <v>42281</v>
      </c>
      <c r="BG7" s="176">
        <v>4890.72</v>
      </c>
      <c r="BH7" s="363" t="s">
        <v>114</v>
      </c>
      <c r="BI7" s="225">
        <v>42281</v>
      </c>
      <c r="BJ7" s="28">
        <v>66569.8</v>
      </c>
      <c r="BK7" s="23"/>
      <c r="BL7" s="47">
        <v>42281</v>
      </c>
      <c r="BM7" s="29">
        <v>100</v>
      </c>
      <c r="BN7" s="50" t="s">
        <v>6</v>
      </c>
      <c r="BO7" s="34">
        <v>28750</v>
      </c>
      <c r="BP7" s="89">
        <v>61579</v>
      </c>
      <c r="BQ7" s="89"/>
      <c r="BR7" s="23"/>
    </row>
    <row r="8" spans="1:70" x14ac:dyDescent="0.25">
      <c r="B8" s="43">
        <v>42282</v>
      </c>
      <c r="C8" s="176">
        <v>11617</v>
      </c>
      <c r="D8" s="363" t="s">
        <v>59</v>
      </c>
      <c r="E8" s="225">
        <v>42282</v>
      </c>
      <c r="F8" s="28">
        <v>229426.5</v>
      </c>
      <c r="G8" s="23"/>
      <c r="H8" s="47">
        <v>42282</v>
      </c>
      <c r="I8" s="29">
        <v>0</v>
      </c>
      <c r="J8" s="50" t="s">
        <v>44</v>
      </c>
      <c r="K8" s="28">
        <v>10825.73</v>
      </c>
      <c r="L8" s="89">
        <f>40000+56500+55000+6655+30000+29654.5</f>
        <v>217809.5</v>
      </c>
      <c r="M8" s="89"/>
      <c r="P8" s="43">
        <v>42282</v>
      </c>
      <c r="Q8" s="176">
        <v>11617</v>
      </c>
      <c r="R8" s="363" t="s">
        <v>59</v>
      </c>
      <c r="S8" s="225">
        <v>42282</v>
      </c>
      <c r="T8" s="28">
        <v>229426.5</v>
      </c>
      <c r="U8" s="23"/>
      <c r="V8" s="47">
        <v>42282</v>
      </c>
      <c r="W8" s="29">
        <v>0</v>
      </c>
      <c r="X8" s="50" t="s">
        <v>44</v>
      </c>
      <c r="Y8" s="28">
        <v>10825.73</v>
      </c>
      <c r="Z8" s="89">
        <f>40000+56500+55000+6655+30000+29654.5</f>
        <v>217809.5</v>
      </c>
      <c r="AA8" s="89"/>
      <c r="AD8" s="43">
        <v>42282</v>
      </c>
      <c r="AE8" s="176">
        <v>11617</v>
      </c>
      <c r="AF8" s="363" t="s">
        <v>59</v>
      </c>
      <c r="AG8" s="225">
        <v>42282</v>
      </c>
      <c r="AH8" s="28">
        <v>229426.5</v>
      </c>
      <c r="AI8" s="23"/>
      <c r="AJ8" s="47">
        <v>42282</v>
      </c>
      <c r="AK8" s="29">
        <v>0</v>
      </c>
      <c r="AL8" s="50" t="s">
        <v>44</v>
      </c>
      <c r="AM8" s="28">
        <v>10825.73</v>
      </c>
      <c r="AN8" s="89">
        <f>40000+56500+55000+6655+30000+29654.5</f>
        <v>217809.5</v>
      </c>
      <c r="AO8" s="89"/>
      <c r="AR8" s="43">
        <v>42282</v>
      </c>
      <c r="AS8" s="176">
        <v>11617</v>
      </c>
      <c r="AT8" s="363" t="s">
        <v>59</v>
      </c>
      <c r="AU8" s="225">
        <v>42282</v>
      </c>
      <c r="AV8" s="28">
        <v>229426.5</v>
      </c>
      <c r="AW8" s="23"/>
      <c r="AX8" s="47">
        <v>42282</v>
      </c>
      <c r="AY8" s="29">
        <v>0</v>
      </c>
      <c r="AZ8" s="50" t="s">
        <v>44</v>
      </c>
      <c r="BA8" s="28">
        <v>10825.73</v>
      </c>
      <c r="BB8" s="89">
        <f>40000+56500+55000+6655+30000+29654.5</f>
        <v>217809.5</v>
      </c>
      <c r="BC8" s="89"/>
      <c r="BF8" s="43">
        <v>42282</v>
      </c>
      <c r="BG8" s="176">
        <v>11617</v>
      </c>
      <c r="BH8" s="363" t="s">
        <v>59</v>
      </c>
      <c r="BI8" s="225">
        <v>42282</v>
      </c>
      <c r="BJ8" s="28">
        <v>229426.5</v>
      </c>
      <c r="BK8" s="23"/>
      <c r="BL8" s="47">
        <v>42282</v>
      </c>
      <c r="BM8" s="29">
        <v>0</v>
      </c>
      <c r="BN8" s="50" t="s">
        <v>44</v>
      </c>
      <c r="BO8" s="28">
        <v>10825.73</v>
      </c>
      <c r="BP8" s="89">
        <v>217809.5</v>
      </c>
      <c r="BQ8" s="89"/>
      <c r="BR8" s="23"/>
    </row>
    <row r="9" spans="1:70" x14ac:dyDescent="0.25">
      <c r="B9" s="43">
        <v>42283</v>
      </c>
      <c r="C9" s="176">
        <v>1123.46</v>
      </c>
      <c r="D9" s="363" t="s">
        <v>114</v>
      </c>
      <c r="E9" s="225">
        <v>42283</v>
      </c>
      <c r="F9" s="28">
        <v>45093.8</v>
      </c>
      <c r="G9" s="23"/>
      <c r="H9" s="47">
        <v>42283</v>
      </c>
      <c r="I9" s="29">
        <v>0</v>
      </c>
      <c r="J9" s="50" t="s">
        <v>624</v>
      </c>
      <c r="K9" s="28">
        <v>10297.58</v>
      </c>
      <c r="L9" s="89">
        <f>6497+20000+25467.5</f>
        <v>51964.5</v>
      </c>
      <c r="M9" s="89"/>
      <c r="P9" s="43">
        <v>42283</v>
      </c>
      <c r="Q9" s="176">
        <v>1123.46</v>
      </c>
      <c r="R9" s="363" t="s">
        <v>114</v>
      </c>
      <c r="S9" s="225">
        <v>42283</v>
      </c>
      <c r="T9" s="28">
        <v>45093.8</v>
      </c>
      <c r="U9" s="23"/>
      <c r="V9" s="47">
        <v>42283</v>
      </c>
      <c r="W9" s="29">
        <v>0</v>
      </c>
      <c r="X9" s="50" t="s">
        <v>624</v>
      </c>
      <c r="Y9" s="28">
        <v>10297.58</v>
      </c>
      <c r="Z9" s="89">
        <f>6497+20000+25467.5</f>
        <v>51964.5</v>
      </c>
      <c r="AA9" s="89"/>
      <c r="AD9" s="43">
        <v>42283</v>
      </c>
      <c r="AE9" s="176">
        <v>1123.46</v>
      </c>
      <c r="AF9" s="363" t="s">
        <v>114</v>
      </c>
      <c r="AG9" s="225">
        <v>42283</v>
      </c>
      <c r="AH9" s="28">
        <v>45093.8</v>
      </c>
      <c r="AI9" s="23"/>
      <c r="AJ9" s="47">
        <v>42283</v>
      </c>
      <c r="AK9" s="29">
        <v>0</v>
      </c>
      <c r="AL9" s="50" t="s">
        <v>624</v>
      </c>
      <c r="AM9" s="28">
        <v>10297.58</v>
      </c>
      <c r="AN9" s="89">
        <f>6497+20000+25467.5</f>
        <v>51964.5</v>
      </c>
      <c r="AO9" s="89"/>
      <c r="AR9" s="43">
        <v>42283</v>
      </c>
      <c r="AS9" s="176">
        <v>1123.46</v>
      </c>
      <c r="AT9" s="363" t="s">
        <v>114</v>
      </c>
      <c r="AU9" s="225">
        <v>42283</v>
      </c>
      <c r="AV9" s="28">
        <v>45093.8</v>
      </c>
      <c r="AW9" s="23"/>
      <c r="AX9" s="47">
        <v>42283</v>
      </c>
      <c r="AY9" s="29">
        <v>0</v>
      </c>
      <c r="AZ9" s="50" t="s">
        <v>624</v>
      </c>
      <c r="BA9" s="28">
        <v>10297.58</v>
      </c>
      <c r="BB9" s="89">
        <f>6497+20000+25467.5</f>
        <v>51964.5</v>
      </c>
      <c r="BC9" s="89"/>
      <c r="BF9" s="43">
        <v>42283</v>
      </c>
      <c r="BG9" s="176">
        <v>1123.46</v>
      </c>
      <c r="BH9" s="363" t="s">
        <v>114</v>
      </c>
      <c r="BI9" s="225">
        <v>42283</v>
      </c>
      <c r="BJ9" s="28">
        <v>45093.8</v>
      </c>
      <c r="BK9" s="23"/>
      <c r="BL9" s="47">
        <v>42283</v>
      </c>
      <c r="BM9" s="29">
        <v>0</v>
      </c>
      <c r="BN9" s="50" t="s">
        <v>624</v>
      </c>
      <c r="BO9" s="28">
        <v>0</v>
      </c>
      <c r="BP9" s="89">
        <v>51964.5</v>
      </c>
      <c r="BQ9" s="89"/>
      <c r="BR9" s="23"/>
    </row>
    <row r="10" spans="1:70" x14ac:dyDescent="0.25">
      <c r="A10" s="21"/>
      <c r="B10" s="43">
        <v>42284</v>
      </c>
      <c r="C10" s="176">
        <v>467.82</v>
      </c>
      <c r="D10" s="363" t="s">
        <v>694</v>
      </c>
      <c r="E10" s="225">
        <v>42284</v>
      </c>
      <c r="F10" s="28">
        <v>81842</v>
      </c>
      <c r="G10" s="23"/>
      <c r="H10" s="47">
        <v>42284</v>
      </c>
      <c r="I10" s="29">
        <v>54</v>
      </c>
      <c r="J10" s="50" t="s">
        <v>625</v>
      </c>
      <c r="K10" s="28">
        <v>10064.25</v>
      </c>
      <c r="L10" s="89">
        <f>67000+14300+20</f>
        <v>81320</v>
      </c>
      <c r="M10" s="89"/>
      <c r="O10" s="21"/>
      <c r="P10" s="43">
        <v>42284</v>
      </c>
      <c r="Q10" s="176">
        <v>467.82</v>
      </c>
      <c r="R10" s="363" t="s">
        <v>694</v>
      </c>
      <c r="S10" s="225">
        <v>42284</v>
      </c>
      <c r="T10" s="28">
        <v>81842</v>
      </c>
      <c r="U10" s="23"/>
      <c r="V10" s="47">
        <v>42284</v>
      </c>
      <c r="W10" s="29">
        <v>54</v>
      </c>
      <c r="X10" s="50" t="s">
        <v>625</v>
      </c>
      <c r="Y10" s="28">
        <v>10064.25</v>
      </c>
      <c r="Z10" s="89">
        <f>67000+14300+20</f>
        <v>81320</v>
      </c>
      <c r="AA10" s="89"/>
      <c r="AC10" s="21"/>
      <c r="AD10" s="43">
        <v>42284</v>
      </c>
      <c r="AE10" s="176">
        <v>467.82</v>
      </c>
      <c r="AF10" s="363" t="s">
        <v>694</v>
      </c>
      <c r="AG10" s="225">
        <v>42284</v>
      </c>
      <c r="AH10" s="28">
        <v>81842</v>
      </c>
      <c r="AI10" s="23"/>
      <c r="AJ10" s="47">
        <v>42284</v>
      </c>
      <c r="AK10" s="29">
        <v>54</v>
      </c>
      <c r="AL10" s="50" t="s">
        <v>625</v>
      </c>
      <c r="AM10" s="28">
        <v>10064.25</v>
      </c>
      <c r="AN10" s="89">
        <f>67000+14300+20</f>
        <v>81320</v>
      </c>
      <c r="AO10" s="89"/>
      <c r="AQ10" s="21"/>
      <c r="AR10" s="43">
        <v>42284</v>
      </c>
      <c r="AS10" s="176">
        <v>467.82</v>
      </c>
      <c r="AT10" s="363" t="s">
        <v>694</v>
      </c>
      <c r="AU10" s="225">
        <v>42284</v>
      </c>
      <c r="AV10" s="28">
        <v>81842</v>
      </c>
      <c r="AW10" s="23"/>
      <c r="AX10" s="47">
        <v>42284</v>
      </c>
      <c r="AY10" s="29">
        <v>54</v>
      </c>
      <c r="AZ10" s="50" t="s">
        <v>625</v>
      </c>
      <c r="BA10" s="28">
        <v>0</v>
      </c>
      <c r="BB10" s="89">
        <f>67000+14300+20</f>
        <v>81320</v>
      </c>
      <c r="BC10" s="89"/>
      <c r="BE10" s="21"/>
      <c r="BF10" s="43">
        <v>42284</v>
      </c>
      <c r="BG10" s="176"/>
      <c r="BH10" s="363"/>
      <c r="BI10" s="225">
        <v>42284</v>
      </c>
      <c r="BJ10" s="28">
        <v>0</v>
      </c>
      <c r="BK10" s="23"/>
      <c r="BL10" s="47">
        <v>42284</v>
      </c>
      <c r="BM10" s="29"/>
      <c r="BN10" s="50" t="s">
        <v>625</v>
      </c>
      <c r="BO10" s="28">
        <v>0</v>
      </c>
      <c r="BP10" s="89"/>
      <c r="BQ10" s="89"/>
      <c r="BR10" s="23"/>
    </row>
    <row r="11" spans="1:70" x14ac:dyDescent="0.25">
      <c r="B11" s="43">
        <v>42285</v>
      </c>
      <c r="C11" s="176">
        <v>0</v>
      </c>
      <c r="D11" s="363"/>
      <c r="E11" s="225">
        <v>42285</v>
      </c>
      <c r="F11" s="28">
        <v>150877.5</v>
      </c>
      <c r="G11" s="23"/>
      <c r="H11" s="47">
        <v>42285</v>
      </c>
      <c r="I11" s="29">
        <v>50</v>
      </c>
      <c r="J11" s="50" t="s">
        <v>47</v>
      </c>
      <c r="K11" s="28">
        <v>10064.25</v>
      </c>
      <c r="L11" s="89">
        <f>44000+30000+35000+41027.5</f>
        <v>150027.5</v>
      </c>
      <c r="M11" s="89"/>
      <c r="P11" s="43">
        <v>42285</v>
      </c>
      <c r="Q11" s="176">
        <v>0</v>
      </c>
      <c r="R11" s="363"/>
      <c r="S11" s="225">
        <v>42285</v>
      </c>
      <c r="T11" s="28">
        <v>150877.5</v>
      </c>
      <c r="U11" s="23"/>
      <c r="V11" s="47">
        <v>42285</v>
      </c>
      <c r="W11" s="29">
        <v>50</v>
      </c>
      <c r="X11" s="50" t="s">
        <v>47</v>
      </c>
      <c r="Y11" s="28">
        <v>10064.25</v>
      </c>
      <c r="Z11" s="89">
        <f>44000+30000+35000+41027.5</f>
        <v>150027.5</v>
      </c>
      <c r="AA11" s="89"/>
      <c r="AD11" s="43">
        <v>42285</v>
      </c>
      <c r="AE11" s="176">
        <v>0</v>
      </c>
      <c r="AF11" s="363"/>
      <c r="AG11" s="225">
        <v>42285</v>
      </c>
      <c r="AH11" s="28">
        <v>150877.5</v>
      </c>
      <c r="AI11" s="23"/>
      <c r="AJ11" s="47">
        <v>42285</v>
      </c>
      <c r="AK11" s="29">
        <v>50</v>
      </c>
      <c r="AL11" s="50" t="s">
        <v>47</v>
      </c>
      <c r="AM11" s="28">
        <v>0</v>
      </c>
      <c r="AN11" s="89">
        <f>44000+30000+35000+41027.5</f>
        <v>150027.5</v>
      </c>
      <c r="AO11" s="89"/>
      <c r="AR11" s="43">
        <v>42285</v>
      </c>
      <c r="AS11" s="176">
        <v>0</v>
      </c>
      <c r="AT11" s="363"/>
      <c r="AU11" s="225">
        <v>42285</v>
      </c>
      <c r="AV11" s="28">
        <v>150877.5</v>
      </c>
      <c r="AW11" s="23"/>
      <c r="AX11" s="47">
        <v>42285</v>
      </c>
      <c r="AY11" s="29">
        <v>50</v>
      </c>
      <c r="AZ11" s="50" t="s">
        <v>47</v>
      </c>
      <c r="BA11" s="28">
        <v>0</v>
      </c>
      <c r="BB11" s="89">
        <f>44000+30000+35000+41027.5</f>
        <v>150027.5</v>
      </c>
      <c r="BC11" s="89"/>
      <c r="BF11" s="43">
        <v>42285</v>
      </c>
      <c r="BG11" s="176"/>
      <c r="BH11" s="363"/>
      <c r="BI11" s="225">
        <v>42285</v>
      </c>
      <c r="BJ11" s="28"/>
      <c r="BK11" s="23"/>
      <c r="BL11" s="47">
        <v>42285</v>
      </c>
      <c r="BM11" s="29"/>
      <c r="BN11" s="50" t="s">
        <v>47</v>
      </c>
      <c r="BO11" s="28">
        <v>0</v>
      </c>
      <c r="BP11" s="89"/>
      <c r="BQ11" s="89"/>
      <c r="BR11" s="23"/>
    </row>
    <row r="12" spans="1:70" x14ac:dyDescent="0.25">
      <c r="A12" s="13"/>
      <c r="B12" s="43">
        <v>42286</v>
      </c>
      <c r="C12" s="176">
        <v>11025</v>
      </c>
      <c r="D12" s="24" t="s">
        <v>59</v>
      </c>
      <c r="E12" s="225">
        <v>42286</v>
      </c>
      <c r="F12" s="28">
        <v>169304</v>
      </c>
      <c r="G12" s="23"/>
      <c r="H12" s="47">
        <v>42286</v>
      </c>
      <c r="I12" s="29">
        <v>0</v>
      </c>
      <c r="J12" s="50" t="s">
        <v>48</v>
      </c>
      <c r="K12" s="28">
        <v>8665</v>
      </c>
      <c r="L12" s="89">
        <f>53000+60000+13837+6192+25250</f>
        <v>158279</v>
      </c>
      <c r="M12" s="89"/>
      <c r="O12" s="13"/>
      <c r="P12" s="43">
        <v>42286</v>
      </c>
      <c r="Q12" s="176">
        <v>11025</v>
      </c>
      <c r="R12" s="24" t="s">
        <v>59</v>
      </c>
      <c r="S12" s="225">
        <v>42286</v>
      </c>
      <c r="T12" s="28">
        <v>169304</v>
      </c>
      <c r="U12" s="23"/>
      <c r="V12" s="47">
        <v>42286</v>
      </c>
      <c r="W12" s="29">
        <v>0</v>
      </c>
      <c r="X12" s="50" t="s">
        <v>48</v>
      </c>
      <c r="Y12" s="28">
        <v>8665</v>
      </c>
      <c r="Z12" s="89">
        <f>53000+60000+13837+6192+25250</f>
        <v>158279</v>
      </c>
      <c r="AA12" s="89"/>
      <c r="AC12" s="13"/>
      <c r="AD12" s="43">
        <v>42286</v>
      </c>
      <c r="AE12" s="176">
        <v>11025</v>
      </c>
      <c r="AF12" s="24" t="s">
        <v>59</v>
      </c>
      <c r="AG12" s="225">
        <v>42286</v>
      </c>
      <c r="AH12" s="28">
        <v>169304</v>
      </c>
      <c r="AI12" s="23"/>
      <c r="AJ12" s="47">
        <v>42286</v>
      </c>
      <c r="AK12" s="29">
        <v>0</v>
      </c>
      <c r="AL12" s="50"/>
      <c r="AM12" s="28">
        <v>0</v>
      </c>
      <c r="AN12" s="89">
        <f>53000+60000+13837+6192+25250</f>
        <v>158279</v>
      </c>
      <c r="AO12" s="89"/>
      <c r="AQ12" s="13"/>
      <c r="AR12" s="43">
        <v>42286</v>
      </c>
      <c r="AS12" s="176">
        <v>11025</v>
      </c>
      <c r="AT12" s="24" t="s">
        <v>59</v>
      </c>
      <c r="AU12" s="225">
        <v>42286</v>
      </c>
      <c r="AV12" s="28">
        <v>169304</v>
      </c>
      <c r="AW12" s="23"/>
      <c r="AX12" s="47">
        <v>42286</v>
      </c>
      <c r="AY12" s="29">
        <v>0</v>
      </c>
      <c r="AZ12" s="50" t="s">
        <v>283</v>
      </c>
      <c r="BA12" s="28">
        <v>0</v>
      </c>
      <c r="BB12" s="89">
        <f>53000+60000+13837+6192+25250</f>
        <v>158279</v>
      </c>
      <c r="BC12" s="89"/>
      <c r="BE12" s="13"/>
      <c r="BF12" s="43">
        <v>42286</v>
      </c>
      <c r="BG12" s="176"/>
      <c r="BH12" s="24"/>
      <c r="BI12" s="225">
        <v>42286</v>
      </c>
      <c r="BJ12" s="28"/>
      <c r="BK12" s="23"/>
      <c r="BL12" s="47">
        <v>42286</v>
      </c>
      <c r="BM12" s="29"/>
      <c r="BN12" s="50" t="s">
        <v>283</v>
      </c>
      <c r="BO12" s="28">
        <v>0</v>
      </c>
      <c r="BP12" s="89"/>
      <c r="BQ12" s="89"/>
      <c r="BR12" s="23"/>
    </row>
    <row r="13" spans="1:70" x14ac:dyDescent="0.25">
      <c r="A13" s="13"/>
      <c r="B13" s="43">
        <v>42287</v>
      </c>
      <c r="C13" s="176">
        <v>10885.08</v>
      </c>
      <c r="D13" s="291" t="s">
        <v>695</v>
      </c>
      <c r="E13" s="225">
        <v>42287</v>
      </c>
      <c r="F13" s="28">
        <v>176594.5</v>
      </c>
      <c r="G13" s="23"/>
      <c r="H13" s="47">
        <v>42287</v>
      </c>
      <c r="I13" s="29">
        <v>100</v>
      </c>
      <c r="J13" s="51" t="s">
        <v>292</v>
      </c>
      <c r="K13" s="28">
        <v>800</v>
      </c>
      <c r="L13" s="89">
        <f>80000+62000+22759.5</f>
        <v>164759.5</v>
      </c>
      <c r="M13" s="443">
        <v>9.5</v>
      </c>
      <c r="O13" s="13"/>
      <c r="P13" s="43">
        <v>42287</v>
      </c>
      <c r="Q13" s="176">
        <v>10885.08</v>
      </c>
      <c r="R13" s="291" t="s">
        <v>695</v>
      </c>
      <c r="S13" s="225">
        <v>42287</v>
      </c>
      <c r="T13" s="28">
        <v>176594.5</v>
      </c>
      <c r="U13" s="23"/>
      <c r="V13" s="47">
        <v>42287</v>
      </c>
      <c r="W13" s="29">
        <v>100</v>
      </c>
      <c r="X13" s="51" t="s">
        <v>292</v>
      </c>
      <c r="Y13" s="28">
        <v>800</v>
      </c>
      <c r="Z13" s="89">
        <f>80000+62000+22759.5</f>
        <v>164759.5</v>
      </c>
      <c r="AA13" s="443">
        <v>9.5</v>
      </c>
      <c r="AC13" s="13"/>
      <c r="AD13" s="43">
        <v>42287</v>
      </c>
      <c r="AE13" s="176">
        <v>10885.08</v>
      </c>
      <c r="AF13" s="291" t="s">
        <v>695</v>
      </c>
      <c r="AG13" s="225">
        <v>42287</v>
      </c>
      <c r="AH13" s="28">
        <v>176594.5</v>
      </c>
      <c r="AI13" s="23"/>
      <c r="AJ13" s="47">
        <v>42287</v>
      </c>
      <c r="AK13" s="29">
        <v>100</v>
      </c>
      <c r="AL13" s="51" t="s">
        <v>292</v>
      </c>
      <c r="AM13" s="28">
        <v>800</v>
      </c>
      <c r="AN13" s="89">
        <f>80000+62000+22759.5</f>
        <v>164759.5</v>
      </c>
      <c r="AO13" s="443">
        <v>9.5</v>
      </c>
      <c r="AQ13" s="13"/>
      <c r="AR13" s="43">
        <v>42287</v>
      </c>
      <c r="AS13" s="176">
        <v>10885.08</v>
      </c>
      <c r="AT13" s="291" t="s">
        <v>695</v>
      </c>
      <c r="AU13" s="225">
        <v>42287</v>
      </c>
      <c r="AV13" s="28">
        <v>176594.5</v>
      </c>
      <c r="AW13" s="23"/>
      <c r="AX13" s="47">
        <v>42287</v>
      </c>
      <c r="AY13" s="29">
        <v>100</v>
      </c>
      <c r="AZ13" s="51" t="s">
        <v>292</v>
      </c>
      <c r="BA13" s="28">
        <v>800</v>
      </c>
      <c r="BB13" s="89">
        <f>80000+62000+22759.5</f>
        <v>164759.5</v>
      </c>
      <c r="BC13" s="362">
        <v>22759.5</v>
      </c>
      <c r="BE13" s="13"/>
      <c r="BF13" s="43">
        <v>42287</v>
      </c>
      <c r="BG13" s="176"/>
      <c r="BH13" s="291"/>
      <c r="BI13" s="225">
        <v>42287</v>
      </c>
      <c r="BJ13" s="28"/>
      <c r="BK13" s="23"/>
      <c r="BL13" s="47">
        <v>42287</v>
      </c>
      <c r="BM13" s="29"/>
      <c r="BN13" s="51" t="s">
        <v>292</v>
      </c>
      <c r="BO13" s="28">
        <v>0</v>
      </c>
      <c r="BP13" s="89"/>
      <c r="BQ13" s="89"/>
      <c r="BR13" s="23"/>
    </row>
    <row r="14" spans="1:70" x14ac:dyDescent="0.25">
      <c r="B14" s="43">
        <v>42288</v>
      </c>
      <c r="C14" s="176">
        <v>0</v>
      </c>
      <c r="D14" s="24"/>
      <c r="E14" s="225">
        <v>42288</v>
      </c>
      <c r="F14" s="28">
        <v>93042.5</v>
      </c>
      <c r="G14" s="23"/>
      <c r="H14" s="47">
        <v>42288</v>
      </c>
      <c r="I14" s="29">
        <v>0</v>
      </c>
      <c r="J14" s="335">
        <v>42285</v>
      </c>
      <c r="K14" s="28">
        <v>0</v>
      </c>
      <c r="L14" s="89">
        <f>75000+18042.5</f>
        <v>93042.5</v>
      </c>
      <c r="M14" s="89"/>
      <c r="P14" s="43">
        <v>42288</v>
      </c>
      <c r="Q14" s="176">
        <v>0</v>
      </c>
      <c r="R14" s="24"/>
      <c r="S14" s="225">
        <v>42288</v>
      </c>
      <c r="T14" s="28">
        <v>93042.5</v>
      </c>
      <c r="U14" s="23"/>
      <c r="V14" s="47">
        <v>42288</v>
      </c>
      <c r="W14" s="29">
        <v>0</v>
      </c>
      <c r="X14" s="335">
        <v>42285</v>
      </c>
      <c r="Y14" s="28">
        <v>0</v>
      </c>
      <c r="Z14" s="89">
        <f>75000+18042.5</f>
        <v>93042.5</v>
      </c>
      <c r="AA14" s="89"/>
      <c r="AD14" s="43">
        <v>42288</v>
      </c>
      <c r="AE14" s="176">
        <v>0</v>
      </c>
      <c r="AF14" s="24"/>
      <c r="AG14" s="225">
        <v>42288</v>
      </c>
      <c r="AH14" s="28">
        <v>93042.5</v>
      </c>
      <c r="AI14" s="23"/>
      <c r="AJ14" s="47">
        <v>42288</v>
      </c>
      <c r="AK14" s="29">
        <v>0</v>
      </c>
      <c r="AL14" s="335">
        <v>42285</v>
      </c>
      <c r="AM14" s="28">
        <v>0</v>
      </c>
      <c r="AN14" s="89">
        <f>75000+18042.5</f>
        <v>93042.5</v>
      </c>
      <c r="AO14" s="89"/>
      <c r="AR14" s="43">
        <v>42288</v>
      </c>
      <c r="AS14" s="176">
        <v>0</v>
      </c>
      <c r="AT14" s="24"/>
      <c r="AU14" s="225">
        <v>42288</v>
      </c>
      <c r="AV14" s="28">
        <v>93042.5</v>
      </c>
      <c r="AW14" s="23"/>
      <c r="AX14" s="47">
        <v>42288</v>
      </c>
      <c r="AY14" s="29">
        <v>0</v>
      </c>
      <c r="AZ14" s="335">
        <v>42285</v>
      </c>
      <c r="BA14" s="28">
        <v>0</v>
      </c>
      <c r="BB14" s="362">
        <f>75000+18042.5</f>
        <v>93042.5</v>
      </c>
      <c r="BC14" s="89"/>
      <c r="BF14" s="43">
        <v>42288</v>
      </c>
      <c r="BG14" s="176"/>
      <c r="BH14" s="24"/>
      <c r="BI14" s="225">
        <v>42288</v>
      </c>
      <c r="BJ14" s="28"/>
      <c r="BK14" s="23"/>
      <c r="BL14" s="47">
        <v>42288</v>
      </c>
      <c r="BM14" s="29"/>
      <c r="BN14" s="335"/>
      <c r="BO14" s="28">
        <v>0</v>
      </c>
      <c r="BP14" s="89"/>
      <c r="BQ14" s="89"/>
      <c r="BR14" s="23"/>
    </row>
    <row r="15" spans="1:70" x14ac:dyDescent="0.25">
      <c r="A15" s="13"/>
      <c r="B15" s="43">
        <v>42289</v>
      </c>
      <c r="C15" s="176">
        <v>570</v>
      </c>
      <c r="D15" s="24" t="s">
        <v>694</v>
      </c>
      <c r="E15" s="225">
        <v>42289</v>
      </c>
      <c r="F15" s="28">
        <v>234927</v>
      </c>
      <c r="G15" s="23"/>
      <c r="H15" s="47">
        <v>42289</v>
      </c>
      <c r="I15" s="29">
        <v>0</v>
      </c>
      <c r="J15" s="57" t="s">
        <v>633</v>
      </c>
      <c r="K15" s="28">
        <v>850</v>
      </c>
      <c r="L15" s="89">
        <f>53000+60000+50000+40000+31357</f>
        <v>234357</v>
      </c>
      <c r="M15" s="89"/>
      <c r="O15" s="13"/>
      <c r="P15" s="43">
        <v>42289</v>
      </c>
      <c r="Q15" s="176">
        <v>570</v>
      </c>
      <c r="R15" s="24" t="s">
        <v>694</v>
      </c>
      <c r="S15" s="225">
        <v>42289</v>
      </c>
      <c r="T15" s="28">
        <v>234927</v>
      </c>
      <c r="U15" s="23"/>
      <c r="V15" s="47">
        <v>42289</v>
      </c>
      <c r="W15" s="29">
        <v>0</v>
      </c>
      <c r="X15" s="57" t="s">
        <v>633</v>
      </c>
      <c r="Y15" s="28">
        <v>850</v>
      </c>
      <c r="Z15" s="89">
        <f>53000+60000+50000+40000+31357</f>
        <v>234357</v>
      </c>
      <c r="AA15" s="89"/>
      <c r="AC15" s="13"/>
      <c r="AD15" s="43">
        <v>42289</v>
      </c>
      <c r="AE15" s="176">
        <v>570</v>
      </c>
      <c r="AF15" s="24" t="s">
        <v>694</v>
      </c>
      <c r="AG15" s="225">
        <v>42289</v>
      </c>
      <c r="AH15" s="28">
        <v>234927</v>
      </c>
      <c r="AI15" s="23"/>
      <c r="AJ15" s="47">
        <v>42289</v>
      </c>
      <c r="AK15" s="29">
        <v>0</v>
      </c>
      <c r="AL15" s="57" t="s">
        <v>633</v>
      </c>
      <c r="AM15" s="28">
        <v>850</v>
      </c>
      <c r="AN15" s="89">
        <f>53000+60000+50000+40000+31357</f>
        <v>234357</v>
      </c>
      <c r="AO15" s="89"/>
      <c r="AQ15" s="13"/>
      <c r="AR15" s="43">
        <v>42289</v>
      </c>
      <c r="AS15" s="176">
        <v>570</v>
      </c>
      <c r="AT15" s="24" t="s">
        <v>694</v>
      </c>
      <c r="AU15" s="225">
        <v>42289</v>
      </c>
      <c r="AV15" s="28">
        <v>234927</v>
      </c>
      <c r="AW15" s="23"/>
      <c r="AX15" s="47">
        <v>42289</v>
      </c>
      <c r="AY15" s="29">
        <v>0</v>
      </c>
      <c r="AZ15" s="57" t="s">
        <v>633</v>
      </c>
      <c r="BA15" s="28">
        <v>850</v>
      </c>
      <c r="BB15" s="362">
        <f>53000+60000+50000+40000+31357</f>
        <v>234357</v>
      </c>
      <c r="BC15" s="89"/>
      <c r="BE15" s="13"/>
      <c r="BF15" s="43">
        <v>42289</v>
      </c>
      <c r="BG15" s="176"/>
      <c r="BH15" s="24"/>
      <c r="BI15" s="225">
        <v>42289</v>
      </c>
      <c r="BJ15" s="28"/>
      <c r="BK15" s="23"/>
      <c r="BL15" s="47">
        <v>42289</v>
      </c>
      <c r="BM15" s="29"/>
      <c r="BN15" s="57"/>
      <c r="BO15" s="28">
        <v>0</v>
      </c>
      <c r="BP15" s="89"/>
      <c r="BQ15" s="89"/>
      <c r="BR15" s="23"/>
    </row>
    <row r="16" spans="1:70" x14ac:dyDescent="0.25">
      <c r="A16" s="13"/>
      <c r="B16" s="43">
        <v>42290</v>
      </c>
      <c r="C16" s="176">
        <v>798</v>
      </c>
      <c r="D16" s="24" t="s">
        <v>694</v>
      </c>
      <c r="E16" s="225">
        <v>42290</v>
      </c>
      <c r="F16" s="28">
        <v>119446</v>
      </c>
      <c r="G16" s="23"/>
      <c r="H16" s="47">
        <v>42290</v>
      </c>
      <c r="I16" s="29">
        <v>0</v>
      </c>
      <c r="J16" s="319">
        <v>42287</v>
      </c>
      <c r="K16" s="28">
        <v>0</v>
      </c>
      <c r="L16" s="89">
        <f>8248+60000+50400</f>
        <v>118648</v>
      </c>
      <c r="M16" s="89"/>
      <c r="O16" s="13"/>
      <c r="P16" s="43">
        <v>42290</v>
      </c>
      <c r="Q16" s="176">
        <v>798</v>
      </c>
      <c r="R16" s="24" t="s">
        <v>694</v>
      </c>
      <c r="S16" s="225">
        <v>42290</v>
      </c>
      <c r="T16" s="28">
        <v>119446</v>
      </c>
      <c r="U16" s="23"/>
      <c r="V16" s="47">
        <v>42290</v>
      </c>
      <c r="W16" s="29">
        <v>0</v>
      </c>
      <c r="X16" s="319">
        <v>42287</v>
      </c>
      <c r="Y16" s="28">
        <v>0</v>
      </c>
      <c r="Z16" s="89">
        <f>8248+60000+50400</f>
        <v>118648</v>
      </c>
      <c r="AA16" s="89"/>
      <c r="AC16" s="13"/>
      <c r="AD16" s="43">
        <v>42290</v>
      </c>
      <c r="AE16" s="176">
        <v>798</v>
      </c>
      <c r="AF16" s="24" t="s">
        <v>694</v>
      </c>
      <c r="AG16" s="225">
        <v>42290</v>
      </c>
      <c r="AH16" s="28">
        <v>119446</v>
      </c>
      <c r="AI16" s="23"/>
      <c r="AJ16" s="47">
        <v>42290</v>
      </c>
      <c r="AK16" s="29">
        <v>0</v>
      </c>
      <c r="AL16" s="319">
        <v>42287</v>
      </c>
      <c r="AM16" s="28">
        <v>0</v>
      </c>
      <c r="AN16" s="89">
        <f>8248+60000+50400</f>
        <v>118648</v>
      </c>
      <c r="AO16" s="89"/>
      <c r="AQ16" s="13"/>
      <c r="AR16" s="43">
        <v>42290</v>
      </c>
      <c r="AS16" s="176">
        <v>798</v>
      </c>
      <c r="AT16" s="24" t="s">
        <v>694</v>
      </c>
      <c r="AU16" s="225">
        <v>42290</v>
      </c>
      <c r="AV16" s="28">
        <v>119446</v>
      </c>
      <c r="AW16" s="23"/>
      <c r="AX16" s="47">
        <v>42290</v>
      </c>
      <c r="AY16" s="29">
        <v>0</v>
      </c>
      <c r="AZ16" s="319">
        <v>42287</v>
      </c>
      <c r="BA16" s="28">
        <v>0</v>
      </c>
      <c r="BB16" s="362">
        <f>8248+60000+50400</f>
        <v>118648</v>
      </c>
      <c r="BC16" s="89"/>
      <c r="BE16" s="13"/>
      <c r="BF16" s="43">
        <v>42290</v>
      </c>
      <c r="BG16" s="176"/>
      <c r="BH16" s="24"/>
      <c r="BI16" s="225">
        <v>42290</v>
      </c>
      <c r="BJ16" s="28"/>
      <c r="BK16" s="23"/>
      <c r="BL16" s="47">
        <v>42290</v>
      </c>
      <c r="BM16" s="29"/>
      <c r="BN16" s="50"/>
      <c r="BO16" s="28">
        <v>0</v>
      </c>
      <c r="BP16" s="89"/>
      <c r="BQ16" s="89"/>
      <c r="BR16" s="23"/>
    </row>
    <row r="17" spans="1:70" x14ac:dyDescent="0.25">
      <c r="A17" s="13"/>
      <c r="B17" s="43">
        <v>42291</v>
      </c>
      <c r="C17" s="176">
        <v>0</v>
      </c>
      <c r="D17" s="24"/>
      <c r="E17" s="225">
        <v>42291</v>
      </c>
      <c r="F17" s="28">
        <v>112061.5</v>
      </c>
      <c r="G17" s="23"/>
      <c r="H17" s="47">
        <v>42291</v>
      </c>
      <c r="I17" s="29">
        <v>10</v>
      </c>
      <c r="J17" s="421" t="s">
        <v>634</v>
      </c>
      <c r="K17" s="28">
        <v>812</v>
      </c>
      <c r="L17" s="89">
        <v>111194</v>
      </c>
      <c r="M17" s="89"/>
      <c r="O17" s="13"/>
      <c r="P17" s="43">
        <v>42291</v>
      </c>
      <c r="Q17" s="176">
        <v>0</v>
      </c>
      <c r="R17" s="24"/>
      <c r="S17" s="225">
        <v>42291</v>
      </c>
      <c r="T17" s="28">
        <v>112061.5</v>
      </c>
      <c r="U17" s="23"/>
      <c r="V17" s="47">
        <v>42291</v>
      </c>
      <c r="W17" s="29">
        <v>10</v>
      </c>
      <c r="X17" s="421" t="s">
        <v>634</v>
      </c>
      <c r="Y17" s="28">
        <v>812</v>
      </c>
      <c r="Z17" s="89">
        <v>111194</v>
      </c>
      <c r="AA17" s="89"/>
      <c r="AC17" s="13"/>
      <c r="AD17" s="43">
        <v>42291</v>
      </c>
      <c r="AE17" s="176">
        <v>0</v>
      </c>
      <c r="AF17" s="24"/>
      <c r="AG17" s="225">
        <v>42291</v>
      </c>
      <c r="AH17" s="28">
        <v>112061.5</v>
      </c>
      <c r="AI17" s="23"/>
      <c r="AJ17" s="47">
        <v>42291</v>
      </c>
      <c r="AK17" s="29">
        <v>10</v>
      </c>
      <c r="AL17" s="421" t="s">
        <v>634</v>
      </c>
      <c r="AM17" s="28">
        <v>812</v>
      </c>
      <c r="AN17" s="89">
        <v>111194</v>
      </c>
      <c r="AO17" s="89"/>
      <c r="AQ17" s="13"/>
      <c r="AR17" s="43">
        <v>42291</v>
      </c>
      <c r="AS17" s="176">
        <v>0</v>
      </c>
      <c r="AT17" s="24"/>
      <c r="AU17" s="225">
        <v>42291</v>
      </c>
      <c r="AV17" s="28"/>
      <c r="AW17" s="23"/>
      <c r="AX17" s="47">
        <v>42291</v>
      </c>
      <c r="AY17" s="29"/>
      <c r="AZ17" s="421"/>
      <c r="BA17" s="28">
        <v>0</v>
      </c>
      <c r="BB17" s="89"/>
      <c r="BC17" s="89"/>
      <c r="BE17" s="13"/>
      <c r="BF17" s="43">
        <v>42291</v>
      </c>
      <c r="BG17" s="176"/>
      <c r="BH17" s="24"/>
      <c r="BI17" s="225">
        <v>42291</v>
      </c>
      <c r="BJ17" s="28"/>
      <c r="BK17" s="23"/>
      <c r="BL17" s="47">
        <v>42291</v>
      </c>
      <c r="BM17" s="29"/>
      <c r="BN17" s="50"/>
      <c r="BO17" s="28">
        <v>0</v>
      </c>
      <c r="BP17" s="89"/>
      <c r="BQ17" s="89"/>
      <c r="BR17" s="23"/>
    </row>
    <row r="18" spans="1:70" x14ac:dyDescent="0.25">
      <c r="B18" s="43">
        <v>42292</v>
      </c>
      <c r="C18" s="176">
        <v>0</v>
      </c>
      <c r="D18" s="24"/>
      <c r="E18" s="225">
        <v>42292</v>
      </c>
      <c r="F18" s="28">
        <v>122922.5</v>
      </c>
      <c r="G18" s="23"/>
      <c r="H18" s="47">
        <v>42292</v>
      </c>
      <c r="I18" s="29">
        <v>0</v>
      </c>
      <c r="J18" s="422">
        <v>42291</v>
      </c>
      <c r="K18" s="34">
        <v>0</v>
      </c>
      <c r="L18" s="89">
        <f>8490+1976+90000+12456.5</f>
        <v>112922.5</v>
      </c>
      <c r="M18" s="89"/>
      <c r="P18" s="43">
        <v>42292</v>
      </c>
      <c r="Q18" s="176">
        <v>0</v>
      </c>
      <c r="R18" s="24"/>
      <c r="S18" s="225">
        <v>42292</v>
      </c>
      <c r="T18" s="28">
        <v>122922.5</v>
      </c>
      <c r="U18" s="23"/>
      <c r="V18" s="47">
        <v>42292</v>
      </c>
      <c r="W18" s="29">
        <v>0</v>
      </c>
      <c r="X18" s="422">
        <v>42291</v>
      </c>
      <c r="Y18" s="34">
        <v>0</v>
      </c>
      <c r="Z18" s="89">
        <f>8490+1976+90000+12456.5</f>
        <v>112922.5</v>
      </c>
      <c r="AA18" s="89"/>
      <c r="AD18" s="43">
        <v>42292</v>
      </c>
      <c r="AE18" s="176">
        <v>0</v>
      </c>
      <c r="AF18" s="24"/>
      <c r="AG18" s="225">
        <v>42292</v>
      </c>
      <c r="AH18" s="28">
        <v>122922.5</v>
      </c>
      <c r="AI18" s="23"/>
      <c r="AJ18" s="47">
        <v>42292</v>
      </c>
      <c r="AK18" s="29">
        <v>0</v>
      </c>
      <c r="AL18" s="422">
        <v>42291</v>
      </c>
      <c r="AM18" s="34">
        <v>0</v>
      </c>
      <c r="AN18" s="89">
        <f>8490+1976+90000+12456.5</f>
        <v>112922.5</v>
      </c>
      <c r="AO18" s="89"/>
      <c r="AR18" s="43">
        <v>42292</v>
      </c>
      <c r="AS18" s="176"/>
      <c r="AT18" s="24"/>
      <c r="AU18" s="225">
        <v>42292</v>
      </c>
      <c r="AV18" s="28"/>
      <c r="AW18" s="23"/>
      <c r="AX18" s="47">
        <v>42292</v>
      </c>
      <c r="AY18" s="29"/>
      <c r="AZ18" s="422"/>
      <c r="BA18" s="34">
        <v>0</v>
      </c>
      <c r="BB18" s="89"/>
      <c r="BC18" s="89"/>
      <c r="BF18" s="43">
        <v>42292</v>
      </c>
      <c r="BG18" s="176"/>
      <c r="BH18" s="24"/>
      <c r="BI18" s="225">
        <v>42292</v>
      </c>
      <c r="BJ18" s="28"/>
      <c r="BK18" s="23"/>
      <c r="BL18" s="47">
        <v>42292</v>
      </c>
      <c r="BM18" s="29"/>
      <c r="BN18" s="51"/>
      <c r="BO18" s="34">
        <v>0</v>
      </c>
      <c r="BP18" s="89"/>
      <c r="BQ18" s="89"/>
      <c r="BR18" s="23"/>
    </row>
    <row r="19" spans="1:70" x14ac:dyDescent="0.25">
      <c r="A19" s="13"/>
      <c r="B19" s="43">
        <v>42293</v>
      </c>
      <c r="C19" s="176">
        <v>21283</v>
      </c>
      <c r="D19" s="24" t="s">
        <v>696</v>
      </c>
      <c r="E19" s="225">
        <v>42293</v>
      </c>
      <c r="F19" s="28">
        <v>187696</v>
      </c>
      <c r="G19" s="23"/>
      <c r="H19" s="47">
        <v>42293</v>
      </c>
      <c r="I19" s="29">
        <v>10</v>
      </c>
      <c r="J19" s="334" t="s">
        <v>283</v>
      </c>
      <c r="K19" s="28">
        <v>0</v>
      </c>
      <c r="L19" s="89">
        <f>8228+68000+57000+33175</f>
        <v>166403</v>
      </c>
      <c r="M19" s="89"/>
      <c r="O19" s="13"/>
      <c r="P19" s="43">
        <v>42293</v>
      </c>
      <c r="Q19" s="176">
        <v>21283</v>
      </c>
      <c r="R19" s="24" t="s">
        <v>696</v>
      </c>
      <c r="S19" s="225">
        <v>42293</v>
      </c>
      <c r="T19" s="28">
        <v>187696</v>
      </c>
      <c r="U19" s="23"/>
      <c r="V19" s="47">
        <v>42293</v>
      </c>
      <c r="W19" s="29">
        <v>10</v>
      </c>
      <c r="X19" s="334" t="s">
        <v>283</v>
      </c>
      <c r="Y19" s="28">
        <v>0</v>
      </c>
      <c r="Z19" s="89">
        <f>8228+68000+57000+33175</f>
        <v>166403</v>
      </c>
      <c r="AA19" s="89"/>
      <c r="AC19" s="13"/>
      <c r="AD19" s="43">
        <v>42293</v>
      </c>
      <c r="AE19" s="176">
        <v>21283</v>
      </c>
      <c r="AF19" s="24" t="s">
        <v>696</v>
      </c>
      <c r="AG19" s="225">
        <v>42293</v>
      </c>
      <c r="AH19" s="28">
        <v>187696</v>
      </c>
      <c r="AI19" s="23"/>
      <c r="AJ19" s="47">
        <v>42293</v>
      </c>
      <c r="AK19" s="29">
        <v>10</v>
      </c>
      <c r="AL19" s="334" t="s">
        <v>283</v>
      </c>
      <c r="AM19" s="28">
        <v>0</v>
      </c>
      <c r="AN19" s="89">
        <f>8228+68000+57000+33175</f>
        <v>166403</v>
      </c>
      <c r="AO19" s="89"/>
      <c r="AQ19" s="13"/>
      <c r="AR19" s="43">
        <v>42293</v>
      </c>
      <c r="AS19" s="176"/>
      <c r="AT19" s="24"/>
      <c r="AU19" s="225">
        <v>42293</v>
      </c>
      <c r="AV19" s="28"/>
      <c r="AW19" s="23"/>
      <c r="AX19" s="47">
        <v>42293</v>
      </c>
      <c r="AY19" s="29"/>
      <c r="AZ19" s="334"/>
      <c r="BA19" s="28">
        <v>0</v>
      </c>
      <c r="BB19" s="89"/>
      <c r="BC19" s="89"/>
      <c r="BE19" s="13"/>
      <c r="BF19" s="43">
        <v>42293</v>
      </c>
      <c r="BG19" s="176"/>
      <c r="BH19" s="24"/>
      <c r="BI19" s="225">
        <v>42293</v>
      </c>
      <c r="BJ19" s="28"/>
      <c r="BK19" s="23"/>
      <c r="BL19" s="47">
        <v>42293</v>
      </c>
      <c r="BM19" s="29"/>
      <c r="BN19" s="334"/>
      <c r="BO19" s="28">
        <v>0</v>
      </c>
      <c r="BP19" s="89"/>
      <c r="BQ19" s="89"/>
      <c r="BR19" s="23"/>
    </row>
    <row r="20" spans="1:70" ht="15.75" customHeight="1" x14ac:dyDescent="0.25">
      <c r="B20" s="43">
        <v>42294</v>
      </c>
      <c r="C20" s="176">
        <v>0</v>
      </c>
      <c r="D20" s="24"/>
      <c r="E20" s="225">
        <v>42294</v>
      </c>
      <c r="F20" s="28">
        <v>184346.1</v>
      </c>
      <c r="G20" s="23"/>
      <c r="H20" s="47">
        <v>42294</v>
      </c>
      <c r="I20" s="29">
        <v>0</v>
      </c>
      <c r="J20" s="334" t="s">
        <v>697</v>
      </c>
      <c r="K20" s="28">
        <v>642.86</v>
      </c>
      <c r="L20" s="89">
        <f>48000+31000+50000+30506+24840</f>
        <v>184346</v>
      </c>
      <c r="M20" s="89"/>
      <c r="P20" s="43">
        <v>42294</v>
      </c>
      <c r="Q20" s="176">
        <v>0</v>
      </c>
      <c r="R20" s="24"/>
      <c r="S20" s="225">
        <v>42294</v>
      </c>
      <c r="T20" s="28">
        <v>184346.1</v>
      </c>
      <c r="U20" s="23"/>
      <c r="V20" s="47">
        <v>42294</v>
      </c>
      <c r="W20" s="29">
        <v>0</v>
      </c>
      <c r="X20" s="334" t="s">
        <v>697</v>
      </c>
      <c r="Y20" s="28">
        <v>642.86</v>
      </c>
      <c r="Z20" s="89">
        <f>48000+31000+50000+30506+24840</f>
        <v>184346</v>
      </c>
      <c r="AA20" s="89"/>
      <c r="AD20" s="43">
        <v>42294</v>
      </c>
      <c r="AE20" s="176">
        <v>0</v>
      </c>
      <c r="AF20" s="24"/>
      <c r="AG20" s="225">
        <v>42294</v>
      </c>
      <c r="AH20" s="28">
        <v>184346.1</v>
      </c>
      <c r="AI20" s="23"/>
      <c r="AJ20" s="47">
        <v>42294</v>
      </c>
      <c r="AK20" s="29">
        <v>0</v>
      </c>
      <c r="AL20" s="334" t="s">
        <v>697</v>
      </c>
      <c r="AM20" s="28">
        <v>642.86</v>
      </c>
      <c r="AN20" s="89">
        <f>48000+31000+50000+30506+24840</f>
        <v>184346</v>
      </c>
      <c r="AO20" s="443">
        <f>50000+30506</f>
        <v>80506</v>
      </c>
      <c r="AR20" s="43">
        <v>42294</v>
      </c>
      <c r="AS20" s="176"/>
      <c r="AT20" s="24"/>
      <c r="AU20" s="225">
        <v>42294</v>
      </c>
      <c r="AV20" s="28"/>
      <c r="AW20" s="23"/>
      <c r="AX20" s="47">
        <v>42294</v>
      </c>
      <c r="AY20" s="29"/>
      <c r="AZ20" s="334"/>
      <c r="BA20" s="28">
        <v>0</v>
      </c>
      <c r="BB20" s="89"/>
      <c r="BC20" s="89"/>
      <c r="BF20" s="43">
        <v>42294</v>
      </c>
      <c r="BG20" s="176"/>
      <c r="BH20" s="24"/>
      <c r="BI20" s="225">
        <v>42294</v>
      </c>
      <c r="BJ20" s="28"/>
      <c r="BK20" s="23"/>
      <c r="BL20" s="47">
        <v>42294</v>
      </c>
      <c r="BM20" s="29"/>
      <c r="BN20" s="334"/>
      <c r="BO20" s="28">
        <v>0</v>
      </c>
      <c r="BP20" s="89"/>
      <c r="BQ20" s="89"/>
      <c r="BR20" s="23"/>
    </row>
    <row r="21" spans="1:70" x14ac:dyDescent="0.25">
      <c r="B21" s="43">
        <v>42295</v>
      </c>
      <c r="C21" s="176">
        <v>0</v>
      </c>
      <c r="D21" s="59"/>
      <c r="E21" s="225">
        <v>42295</v>
      </c>
      <c r="F21" s="28">
        <v>108645.5</v>
      </c>
      <c r="G21" s="23"/>
      <c r="H21" s="47">
        <v>42295</v>
      </c>
      <c r="I21" s="29">
        <v>160</v>
      </c>
      <c r="J21" s="50"/>
      <c r="K21" s="34">
        <v>0</v>
      </c>
      <c r="L21" s="89">
        <f>70000+38485.5</f>
        <v>108485.5</v>
      </c>
      <c r="M21" s="89"/>
      <c r="P21" s="43">
        <v>42295</v>
      </c>
      <c r="Q21" s="176">
        <v>0</v>
      </c>
      <c r="R21" s="59"/>
      <c r="S21" s="225">
        <v>42295</v>
      </c>
      <c r="T21" s="28">
        <v>108645.5</v>
      </c>
      <c r="U21" s="23"/>
      <c r="V21" s="47">
        <v>42295</v>
      </c>
      <c r="W21" s="29">
        <v>160</v>
      </c>
      <c r="X21" s="50"/>
      <c r="Y21" s="34">
        <v>0</v>
      </c>
      <c r="Z21" s="89">
        <f>70000+38485.5</f>
        <v>108485.5</v>
      </c>
      <c r="AA21" s="89"/>
      <c r="AD21" s="43">
        <v>42295</v>
      </c>
      <c r="AE21" s="176">
        <v>0</v>
      </c>
      <c r="AF21" s="59"/>
      <c r="AG21" s="225">
        <v>42295</v>
      </c>
      <c r="AH21" s="28">
        <v>108645.5</v>
      </c>
      <c r="AI21" s="23"/>
      <c r="AJ21" s="47">
        <v>42295</v>
      </c>
      <c r="AK21" s="29">
        <v>160</v>
      </c>
      <c r="AL21" s="50"/>
      <c r="AM21" s="34">
        <v>0</v>
      </c>
      <c r="AN21" s="443">
        <f>70000+38485.5</f>
        <v>108485.5</v>
      </c>
      <c r="AO21" s="89"/>
      <c r="AR21" s="43">
        <v>42295</v>
      </c>
      <c r="AS21" s="176"/>
      <c r="AT21" s="59"/>
      <c r="AU21" s="225">
        <v>42295</v>
      </c>
      <c r="AV21" s="28"/>
      <c r="AW21" s="23"/>
      <c r="AX21" s="47">
        <v>42295</v>
      </c>
      <c r="AY21" s="29"/>
      <c r="AZ21" s="50"/>
      <c r="BA21" s="34">
        <v>0</v>
      </c>
      <c r="BB21" s="89"/>
      <c r="BC21" s="89"/>
      <c r="BF21" s="43">
        <v>42295</v>
      </c>
      <c r="BG21" s="176"/>
      <c r="BH21" s="59"/>
      <c r="BI21" s="225">
        <v>42295</v>
      </c>
      <c r="BJ21" s="28"/>
      <c r="BK21" s="23"/>
      <c r="BL21" s="47">
        <v>42295</v>
      </c>
      <c r="BM21" s="29"/>
      <c r="BN21" s="50"/>
      <c r="BO21" s="34">
        <v>0</v>
      </c>
      <c r="BP21" s="89"/>
      <c r="BQ21" s="89"/>
      <c r="BR21" s="23"/>
    </row>
    <row r="22" spans="1:70" x14ac:dyDescent="0.25">
      <c r="B22" s="43">
        <v>42296</v>
      </c>
      <c r="C22" s="176">
        <v>10772</v>
      </c>
      <c r="D22" s="59" t="s">
        <v>698</v>
      </c>
      <c r="E22" s="225">
        <v>42296</v>
      </c>
      <c r="F22" s="28">
        <f>208201.5-3463.5</f>
        <v>204738</v>
      </c>
      <c r="G22" s="20"/>
      <c r="H22" s="47">
        <v>42296</v>
      </c>
      <c r="I22" s="29">
        <v>0</v>
      </c>
      <c r="J22" s="50"/>
      <c r="K22" s="34">
        <v>0</v>
      </c>
      <c r="L22" s="89">
        <f>48500+45000+44420+31206+24840</f>
        <v>193966</v>
      </c>
      <c r="M22" s="89"/>
      <c r="P22" s="43">
        <v>42296</v>
      </c>
      <c r="Q22" s="176">
        <v>10772</v>
      </c>
      <c r="R22" s="59" t="s">
        <v>698</v>
      </c>
      <c r="S22" s="225">
        <v>42296</v>
      </c>
      <c r="T22" s="28">
        <f>208201.5-3463.5</f>
        <v>204738</v>
      </c>
      <c r="U22" s="20"/>
      <c r="V22" s="47">
        <v>42296</v>
      </c>
      <c r="W22" s="29">
        <v>0</v>
      </c>
      <c r="X22" s="50"/>
      <c r="Y22" s="34">
        <v>0</v>
      </c>
      <c r="Z22" s="89">
        <f>48500+45000+44420+31206+24840</f>
        <v>193966</v>
      </c>
      <c r="AA22" s="89"/>
      <c r="AD22" s="43">
        <v>42296</v>
      </c>
      <c r="AE22" s="176">
        <v>10772</v>
      </c>
      <c r="AF22" s="59" t="s">
        <v>698</v>
      </c>
      <c r="AG22" s="225">
        <v>42296</v>
      </c>
      <c r="AH22" s="28">
        <f>208201.5-3463.5</f>
        <v>204738</v>
      </c>
      <c r="AI22" s="20"/>
      <c r="AJ22" s="47">
        <v>42296</v>
      </c>
      <c r="AK22" s="29">
        <v>0</v>
      </c>
      <c r="AL22" s="50"/>
      <c r="AM22" s="34">
        <v>0</v>
      </c>
      <c r="AN22" s="443">
        <f>48500+45000+44420+31206+24840</f>
        <v>193966</v>
      </c>
      <c r="AO22" s="89"/>
      <c r="AR22" s="43">
        <v>42296</v>
      </c>
      <c r="AS22" s="176"/>
      <c r="AT22" s="59"/>
      <c r="AU22" s="225">
        <v>42296</v>
      </c>
      <c r="AV22" s="28"/>
      <c r="AW22" s="20"/>
      <c r="AX22" s="47">
        <v>42296</v>
      </c>
      <c r="AY22" s="29"/>
      <c r="AZ22" s="50"/>
      <c r="BA22" s="34">
        <v>0</v>
      </c>
      <c r="BB22" s="89"/>
      <c r="BC22" s="89"/>
      <c r="BF22" s="43">
        <v>42296</v>
      </c>
      <c r="BG22" s="176"/>
      <c r="BH22" s="59"/>
      <c r="BI22" s="225">
        <v>42296</v>
      </c>
      <c r="BJ22" s="28"/>
      <c r="BK22" s="20"/>
      <c r="BL22" s="47">
        <v>42296</v>
      </c>
      <c r="BM22" s="29"/>
      <c r="BN22" s="50"/>
      <c r="BO22" s="34">
        <v>0</v>
      </c>
      <c r="BP22" s="89"/>
      <c r="BQ22" s="89"/>
      <c r="BR22" s="23"/>
    </row>
    <row r="23" spans="1:70" ht="19.5" customHeight="1" x14ac:dyDescent="0.25">
      <c r="A23" s="13"/>
      <c r="B23" s="43">
        <v>42297</v>
      </c>
      <c r="C23" s="176">
        <v>3648.24</v>
      </c>
      <c r="D23" s="59" t="s">
        <v>699</v>
      </c>
      <c r="E23" s="225">
        <v>42297</v>
      </c>
      <c r="F23" s="28">
        <v>99564.5</v>
      </c>
      <c r="G23" s="23"/>
      <c r="H23" s="47">
        <v>42297</v>
      </c>
      <c r="I23" s="29">
        <v>0</v>
      </c>
      <c r="J23" s="57"/>
      <c r="K23" s="28">
        <v>0</v>
      </c>
      <c r="L23" s="89">
        <f>10010.4+51000+34263</f>
        <v>95273.4</v>
      </c>
      <c r="M23" s="85"/>
      <c r="O23" s="13"/>
      <c r="P23" s="43">
        <v>42297</v>
      </c>
      <c r="Q23" s="176">
        <v>3648.24</v>
      </c>
      <c r="R23" s="59" t="s">
        <v>699</v>
      </c>
      <c r="S23" s="225">
        <v>42297</v>
      </c>
      <c r="T23" s="28">
        <v>99564.5</v>
      </c>
      <c r="U23" s="23"/>
      <c r="V23" s="47">
        <v>42297</v>
      </c>
      <c r="W23" s="29">
        <v>0</v>
      </c>
      <c r="X23" s="57"/>
      <c r="Y23" s="28">
        <v>0</v>
      </c>
      <c r="Z23" s="89">
        <f>10010.4+51000+34263</f>
        <v>95273.4</v>
      </c>
      <c r="AA23" s="85"/>
      <c r="AC23" s="13"/>
      <c r="AD23" s="43">
        <v>42297</v>
      </c>
      <c r="AE23" s="176">
        <v>3648.24</v>
      </c>
      <c r="AF23" s="59" t="s">
        <v>699</v>
      </c>
      <c r="AG23" s="225">
        <v>42297</v>
      </c>
      <c r="AH23" s="28">
        <v>99564.5</v>
      </c>
      <c r="AI23" s="23"/>
      <c r="AJ23" s="47">
        <v>42297</v>
      </c>
      <c r="AK23" s="29">
        <v>0</v>
      </c>
      <c r="AL23" s="57"/>
      <c r="AM23" s="28">
        <v>0</v>
      </c>
      <c r="AN23" s="443">
        <f>10010.4+51000+34263</f>
        <v>95273.4</v>
      </c>
      <c r="AO23" s="85"/>
      <c r="AQ23" s="13"/>
      <c r="AR23" s="43">
        <v>42297</v>
      </c>
      <c r="AS23" s="176"/>
      <c r="AT23" s="59"/>
      <c r="AU23" s="225">
        <v>42297</v>
      </c>
      <c r="AV23" s="28"/>
      <c r="AW23" s="23"/>
      <c r="AX23" s="47">
        <v>42297</v>
      </c>
      <c r="AY23" s="29"/>
      <c r="AZ23" s="57"/>
      <c r="BA23" s="28">
        <v>0</v>
      </c>
      <c r="BB23" s="89"/>
      <c r="BC23" s="89"/>
      <c r="BE23" s="13"/>
      <c r="BF23" s="43">
        <v>42297</v>
      </c>
      <c r="BG23" s="176"/>
      <c r="BH23" s="59"/>
      <c r="BI23" s="225">
        <v>42297</v>
      </c>
      <c r="BJ23" s="28"/>
      <c r="BK23" s="23"/>
      <c r="BL23" s="47">
        <v>42297</v>
      </c>
      <c r="BM23" s="29"/>
      <c r="BN23" s="57"/>
      <c r="BO23" s="28">
        <v>0</v>
      </c>
      <c r="BP23" s="89"/>
      <c r="BQ23" s="89"/>
      <c r="BR23" s="85"/>
    </row>
    <row r="24" spans="1:70" ht="16.5" customHeight="1" x14ac:dyDescent="0.25">
      <c r="A24" s="13"/>
      <c r="B24" s="43">
        <v>42298</v>
      </c>
      <c r="C24" s="176">
        <v>12195</v>
      </c>
      <c r="D24" s="59" t="s">
        <v>700</v>
      </c>
      <c r="E24" s="225">
        <v>42298</v>
      </c>
      <c r="F24" s="28">
        <v>155083.5</v>
      </c>
      <c r="G24" s="23"/>
      <c r="H24" s="47">
        <v>42298</v>
      </c>
      <c r="I24" s="29">
        <v>0</v>
      </c>
      <c r="J24" s="319"/>
      <c r="K24" s="34"/>
      <c r="L24" s="89">
        <f>75000+40000+27888</f>
        <v>142888</v>
      </c>
      <c r="M24" s="85"/>
      <c r="O24" s="13"/>
      <c r="P24" s="43">
        <v>42298</v>
      </c>
      <c r="Q24" s="176">
        <v>12195</v>
      </c>
      <c r="R24" s="59" t="s">
        <v>700</v>
      </c>
      <c r="S24" s="225">
        <v>42298</v>
      </c>
      <c r="T24" s="28">
        <v>155083.5</v>
      </c>
      <c r="U24" s="23"/>
      <c r="V24" s="47">
        <v>42298</v>
      </c>
      <c r="W24" s="29">
        <v>0</v>
      </c>
      <c r="X24" s="319"/>
      <c r="Y24" s="34"/>
      <c r="Z24" s="89">
        <f>75000+40000+27888</f>
        <v>142888</v>
      </c>
      <c r="AA24" s="85"/>
      <c r="AC24" s="13"/>
      <c r="AD24" s="43">
        <v>42298</v>
      </c>
      <c r="AE24" s="176"/>
      <c r="AF24" s="59"/>
      <c r="AG24" s="225">
        <v>42298</v>
      </c>
      <c r="AH24" s="28"/>
      <c r="AI24" s="23"/>
      <c r="AJ24" s="47">
        <v>42298</v>
      </c>
      <c r="AK24" s="29"/>
      <c r="AL24" s="319"/>
      <c r="AM24" s="34"/>
      <c r="AN24" s="89"/>
      <c r="AO24" s="85"/>
      <c r="AQ24" s="13"/>
      <c r="AR24" s="43">
        <v>42298</v>
      </c>
      <c r="AS24" s="176"/>
      <c r="AT24" s="59"/>
      <c r="AU24" s="225">
        <v>42298</v>
      </c>
      <c r="AV24" s="28"/>
      <c r="AW24" s="23"/>
      <c r="AX24" s="47">
        <v>42298</v>
      </c>
      <c r="AY24" s="29"/>
      <c r="AZ24" s="319"/>
      <c r="BA24" s="34"/>
      <c r="BB24" s="89"/>
      <c r="BC24" s="89"/>
      <c r="BE24" s="13"/>
      <c r="BF24" s="43">
        <v>42298</v>
      </c>
      <c r="BG24" s="176"/>
      <c r="BH24" s="59"/>
      <c r="BI24" s="225">
        <v>42298</v>
      </c>
      <c r="BJ24" s="28"/>
      <c r="BK24" s="23"/>
      <c r="BL24" s="47">
        <v>42298</v>
      </c>
      <c r="BM24" s="29"/>
      <c r="BN24" s="319"/>
      <c r="BO24" s="34"/>
      <c r="BP24" s="89"/>
      <c r="BQ24" s="89"/>
      <c r="BR24" s="85"/>
    </row>
    <row r="25" spans="1:70" x14ac:dyDescent="0.25">
      <c r="B25" s="43">
        <v>42299</v>
      </c>
      <c r="C25" s="176">
        <v>0</v>
      </c>
      <c r="D25" s="24"/>
      <c r="E25" s="225">
        <v>42299</v>
      </c>
      <c r="F25" s="28">
        <v>167828.9</v>
      </c>
      <c r="G25" s="23"/>
      <c r="H25" s="47">
        <v>42299</v>
      </c>
      <c r="I25" s="29">
        <v>0</v>
      </c>
      <c r="J25" s="50"/>
      <c r="K25" s="34"/>
      <c r="L25" s="89">
        <f>37500+20000+45000+37000+28329</f>
        <v>167829</v>
      </c>
      <c r="M25" s="85"/>
      <c r="P25" s="43">
        <v>42299</v>
      </c>
      <c r="Q25" s="176">
        <v>0</v>
      </c>
      <c r="R25" s="24"/>
      <c r="S25" s="225">
        <v>42299</v>
      </c>
      <c r="T25" s="28">
        <v>167828.9</v>
      </c>
      <c r="U25" s="23"/>
      <c r="V25" s="47">
        <v>42299</v>
      </c>
      <c r="W25" s="29">
        <v>0</v>
      </c>
      <c r="X25" s="50"/>
      <c r="Y25" s="34"/>
      <c r="Z25" s="89">
        <f>37500+20000+45000+37000+28329</f>
        <v>167829</v>
      </c>
      <c r="AA25" s="85"/>
      <c r="AD25" s="43">
        <v>42299</v>
      </c>
      <c r="AE25" s="176"/>
      <c r="AF25" s="24"/>
      <c r="AG25" s="225">
        <v>42299</v>
      </c>
      <c r="AH25" s="28"/>
      <c r="AI25" s="23"/>
      <c r="AJ25" s="47">
        <v>42299</v>
      </c>
      <c r="AK25" s="29"/>
      <c r="AL25" s="50"/>
      <c r="AM25" s="34"/>
      <c r="AN25" s="89"/>
      <c r="AO25" s="85"/>
      <c r="AR25" s="43">
        <v>42299</v>
      </c>
      <c r="AS25" s="176"/>
      <c r="AT25" s="24"/>
      <c r="AU25" s="225">
        <v>42299</v>
      </c>
      <c r="AV25" s="28"/>
      <c r="AW25" s="23"/>
      <c r="AX25" s="47">
        <v>42299</v>
      </c>
      <c r="AY25" s="29"/>
      <c r="AZ25" s="50"/>
      <c r="BA25" s="34"/>
      <c r="BB25" s="89"/>
      <c r="BC25" s="89"/>
      <c r="BF25" s="43">
        <v>42299</v>
      </c>
      <c r="BG25" s="176"/>
      <c r="BH25" s="24"/>
      <c r="BI25" s="225">
        <v>42299</v>
      </c>
      <c r="BJ25" s="28"/>
      <c r="BK25" s="23"/>
      <c r="BL25" s="47">
        <v>42299</v>
      </c>
      <c r="BM25" s="29"/>
      <c r="BN25" s="50"/>
      <c r="BO25" s="34"/>
      <c r="BP25" s="89"/>
      <c r="BQ25" s="89"/>
      <c r="BR25" s="85"/>
    </row>
    <row r="26" spans="1:70" x14ac:dyDescent="0.25">
      <c r="B26" s="43">
        <v>42300</v>
      </c>
      <c r="C26" s="176">
        <v>7751</v>
      </c>
      <c r="D26" s="24" t="s">
        <v>701</v>
      </c>
      <c r="E26" s="225">
        <v>42300</v>
      </c>
      <c r="F26" s="28">
        <v>135379</v>
      </c>
      <c r="G26" s="23"/>
      <c r="H26" s="47">
        <v>42300</v>
      </c>
      <c r="I26" s="29">
        <v>20</v>
      </c>
      <c r="J26" s="50"/>
      <c r="K26" s="34"/>
      <c r="L26" s="89">
        <f>7482+51000+50000+19126</f>
        <v>127608</v>
      </c>
      <c r="M26" s="85"/>
      <c r="P26" s="43">
        <v>42300</v>
      </c>
      <c r="Q26" s="176">
        <v>7751</v>
      </c>
      <c r="R26" s="24" t="s">
        <v>701</v>
      </c>
      <c r="S26" s="225">
        <v>42300</v>
      </c>
      <c r="T26" s="28">
        <v>135379</v>
      </c>
      <c r="U26" s="23"/>
      <c r="V26" s="47">
        <v>42300</v>
      </c>
      <c r="W26" s="29">
        <v>20</v>
      </c>
      <c r="X26" s="50"/>
      <c r="Y26" s="34"/>
      <c r="Z26" s="89">
        <f>7482+51000+50000+19126</f>
        <v>127608</v>
      </c>
      <c r="AA26" s="85"/>
      <c r="AD26" s="43">
        <v>42300</v>
      </c>
      <c r="AE26" s="176"/>
      <c r="AF26" s="24"/>
      <c r="AG26" s="225">
        <v>42300</v>
      </c>
      <c r="AH26" s="28"/>
      <c r="AI26" s="23"/>
      <c r="AJ26" s="47">
        <v>42300</v>
      </c>
      <c r="AK26" s="29"/>
      <c r="AL26" s="50"/>
      <c r="AM26" s="34"/>
      <c r="AN26" s="89"/>
      <c r="AO26" s="85"/>
      <c r="AR26" s="43">
        <v>42300</v>
      </c>
      <c r="AS26" s="176"/>
      <c r="AT26" s="24"/>
      <c r="AU26" s="225">
        <v>42300</v>
      </c>
      <c r="AV26" s="28"/>
      <c r="AW26" s="23"/>
      <c r="AX26" s="47">
        <v>42300</v>
      </c>
      <c r="AY26" s="29"/>
      <c r="AZ26" s="50"/>
      <c r="BA26" s="34"/>
      <c r="BB26" s="89"/>
      <c r="BC26" s="89"/>
      <c r="BF26" s="43">
        <v>42300</v>
      </c>
      <c r="BG26" s="176"/>
      <c r="BH26" s="24"/>
      <c r="BI26" s="225">
        <v>42300</v>
      </c>
      <c r="BJ26" s="28"/>
      <c r="BK26" s="23"/>
      <c r="BL26" s="47">
        <v>42300</v>
      </c>
      <c r="BM26" s="29"/>
      <c r="BN26" s="50"/>
      <c r="BO26" s="34"/>
      <c r="BP26" s="89"/>
      <c r="BQ26" s="89"/>
      <c r="BR26" s="85"/>
    </row>
    <row r="27" spans="1:70" x14ac:dyDescent="0.25">
      <c r="B27" s="43">
        <v>42301</v>
      </c>
      <c r="C27" s="176">
        <v>1004</v>
      </c>
      <c r="D27" s="24" t="s">
        <v>702</v>
      </c>
      <c r="E27" s="225">
        <v>42301</v>
      </c>
      <c r="F27" s="28">
        <v>149261.5</v>
      </c>
      <c r="G27" s="23"/>
      <c r="H27" s="47">
        <v>42301</v>
      </c>
      <c r="I27" s="29">
        <v>10</v>
      </c>
      <c r="J27" s="50"/>
      <c r="K27" s="34"/>
      <c r="L27" s="89">
        <f>65000+50000+34247.5</f>
        <v>149247.5</v>
      </c>
      <c r="M27" s="426"/>
      <c r="P27" s="43">
        <v>42301</v>
      </c>
      <c r="Q27" s="176">
        <v>1004</v>
      </c>
      <c r="R27" s="24" t="s">
        <v>702</v>
      </c>
      <c r="S27" s="225">
        <v>42301</v>
      </c>
      <c r="T27" s="28">
        <v>149261.5</v>
      </c>
      <c r="U27" s="23"/>
      <c r="V27" s="47">
        <v>42301</v>
      </c>
      <c r="W27" s="29">
        <v>10</v>
      </c>
      <c r="X27" s="50"/>
      <c r="Y27" s="34"/>
      <c r="Z27" s="89">
        <f>65000+50000+34247.5</f>
        <v>149247.5</v>
      </c>
      <c r="AA27" s="426"/>
      <c r="AD27" s="43">
        <v>42301</v>
      </c>
      <c r="AE27" s="176"/>
      <c r="AF27" s="24"/>
      <c r="AG27" s="225">
        <v>42301</v>
      </c>
      <c r="AH27" s="28"/>
      <c r="AI27" s="23"/>
      <c r="AJ27" s="47">
        <v>42301</v>
      </c>
      <c r="AK27" s="29"/>
      <c r="AL27" s="50"/>
      <c r="AM27" s="34"/>
      <c r="AN27" s="89"/>
      <c r="AO27" s="85"/>
      <c r="AR27" s="43">
        <v>42301</v>
      </c>
      <c r="AS27" s="176"/>
      <c r="AT27" s="24"/>
      <c r="AU27" s="225">
        <v>42301</v>
      </c>
      <c r="AV27" s="28"/>
      <c r="AW27" s="23"/>
      <c r="AX27" s="47">
        <v>42301</v>
      </c>
      <c r="AY27" s="29"/>
      <c r="AZ27" s="50"/>
      <c r="BA27" s="34"/>
      <c r="BB27" s="89"/>
      <c r="BC27" s="89"/>
      <c r="BF27" s="43">
        <v>42301</v>
      </c>
      <c r="BG27" s="176"/>
      <c r="BH27" s="24"/>
      <c r="BI27" s="225">
        <v>42301</v>
      </c>
      <c r="BJ27" s="28"/>
      <c r="BK27" s="23"/>
      <c r="BL27" s="47">
        <v>42301</v>
      </c>
      <c r="BM27" s="29"/>
      <c r="BN27" s="50"/>
      <c r="BO27" s="34"/>
      <c r="BP27" s="89"/>
      <c r="BQ27" s="89"/>
      <c r="BR27" s="85"/>
    </row>
    <row r="28" spans="1:70" x14ac:dyDescent="0.25">
      <c r="B28" s="43">
        <v>42302</v>
      </c>
      <c r="C28" s="176">
        <v>700</v>
      </c>
      <c r="D28" s="24" t="s">
        <v>702</v>
      </c>
      <c r="E28" s="225">
        <v>42302</v>
      </c>
      <c r="F28" s="28">
        <v>46326.5</v>
      </c>
      <c r="G28" s="23"/>
      <c r="H28" s="47">
        <v>42302</v>
      </c>
      <c r="I28" s="29">
        <v>100</v>
      </c>
      <c r="J28" s="50"/>
      <c r="K28" s="34"/>
      <c r="L28" s="89">
        <v>46973.5</v>
      </c>
      <c r="M28" s="89"/>
      <c r="P28" s="43">
        <v>42302</v>
      </c>
      <c r="Q28" s="176">
        <v>700</v>
      </c>
      <c r="R28" s="24" t="s">
        <v>702</v>
      </c>
      <c r="S28" s="225">
        <v>42302</v>
      </c>
      <c r="T28" s="28">
        <v>46326.5</v>
      </c>
      <c r="U28" s="23"/>
      <c r="V28" s="47">
        <v>42302</v>
      </c>
      <c r="W28" s="29">
        <v>100</v>
      </c>
      <c r="X28" s="50"/>
      <c r="Y28" s="34"/>
      <c r="Z28" s="89">
        <v>46973.5</v>
      </c>
      <c r="AA28" s="89"/>
      <c r="AD28" s="43">
        <v>42302</v>
      </c>
      <c r="AE28" s="176"/>
      <c r="AF28" s="24"/>
      <c r="AG28" s="225">
        <v>42302</v>
      </c>
      <c r="AH28" s="28"/>
      <c r="AI28" s="23"/>
      <c r="AJ28" s="47">
        <v>42302</v>
      </c>
      <c r="AK28" s="29"/>
      <c r="AL28" s="50"/>
      <c r="AM28" s="34"/>
      <c r="AN28" s="89"/>
      <c r="AO28" s="127"/>
      <c r="AR28" s="43">
        <v>42302</v>
      </c>
      <c r="AS28" s="176"/>
      <c r="AT28" s="24"/>
      <c r="AU28" s="225">
        <v>42302</v>
      </c>
      <c r="AV28" s="28"/>
      <c r="AW28" s="23"/>
      <c r="AX28" s="47">
        <v>42302</v>
      </c>
      <c r="AY28" s="29"/>
      <c r="AZ28" s="50"/>
      <c r="BA28" s="34"/>
      <c r="BB28" s="89"/>
      <c r="BC28" s="89"/>
      <c r="BF28" s="43">
        <v>42302</v>
      </c>
      <c r="BG28" s="176"/>
      <c r="BH28" s="24"/>
      <c r="BI28" s="225">
        <v>42302</v>
      </c>
      <c r="BJ28" s="28"/>
      <c r="BK28" s="23"/>
      <c r="BL28" s="47">
        <v>42302</v>
      </c>
      <c r="BM28" s="29"/>
      <c r="BN28" s="50"/>
      <c r="BO28" s="34"/>
      <c r="BP28" s="89"/>
      <c r="BQ28" s="89"/>
      <c r="BR28" s="85"/>
    </row>
    <row r="29" spans="1:70" ht="19.5" customHeight="1" x14ac:dyDescent="0.25">
      <c r="B29" s="43">
        <v>42303</v>
      </c>
      <c r="C29" s="176">
        <v>0</v>
      </c>
      <c r="D29" s="24"/>
      <c r="E29" s="225">
        <v>42303</v>
      </c>
      <c r="F29" s="28">
        <v>123582</v>
      </c>
      <c r="G29" s="23"/>
      <c r="H29" s="47">
        <v>42303</v>
      </c>
      <c r="I29" s="29">
        <v>0</v>
      </c>
      <c r="J29" s="50"/>
      <c r="K29" s="34"/>
      <c r="L29" s="89">
        <f>25000+17368+5279+6255+48000+21680</f>
        <v>123582</v>
      </c>
      <c r="M29" s="426"/>
      <c r="P29" s="43">
        <v>42303</v>
      </c>
      <c r="Q29" s="176">
        <v>0</v>
      </c>
      <c r="R29" s="24"/>
      <c r="S29" s="225">
        <v>42303</v>
      </c>
      <c r="T29" s="28">
        <v>123582</v>
      </c>
      <c r="U29" s="23"/>
      <c r="V29" s="47">
        <v>42303</v>
      </c>
      <c r="W29" s="29">
        <v>0</v>
      </c>
      <c r="X29" s="50"/>
      <c r="Y29" s="34"/>
      <c r="Z29" s="89">
        <f>25000+17368+5279+6255+48000+21680</f>
        <v>123582</v>
      </c>
      <c r="AA29" s="426"/>
      <c r="AD29" s="43">
        <v>42303</v>
      </c>
      <c r="AE29" s="176"/>
      <c r="AF29" s="24"/>
      <c r="AG29" s="225">
        <v>42303</v>
      </c>
      <c r="AH29" s="28"/>
      <c r="AI29" s="23"/>
      <c r="AJ29" s="47">
        <v>42303</v>
      </c>
      <c r="AK29" s="29"/>
      <c r="AL29" s="50"/>
      <c r="AM29" s="34"/>
      <c r="AN29" s="89"/>
      <c r="AO29" s="85"/>
      <c r="AR29" s="43">
        <v>42303</v>
      </c>
      <c r="AS29" s="176"/>
      <c r="AT29" s="24"/>
      <c r="AU29" s="225">
        <v>42303</v>
      </c>
      <c r="AV29" s="28"/>
      <c r="AW29" s="23"/>
      <c r="AX29" s="47">
        <v>42303</v>
      </c>
      <c r="AY29" s="29"/>
      <c r="AZ29" s="50"/>
      <c r="BA29" s="34"/>
      <c r="BB29" s="89"/>
      <c r="BC29" s="89"/>
      <c r="BF29" s="43">
        <v>42303</v>
      </c>
      <c r="BG29" s="176"/>
      <c r="BH29" s="24"/>
      <c r="BI29" s="225">
        <v>42303</v>
      </c>
      <c r="BJ29" s="28"/>
      <c r="BK29" s="23"/>
      <c r="BL29" s="47">
        <v>42303</v>
      </c>
      <c r="BM29" s="29"/>
      <c r="BN29" s="50"/>
      <c r="BO29" s="34"/>
      <c r="BP29" s="89"/>
      <c r="BQ29" s="89"/>
      <c r="BR29" s="85"/>
    </row>
    <row r="30" spans="1:70" ht="16.5" customHeight="1" x14ac:dyDescent="0.25">
      <c r="B30" s="43">
        <v>42304</v>
      </c>
      <c r="C30" s="176">
        <v>986</v>
      </c>
      <c r="D30" s="24" t="s">
        <v>502</v>
      </c>
      <c r="E30" s="225">
        <v>42304</v>
      </c>
      <c r="F30" s="28">
        <v>29949.5</v>
      </c>
      <c r="G30" s="23"/>
      <c r="H30" s="47">
        <v>42304</v>
      </c>
      <c r="I30" s="29">
        <v>0</v>
      </c>
      <c r="J30" s="50"/>
      <c r="K30" s="34"/>
      <c r="L30" s="89">
        <f>17368+11595.5</f>
        <v>28963.5</v>
      </c>
      <c r="M30" s="426"/>
      <c r="P30" s="43">
        <v>42304</v>
      </c>
      <c r="Q30" s="176">
        <v>986</v>
      </c>
      <c r="R30" s="24" t="s">
        <v>502</v>
      </c>
      <c r="S30" s="225">
        <v>42304</v>
      </c>
      <c r="T30" s="28">
        <v>29949.5</v>
      </c>
      <c r="U30" s="23"/>
      <c r="V30" s="47">
        <v>42304</v>
      </c>
      <c r="W30" s="29">
        <v>0</v>
      </c>
      <c r="X30" s="50"/>
      <c r="Y30" s="34"/>
      <c r="Z30" s="89">
        <f>17368+11595.5</f>
        <v>28963.5</v>
      </c>
      <c r="AA30" s="426"/>
      <c r="AD30" s="43">
        <v>42304</v>
      </c>
      <c r="AE30" s="176"/>
      <c r="AF30" s="24"/>
      <c r="AG30" s="225">
        <v>42304</v>
      </c>
      <c r="AH30" s="28"/>
      <c r="AI30" s="23"/>
      <c r="AJ30" s="47">
        <v>42304</v>
      </c>
      <c r="AK30" s="29"/>
      <c r="AL30" s="50"/>
      <c r="AM30" s="34"/>
      <c r="AN30" s="89"/>
      <c r="AO30" s="85"/>
      <c r="AR30" s="43">
        <v>42304</v>
      </c>
      <c r="AS30" s="176"/>
      <c r="AT30" s="24"/>
      <c r="AU30" s="225">
        <v>42304</v>
      </c>
      <c r="AV30" s="28"/>
      <c r="AW30" s="23"/>
      <c r="AX30" s="47">
        <v>42304</v>
      </c>
      <c r="AY30" s="29"/>
      <c r="AZ30" s="50"/>
      <c r="BA30" s="34"/>
      <c r="BB30" s="89"/>
      <c r="BC30" s="89"/>
      <c r="BF30" s="43">
        <v>42304</v>
      </c>
      <c r="BG30" s="176"/>
      <c r="BH30" s="24"/>
      <c r="BI30" s="225">
        <v>42304</v>
      </c>
      <c r="BJ30" s="28"/>
      <c r="BK30" s="23"/>
      <c r="BL30" s="47">
        <v>42304</v>
      </c>
      <c r="BM30" s="29"/>
      <c r="BN30" s="50"/>
      <c r="BO30" s="34"/>
      <c r="BP30" s="89"/>
      <c r="BQ30" s="89"/>
      <c r="BR30" s="85"/>
    </row>
    <row r="31" spans="1:70" x14ac:dyDescent="0.25">
      <c r="B31" s="43">
        <v>42305</v>
      </c>
      <c r="C31" s="176">
        <v>0</v>
      </c>
      <c r="D31" s="24"/>
      <c r="E31" s="225">
        <v>42305</v>
      </c>
      <c r="F31" s="28">
        <f>34362+2102+13756.5</f>
        <v>50220.5</v>
      </c>
      <c r="G31" s="23"/>
      <c r="H31" s="47">
        <v>42305</v>
      </c>
      <c r="I31" s="29">
        <v>542.5</v>
      </c>
      <c r="J31" s="50"/>
      <c r="K31" s="34"/>
      <c r="L31" s="89">
        <f>8228+2614+11629+27207</f>
        <v>49678</v>
      </c>
      <c r="M31" s="426"/>
      <c r="P31" s="43">
        <v>42305</v>
      </c>
      <c r="Q31" s="176">
        <v>0</v>
      </c>
      <c r="R31" s="24"/>
      <c r="S31" s="225">
        <v>42305</v>
      </c>
      <c r="T31" s="28"/>
      <c r="U31" s="23"/>
      <c r="V31" s="47">
        <v>42305</v>
      </c>
      <c r="W31" s="29">
        <v>0</v>
      </c>
      <c r="X31" s="50"/>
      <c r="Y31" s="34"/>
      <c r="Z31" s="89">
        <v>0</v>
      </c>
      <c r="AA31" s="426"/>
      <c r="AD31" s="43">
        <v>42305</v>
      </c>
      <c r="AE31" s="176"/>
      <c r="AF31" s="24"/>
      <c r="AG31" s="225">
        <v>42305</v>
      </c>
      <c r="AH31" s="28"/>
      <c r="AI31" s="23"/>
      <c r="AJ31" s="47">
        <v>42305</v>
      </c>
      <c r="AK31" s="29"/>
      <c r="AL31" s="50"/>
      <c r="AM31" s="34"/>
      <c r="AN31" s="89">
        <v>0</v>
      </c>
      <c r="AO31" s="85"/>
      <c r="AR31" s="43">
        <v>42305</v>
      </c>
      <c r="AS31" s="176"/>
      <c r="AT31" s="24"/>
      <c r="AU31" s="225">
        <v>42305</v>
      </c>
      <c r="AV31" s="28"/>
      <c r="AW31" s="23"/>
      <c r="AX31" s="47">
        <v>42305</v>
      </c>
      <c r="AY31" s="29"/>
      <c r="AZ31" s="50"/>
      <c r="BA31" s="34"/>
      <c r="BB31" s="89">
        <v>0</v>
      </c>
      <c r="BC31" s="89"/>
      <c r="BF31" s="43">
        <v>42305</v>
      </c>
      <c r="BG31" s="176"/>
      <c r="BH31" s="24"/>
      <c r="BI31" s="225">
        <v>42305</v>
      </c>
      <c r="BJ31" s="28"/>
      <c r="BK31" s="23"/>
      <c r="BL31" s="47">
        <v>42305</v>
      </c>
      <c r="BM31" s="29"/>
      <c r="BN31" s="50"/>
      <c r="BO31" s="34"/>
      <c r="BP31" s="89">
        <v>0</v>
      </c>
      <c r="BQ31" s="89"/>
      <c r="BR31" s="85"/>
    </row>
    <row r="32" spans="1:70" x14ac:dyDescent="0.25">
      <c r="B32" s="43">
        <v>42306</v>
      </c>
      <c r="C32" s="176">
        <v>0</v>
      </c>
      <c r="D32" s="25"/>
      <c r="E32" s="225">
        <v>42306</v>
      </c>
      <c r="F32" s="28">
        <f>54487.7</f>
        <v>54487.7</v>
      </c>
      <c r="G32" s="23"/>
      <c r="H32" s="47">
        <v>42306</v>
      </c>
      <c r="I32" s="29">
        <v>0</v>
      </c>
      <c r="J32" s="50"/>
      <c r="K32" s="34"/>
      <c r="L32" s="89">
        <v>54487.5</v>
      </c>
      <c r="M32" s="426"/>
      <c r="P32" s="43">
        <v>42306</v>
      </c>
      <c r="Q32" s="176">
        <v>0</v>
      </c>
      <c r="R32" s="25"/>
      <c r="S32" s="225">
        <v>42306</v>
      </c>
      <c r="T32" s="28"/>
      <c r="U32" s="23"/>
      <c r="V32" s="47">
        <v>42306</v>
      </c>
      <c r="W32" s="29">
        <v>0</v>
      </c>
      <c r="X32" s="50"/>
      <c r="Y32" s="34"/>
      <c r="Z32" s="89">
        <v>0</v>
      </c>
      <c r="AA32" s="426"/>
      <c r="AD32" s="43">
        <v>42306</v>
      </c>
      <c r="AE32" s="176"/>
      <c r="AF32" s="25"/>
      <c r="AG32" s="225">
        <v>42306</v>
      </c>
      <c r="AH32" s="28"/>
      <c r="AI32" s="23"/>
      <c r="AJ32" s="47">
        <v>42306</v>
      </c>
      <c r="AK32" s="29"/>
      <c r="AL32" s="50"/>
      <c r="AM32" s="34"/>
      <c r="AN32" s="89">
        <v>0</v>
      </c>
      <c r="AO32" s="85"/>
      <c r="AR32" s="43">
        <v>42306</v>
      </c>
      <c r="AS32" s="176"/>
      <c r="AT32" s="25"/>
      <c r="AU32" s="225">
        <v>42306</v>
      </c>
      <c r="AV32" s="28"/>
      <c r="AW32" s="23"/>
      <c r="AX32" s="47">
        <v>42306</v>
      </c>
      <c r="AY32" s="29"/>
      <c r="AZ32" s="50"/>
      <c r="BA32" s="34"/>
      <c r="BB32" s="89">
        <v>0</v>
      </c>
      <c r="BC32" s="89"/>
      <c r="BF32" s="43">
        <v>42306</v>
      </c>
      <c r="BG32" s="176"/>
      <c r="BH32" s="25"/>
      <c r="BI32" s="225">
        <v>42306</v>
      </c>
      <c r="BJ32" s="28"/>
      <c r="BK32" s="23"/>
      <c r="BL32" s="47">
        <v>42306</v>
      </c>
      <c r="BM32" s="29"/>
      <c r="BN32" s="50"/>
      <c r="BO32" s="34"/>
      <c r="BP32" s="89">
        <v>0</v>
      </c>
      <c r="BQ32" s="89"/>
      <c r="BR32" s="85"/>
    </row>
    <row r="33" spans="1:70" x14ac:dyDescent="0.25">
      <c r="B33" s="43">
        <v>42307</v>
      </c>
      <c r="C33" s="176">
        <v>180</v>
      </c>
      <c r="D33" s="24" t="s">
        <v>703</v>
      </c>
      <c r="E33" s="225">
        <v>42307</v>
      </c>
      <c r="F33" s="28">
        <f>27211+1006+10623+17156.5+50609.5</f>
        <v>106606</v>
      </c>
      <c r="G33" s="23"/>
      <c r="H33" s="47">
        <v>42307</v>
      </c>
      <c r="I33" s="29">
        <v>0</v>
      </c>
      <c r="J33" s="50"/>
      <c r="K33" s="34"/>
      <c r="L33" s="89">
        <f>55000+51426</f>
        <v>106426</v>
      </c>
      <c r="M33" s="426"/>
      <c r="P33" s="43">
        <v>42307</v>
      </c>
      <c r="Q33" s="176">
        <v>0</v>
      </c>
      <c r="R33" s="24"/>
      <c r="S33" s="225">
        <v>42307</v>
      </c>
      <c r="T33" s="28"/>
      <c r="U33" s="23"/>
      <c r="V33" s="47">
        <v>42307</v>
      </c>
      <c r="W33" s="29">
        <v>0</v>
      </c>
      <c r="X33" s="50"/>
      <c r="Y33" s="34"/>
      <c r="Z33" s="89">
        <v>0</v>
      </c>
      <c r="AA33" s="426"/>
      <c r="AD33" s="43">
        <v>42307</v>
      </c>
      <c r="AE33" s="176"/>
      <c r="AF33" s="24"/>
      <c r="AG33" s="225">
        <v>42307</v>
      </c>
      <c r="AH33" s="28"/>
      <c r="AI33" s="23"/>
      <c r="AJ33" s="47">
        <v>42307</v>
      </c>
      <c r="AK33" s="29"/>
      <c r="AL33" s="50"/>
      <c r="AM33" s="34"/>
      <c r="AN33" s="89">
        <v>0</v>
      </c>
      <c r="AO33" s="85"/>
      <c r="AR33" s="43">
        <v>42307</v>
      </c>
      <c r="AS33" s="176"/>
      <c r="AT33" s="24"/>
      <c r="AU33" s="225">
        <v>42307</v>
      </c>
      <c r="AV33" s="28"/>
      <c r="AW33" s="23"/>
      <c r="AX33" s="47">
        <v>42307</v>
      </c>
      <c r="AY33" s="29"/>
      <c r="AZ33" s="50"/>
      <c r="BA33" s="34"/>
      <c r="BB33" s="89">
        <v>0</v>
      </c>
      <c r="BC33" s="89"/>
      <c r="BF33" s="43">
        <v>42307</v>
      </c>
      <c r="BG33" s="176"/>
      <c r="BH33" s="24"/>
      <c r="BI33" s="225">
        <v>42307</v>
      </c>
      <c r="BJ33" s="28"/>
      <c r="BK33" s="23"/>
      <c r="BL33" s="47">
        <v>42307</v>
      </c>
      <c r="BM33" s="29"/>
      <c r="BN33" s="50"/>
      <c r="BO33" s="34"/>
      <c r="BP33" s="89">
        <v>0</v>
      </c>
      <c r="BQ33" s="89"/>
      <c r="BR33" s="85"/>
    </row>
    <row r="34" spans="1:70" ht="15.75" thickBot="1" x14ac:dyDescent="0.3">
      <c r="A34" s="13"/>
      <c r="B34" s="43">
        <v>42308</v>
      </c>
      <c r="C34" s="176">
        <v>2376</v>
      </c>
      <c r="D34" s="24" t="s">
        <v>59</v>
      </c>
      <c r="E34" s="225">
        <v>42308</v>
      </c>
      <c r="F34" s="28">
        <v>55491.3</v>
      </c>
      <c r="G34" s="23"/>
      <c r="H34" s="47">
        <v>42308</v>
      </c>
      <c r="I34" s="29">
        <v>542.5</v>
      </c>
      <c r="J34" s="50"/>
      <c r="K34" s="34"/>
      <c r="L34" s="89">
        <v>52573</v>
      </c>
      <c r="M34" s="426"/>
      <c r="O34" s="13"/>
      <c r="P34" s="43">
        <v>42308</v>
      </c>
      <c r="Q34" s="176">
        <v>0</v>
      </c>
      <c r="R34" s="24"/>
      <c r="S34" s="225">
        <v>42308</v>
      </c>
      <c r="T34" s="28"/>
      <c r="U34" s="23"/>
      <c r="V34" s="47">
        <v>42308</v>
      </c>
      <c r="W34" s="29">
        <v>0</v>
      </c>
      <c r="X34" s="50"/>
      <c r="Y34" s="34"/>
      <c r="Z34" s="89">
        <v>0</v>
      </c>
      <c r="AA34" s="426"/>
      <c r="AC34" s="13"/>
      <c r="AD34" s="43">
        <v>42308</v>
      </c>
      <c r="AE34" s="176"/>
      <c r="AF34" s="24"/>
      <c r="AG34" s="225">
        <v>42308</v>
      </c>
      <c r="AH34" s="28"/>
      <c r="AI34" s="23"/>
      <c r="AJ34" s="47">
        <v>42308</v>
      </c>
      <c r="AK34" s="29"/>
      <c r="AL34" s="50"/>
      <c r="AM34" s="34"/>
      <c r="AN34" s="89">
        <v>0</v>
      </c>
      <c r="AO34" s="85"/>
      <c r="AQ34" s="13"/>
      <c r="AR34" s="43">
        <v>42308</v>
      </c>
      <c r="AS34" s="176"/>
      <c r="AT34" s="24"/>
      <c r="AU34" s="225">
        <v>42308</v>
      </c>
      <c r="AV34" s="28"/>
      <c r="AW34" s="23"/>
      <c r="AX34" s="47">
        <v>42308</v>
      </c>
      <c r="AY34" s="29"/>
      <c r="AZ34" s="50"/>
      <c r="BA34" s="34"/>
      <c r="BB34" s="89">
        <v>0</v>
      </c>
      <c r="BC34" s="89"/>
      <c r="BE34" s="13"/>
      <c r="BF34" s="43">
        <v>42308</v>
      </c>
      <c r="BG34" s="176"/>
      <c r="BH34" s="24"/>
      <c r="BI34" s="225">
        <v>42308</v>
      </c>
      <c r="BJ34" s="28"/>
      <c r="BK34" s="23"/>
      <c r="BL34" s="47">
        <v>42308</v>
      </c>
      <c r="BM34" s="29"/>
      <c r="BN34" s="50"/>
      <c r="BO34" s="34"/>
      <c r="BP34" s="89">
        <v>0</v>
      </c>
      <c r="BQ34" s="89"/>
      <c r="BR34" s="127"/>
    </row>
    <row r="35" spans="1:70" ht="15.7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426"/>
      <c r="O35" s="26"/>
      <c r="P35" s="44"/>
      <c r="Q35" s="177">
        <v>0</v>
      </c>
      <c r="R35" s="1"/>
      <c r="S35" s="54"/>
      <c r="T35" s="34">
        <v>0</v>
      </c>
      <c r="V35" s="10"/>
      <c r="W35" s="40"/>
      <c r="X35" s="50"/>
      <c r="Y35" s="34"/>
      <c r="Z35" s="88">
        <v>0</v>
      </c>
      <c r="AA35" s="426"/>
      <c r="AC35" s="26"/>
      <c r="AD35" s="44"/>
      <c r="AE35" s="177">
        <v>0</v>
      </c>
      <c r="AF35" s="1"/>
      <c r="AG35" s="54"/>
      <c r="AH35" s="34">
        <v>0</v>
      </c>
      <c r="AJ35" s="10"/>
      <c r="AK35" s="40"/>
      <c r="AL35" s="50"/>
      <c r="AM35" s="34"/>
      <c r="AN35" s="88">
        <v>0</v>
      </c>
      <c r="AO35" s="85"/>
      <c r="AQ35" s="26"/>
      <c r="AR35" s="44"/>
      <c r="AS35" s="177">
        <v>0</v>
      </c>
      <c r="AT35" s="1"/>
      <c r="AU35" s="54"/>
      <c r="AV35" s="34">
        <v>0</v>
      </c>
      <c r="AX35" s="10"/>
      <c r="AY35" s="40"/>
      <c r="AZ35" s="50"/>
      <c r="BA35" s="34"/>
      <c r="BB35" s="88">
        <v>0</v>
      </c>
      <c r="BC35" s="85"/>
      <c r="BE35" s="26"/>
      <c r="BF35" s="44"/>
      <c r="BG35" s="177">
        <v>0</v>
      </c>
      <c r="BH35" s="1"/>
      <c r="BI35" s="54"/>
      <c r="BJ35" s="34">
        <v>0</v>
      </c>
      <c r="BL35" s="10"/>
      <c r="BM35" s="40"/>
      <c r="BN35" s="50"/>
      <c r="BO35" s="34"/>
      <c r="BP35" s="88">
        <v>0</v>
      </c>
      <c r="BQ35" s="88"/>
      <c r="BR35" s="85"/>
    </row>
    <row r="36" spans="1:70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426"/>
      <c r="O36" s="60"/>
      <c r="P36" s="45" t="s">
        <v>0</v>
      </c>
      <c r="Q36" s="178">
        <v>0</v>
      </c>
      <c r="R36" s="1"/>
      <c r="S36" s="55"/>
      <c r="T36" s="35">
        <v>0</v>
      </c>
      <c r="V36" s="11"/>
      <c r="W36" s="41">
        <v>0</v>
      </c>
      <c r="X36" s="52"/>
      <c r="Y36" s="35"/>
      <c r="Z36" s="141">
        <v>0</v>
      </c>
      <c r="AA36" s="426"/>
      <c r="AC36" s="60"/>
      <c r="AD36" s="45" t="s">
        <v>0</v>
      </c>
      <c r="AE36" s="178">
        <v>0</v>
      </c>
      <c r="AF36" s="1"/>
      <c r="AG36" s="55"/>
      <c r="AH36" s="35">
        <v>0</v>
      </c>
      <c r="AJ36" s="11"/>
      <c r="AK36" s="41">
        <v>0</v>
      </c>
      <c r="AL36" s="52"/>
      <c r="AM36" s="35"/>
      <c r="AN36" s="141">
        <v>0</v>
      </c>
      <c r="AO36" s="85"/>
      <c r="AQ36" s="60"/>
      <c r="AR36" s="45" t="s">
        <v>0</v>
      </c>
      <c r="AS36" s="178">
        <v>0</v>
      </c>
      <c r="AT36" s="1"/>
      <c r="AU36" s="55"/>
      <c r="AV36" s="35">
        <v>0</v>
      </c>
      <c r="AX36" s="11"/>
      <c r="AY36" s="41">
        <v>0</v>
      </c>
      <c r="AZ36" s="52"/>
      <c r="BA36" s="35"/>
      <c r="BB36" s="141">
        <v>0</v>
      </c>
      <c r="BC36" s="85"/>
      <c r="BE36" s="60"/>
      <c r="BF36" s="45" t="s">
        <v>0</v>
      </c>
      <c r="BG36" s="178">
        <v>0</v>
      </c>
      <c r="BH36" s="1"/>
      <c r="BI36" s="55"/>
      <c r="BJ36" s="35">
        <v>0</v>
      </c>
      <c r="BL36" s="11"/>
      <c r="BM36" s="41">
        <v>0</v>
      </c>
      <c r="BN36" s="52"/>
      <c r="BO36" s="35"/>
      <c r="BP36" s="141">
        <v>0</v>
      </c>
      <c r="BQ36" s="88"/>
      <c r="BR36" s="85"/>
    </row>
    <row r="37" spans="1:70" x14ac:dyDescent="0.25">
      <c r="B37" s="5" t="s">
        <v>1</v>
      </c>
      <c r="C37" s="179">
        <f>SUM(C4:C36)</f>
        <v>131807.32</v>
      </c>
      <c r="D37" s="1"/>
      <c r="E37" s="442" t="s">
        <v>1</v>
      </c>
      <c r="F37" s="7">
        <f>SUM(F4:F36)</f>
        <v>3960266.3</v>
      </c>
      <c r="H37" s="4" t="s">
        <v>1</v>
      </c>
      <c r="I37" s="3">
        <f>SUM(I4:I36)</f>
        <v>1749</v>
      </c>
      <c r="J37" s="3"/>
      <c r="K37" s="3">
        <f t="shared" ref="K37" si="0">SUM(K4:K36)</f>
        <v>92420.67</v>
      </c>
      <c r="L37" s="67">
        <f>SUM(L4:L36)</f>
        <v>3943074.9</v>
      </c>
      <c r="M37" s="426"/>
      <c r="P37" s="5" t="s">
        <v>1</v>
      </c>
      <c r="Q37" s="179">
        <f>SUM(Q4:Q36)</f>
        <v>129251.32</v>
      </c>
      <c r="R37" s="1"/>
      <c r="S37" s="442" t="s">
        <v>1</v>
      </c>
      <c r="T37" s="7">
        <f>SUM(T4:T36)</f>
        <v>3693460.8</v>
      </c>
      <c r="V37" s="4" t="s">
        <v>1</v>
      </c>
      <c r="W37" s="3">
        <f>SUM(W4:W36)</f>
        <v>664</v>
      </c>
      <c r="X37" s="3"/>
      <c r="Y37" s="3">
        <f t="shared" ref="Y37" si="1">SUM(Y4:Y36)</f>
        <v>92420.67</v>
      </c>
      <c r="Z37" s="67">
        <f>SUM(Z4:Z36)</f>
        <v>3679910.4</v>
      </c>
      <c r="AA37" s="426"/>
      <c r="AD37" s="5" t="s">
        <v>1</v>
      </c>
      <c r="AE37" s="179">
        <f>SUM(AE4:AE36)</f>
        <v>106615.32</v>
      </c>
      <c r="AF37" s="1"/>
      <c r="AG37" s="442" t="s">
        <v>1</v>
      </c>
      <c r="AH37" s="7">
        <f>SUM(AH4:AH36)</f>
        <v>2886049.9</v>
      </c>
      <c r="AJ37" s="4" t="s">
        <v>1</v>
      </c>
      <c r="AK37" s="3">
        <f>SUM(AK4:AK36)</f>
        <v>534</v>
      </c>
      <c r="AL37" s="3"/>
      <c r="AM37" s="3">
        <f t="shared" ref="AM37" si="2">SUM(AM4:AM36)</f>
        <v>73691.42</v>
      </c>
      <c r="AN37" s="67">
        <f>SUM(AN4:AN36)</f>
        <v>2892818.9</v>
      </c>
      <c r="AO37" s="85"/>
      <c r="AR37" s="5" t="s">
        <v>1</v>
      </c>
      <c r="AS37" s="179">
        <f>SUM(AS4:AS36)</f>
        <v>70912.08</v>
      </c>
      <c r="AT37" s="1"/>
      <c r="AU37" s="442" t="s">
        <v>1</v>
      </c>
      <c r="AV37" s="7">
        <f>SUM(AV4:AV36)</f>
        <v>1866075.8</v>
      </c>
      <c r="AX37" s="4" t="s">
        <v>1</v>
      </c>
      <c r="AY37" s="3">
        <f>SUM(AY4:AY36)</f>
        <v>354</v>
      </c>
      <c r="AZ37" s="3"/>
      <c r="BA37" s="3">
        <f t="shared" ref="BA37" si="3">SUM(BA4:BA36)</f>
        <v>51523.31</v>
      </c>
      <c r="BB37" s="67">
        <f>SUM(BB4:BB36)</f>
        <v>1920228.5</v>
      </c>
      <c r="BC37" s="85"/>
      <c r="BF37" s="5" t="s">
        <v>1</v>
      </c>
      <c r="BG37" s="179">
        <f>SUM(BG4:BG36)</f>
        <v>47166.18</v>
      </c>
      <c r="BH37" s="1"/>
      <c r="BI37" s="442" t="s">
        <v>1</v>
      </c>
      <c r="BJ37" s="7">
        <f>SUM(BJ4:BJ36)</f>
        <v>840042.3</v>
      </c>
      <c r="BL37" s="4" t="s">
        <v>1</v>
      </c>
      <c r="BM37" s="3">
        <f>SUM(BM4:BM36)</f>
        <v>150</v>
      </c>
      <c r="BN37" s="3"/>
      <c r="BO37" s="3">
        <f t="shared" ref="BO37" si="4">SUM(BO4:BO36)</f>
        <v>39575.729999999996</v>
      </c>
      <c r="BP37" s="67">
        <f>SUM(BP4:BP36)</f>
        <v>916854.5</v>
      </c>
      <c r="BR37" s="85"/>
    </row>
    <row r="38" spans="1:70" x14ac:dyDescent="0.25">
      <c r="A38" s="477"/>
      <c r="B38" s="477"/>
      <c r="C38" s="88"/>
      <c r="I38" s="3"/>
      <c r="K38" s="3"/>
      <c r="M38" s="85">
        <f>SUM(M27:M37)</f>
        <v>0</v>
      </c>
      <c r="O38" s="477"/>
      <c r="P38" s="477"/>
      <c r="Q38" s="88"/>
      <c r="W38" s="3"/>
      <c r="Y38" s="3"/>
      <c r="AA38" s="85">
        <f>SUM(AA27:AA37)</f>
        <v>0</v>
      </c>
      <c r="AC38" s="477"/>
      <c r="AD38" s="477"/>
      <c r="AE38" s="88"/>
      <c r="AK38" s="3"/>
      <c r="AM38" s="3"/>
      <c r="AO38" s="85"/>
      <c r="AQ38" s="477"/>
      <c r="AR38" s="477"/>
      <c r="AS38" s="88"/>
      <c r="AY38" s="3"/>
      <c r="BA38" s="3"/>
      <c r="BC38" s="85"/>
      <c r="BE38" s="477"/>
      <c r="BF38" s="477"/>
      <c r="BG38" s="88"/>
      <c r="BM38" s="3"/>
      <c r="BO38" s="3"/>
      <c r="BR38" s="85"/>
    </row>
    <row r="39" spans="1:70" ht="15.75" customHeight="1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94169.67</v>
      </c>
      <c r="K39" s="458"/>
      <c r="L39" s="90"/>
      <c r="M39" s="85"/>
      <c r="O39" s="150"/>
      <c r="P39" s="36"/>
      <c r="Q39" s="88"/>
      <c r="R39" s="8"/>
      <c r="S39" s="36"/>
      <c r="T39" s="36"/>
      <c r="V39" s="459" t="s">
        <v>7</v>
      </c>
      <c r="W39" s="460"/>
      <c r="X39" s="457">
        <f>W37+Y37</f>
        <v>93084.67</v>
      </c>
      <c r="Y39" s="458"/>
      <c r="Z39" s="90"/>
      <c r="AA39" s="85"/>
      <c r="AC39" s="150"/>
      <c r="AD39" s="36"/>
      <c r="AE39" s="88"/>
      <c r="AF39" s="8"/>
      <c r="AG39" s="36"/>
      <c r="AH39" s="36"/>
      <c r="AJ39" s="459" t="s">
        <v>7</v>
      </c>
      <c r="AK39" s="460"/>
      <c r="AL39" s="457">
        <f>AK37+AM37</f>
        <v>74225.42</v>
      </c>
      <c r="AM39" s="458"/>
      <c r="AN39" s="90"/>
      <c r="AO39" s="85"/>
      <c r="AQ39" s="150"/>
      <c r="AR39" s="36"/>
      <c r="AS39" s="88"/>
      <c r="AT39" s="8"/>
      <c r="AU39" s="36"/>
      <c r="AV39" s="36"/>
      <c r="AX39" s="459" t="s">
        <v>7</v>
      </c>
      <c r="AY39" s="460"/>
      <c r="AZ39" s="457">
        <f>AY37+BA37</f>
        <v>51877.31</v>
      </c>
      <c r="BA39" s="458"/>
      <c r="BB39" s="90"/>
      <c r="BC39" s="85"/>
      <c r="BE39" s="150"/>
      <c r="BF39" s="36"/>
      <c r="BG39" s="88"/>
      <c r="BH39" s="8"/>
      <c r="BI39" s="36"/>
      <c r="BJ39" s="36"/>
      <c r="BL39" s="459" t="s">
        <v>7</v>
      </c>
      <c r="BM39" s="460"/>
      <c r="BN39" s="457">
        <f>BM37+BO37</f>
        <v>39725.729999999996</v>
      </c>
      <c r="BO39" s="458"/>
      <c r="BP39" s="90"/>
      <c r="BQ39" s="90"/>
      <c r="BR39" s="85"/>
    </row>
    <row r="40" spans="1:70" ht="16.5" customHeight="1" x14ac:dyDescent="0.25">
      <c r="A40" s="478"/>
      <c r="B40" s="478"/>
      <c r="C40" s="88"/>
      <c r="D40" s="464" t="s">
        <v>8</v>
      </c>
      <c r="E40" s="464"/>
      <c r="F40" s="17">
        <f>F37-J39-C37</f>
        <v>3734289.31</v>
      </c>
      <c r="I40" s="14"/>
      <c r="M40" s="85"/>
      <c r="O40" s="478"/>
      <c r="P40" s="478"/>
      <c r="Q40" s="88"/>
      <c r="R40" s="464" t="s">
        <v>8</v>
      </c>
      <c r="S40" s="464"/>
      <c r="T40" s="17">
        <f>T37-X39-Q37</f>
        <v>3471124.81</v>
      </c>
      <c r="W40" s="14"/>
      <c r="AA40" s="85"/>
      <c r="AC40" s="478"/>
      <c r="AD40" s="478"/>
      <c r="AE40" s="88"/>
      <c r="AF40" s="464" t="s">
        <v>8</v>
      </c>
      <c r="AG40" s="464"/>
      <c r="AH40" s="17">
        <f>AH37-AL39-AE37</f>
        <v>2705209.16</v>
      </c>
      <c r="AK40" s="14"/>
      <c r="AO40" s="85"/>
      <c r="AQ40" s="478"/>
      <c r="AR40" s="478"/>
      <c r="AS40" s="88"/>
      <c r="AT40" s="464" t="s">
        <v>8</v>
      </c>
      <c r="AU40" s="464"/>
      <c r="AV40" s="17">
        <f>AV37-AZ39-AS37</f>
        <v>1743286.41</v>
      </c>
      <c r="AY40" s="14"/>
      <c r="BC40" s="127"/>
      <c r="BE40" s="478"/>
      <c r="BF40" s="478"/>
      <c r="BG40" s="88"/>
      <c r="BH40" s="464" t="s">
        <v>8</v>
      </c>
      <c r="BI40" s="464"/>
      <c r="BJ40" s="17">
        <f>BJ37-BN39-BG37</f>
        <v>753150.39</v>
      </c>
      <c r="BM40" s="14"/>
      <c r="BR40" s="85"/>
    </row>
    <row r="41" spans="1:70" ht="19.5" customHeight="1" x14ac:dyDescent="0.25">
      <c r="A41" s="8"/>
      <c r="B41" s="36"/>
      <c r="C41" s="88"/>
      <c r="D41" s="8"/>
      <c r="E41" s="36"/>
      <c r="F41" s="17">
        <v>0</v>
      </c>
      <c r="M41" s="85"/>
      <c r="O41" s="8"/>
      <c r="P41" s="36"/>
      <c r="Q41" s="88"/>
      <c r="R41" s="8"/>
      <c r="S41" s="36"/>
      <c r="T41" s="17">
        <v>0</v>
      </c>
      <c r="AA41" s="85"/>
      <c r="AC41" s="8"/>
      <c r="AD41" s="36"/>
      <c r="AE41" s="88"/>
      <c r="AF41" s="8"/>
      <c r="AG41" s="36"/>
      <c r="AH41" s="17">
        <v>0</v>
      </c>
      <c r="AO41" s="85"/>
      <c r="AQ41" s="8"/>
      <c r="AR41" s="36"/>
      <c r="AS41" s="88"/>
      <c r="AT41" s="8"/>
      <c r="AU41" s="36"/>
      <c r="AV41" s="17">
        <v>0</v>
      </c>
      <c r="BC41" s="85"/>
      <c r="BE41" s="8"/>
      <c r="BF41" s="36"/>
      <c r="BG41" s="88"/>
      <c r="BH41" s="8"/>
      <c r="BI41" s="36"/>
      <c r="BJ41" s="17">
        <v>0</v>
      </c>
      <c r="BR41" s="85"/>
    </row>
    <row r="42" spans="1:70" ht="16.5" customHeight="1" thickBot="1" x14ac:dyDescent="0.3">
      <c r="E42" s="259" t="s">
        <v>146</v>
      </c>
      <c r="F42" s="138">
        <v>-3864342.92</v>
      </c>
      <c r="I42" s="19" t="s">
        <v>9</v>
      </c>
      <c r="J42" s="56"/>
      <c r="K42" s="15">
        <v>214694.88</v>
      </c>
      <c r="M42" s="85"/>
      <c r="S42" s="259" t="s">
        <v>146</v>
      </c>
      <c r="T42" s="138">
        <v>-3864342.92</v>
      </c>
      <c r="W42" s="19" t="s">
        <v>9</v>
      </c>
      <c r="X42" s="56"/>
      <c r="Y42" s="15">
        <v>0</v>
      </c>
      <c r="AA42" s="85"/>
      <c r="AG42" s="259" t="s">
        <v>146</v>
      </c>
      <c r="AH42" s="15">
        <v>-2925264.07</v>
      </c>
      <c r="AK42" s="19" t="s">
        <v>9</v>
      </c>
      <c r="AL42" s="56"/>
      <c r="AM42" s="15">
        <v>267340.71999999997</v>
      </c>
      <c r="AO42" s="85"/>
      <c r="AU42" s="259" t="s">
        <v>146</v>
      </c>
      <c r="AV42" s="15">
        <v>-1673750.14</v>
      </c>
      <c r="AY42" s="19" t="s">
        <v>9</v>
      </c>
      <c r="AZ42" s="56"/>
      <c r="BA42" s="15">
        <v>466138.78</v>
      </c>
      <c r="BC42" s="85"/>
      <c r="BI42" s="259" t="s">
        <v>146</v>
      </c>
      <c r="BJ42" s="15">
        <v>-698379.52</v>
      </c>
      <c r="BM42" s="19" t="s">
        <v>9</v>
      </c>
      <c r="BN42" s="56"/>
      <c r="BO42" s="15">
        <v>118507.71</v>
      </c>
      <c r="BR42" s="85"/>
    </row>
    <row r="43" spans="1:70" ht="15.75" thickTop="1" x14ac:dyDescent="0.25">
      <c r="E43" s="4" t="s">
        <v>10</v>
      </c>
      <c r="F43" s="3">
        <f>SUM(F40:F42)</f>
        <v>-130053.60999999987</v>
      </c>
      <c r="K43" s="3">
        <f>F45+K42</f>
        <v>203561.57000000012</v>
      </c>
      <c r="M43" s="85"/>
      <c r="S43" s="4" t="s">
        <v>10</v>
      </c>
      <c r="T43" s="3">
        <f>SUM(T40:T42)</f>
        <v>-393218.10999999987</v>
      </c>
      <c r="Y43" s="3">
        <f>T45+Y42</f>
        <v>-335881.60999999987</v>
      </c>
      <c r="AA43" s="85"/>
      <c r="AG43" s="4" t="s">
        <v>10</v>
      </c>
      <c r="AH43" s="3">
        <f>SUM(AH40:AH42)</f>
        <v>-220054.90999999968</v>
      </c>
      <c r="AM43" s="3">
        <f>AH45+AM42</f>
        <v>104622.31000000029</v>
      </c>
      <c r="AO43" s="85"/>
      <c r="AU43" s="4" t="s">
        <v>10</v>
      </c>
      <c r="AV43" s="3">
        <f>SUM(AV40:AV42)</f>
        <v>69536.270000000019</v>
      </c>
      <c r="BA43" s="3">
        <f>AV45+BA42</f>
        <v>568415.55000000005</v>
      </c>
      <c r="BC43" s="85"/>
      <c r="BI43" s="4" t="s">
        <v>10</v>
      </c>
      <c r="BJ43" s="3">
        <f>SUM(BJ40:BJ42)</f>
        <v>54770.869999999995</v>
      </c>
      <c r="BO43" s="3">
        <f>BJ45+BO42</f>
        <v>209623.58000000002</v>
      </c>
      <c r="BR43" s="85"/>
    </row>
    <row r="44" spans="1:70" ht="17.25" customHeight="1" thickBot="1" x14ac:dyDescent="0.3">
      <c r="D44" s="442" t="s">
        <v>31</v>
      </c>
      <c r="E44" s="442"/>
      <c r="F44" s="18">
        <v>118920.3</v>
      </c>
      <c r="I44" s="4" t="s">
        <v>2</v>
      </c>
      <c r="J44" s="327"/>
      <c r="K44" s="328">
        <v>-212472.37</v>
      </c>
      <c r="M44" s="85"/>
      <c r="R44" s="442" t="s">
        <v>31</v>
      </c>
      <c r="S44" s="442"/>
      <c r="T44" s="18">
        <v>57336.5</v>
      </c>
      <c r="W44" s="4" t="s">
        <v>2</v>
      </c>
      <c r="X44" s="327"/>
      <c r="Y44" s="328">
        <v>-212472.37</v>
      </c>
      <c r="AA44" s="85"/>
      <c r="AF44" s="442" t="s">
        <v>31</v>
      </c>
      <c r="AG44" s="442"/>
      <c r="AH44" s="18">
        <v>57336.5</v>
      </c>
      <c r="AK44" s="4" t="s">
        <v>2</v>
      </c>
      <c r="AL44" s="327"/>
      <c r="AM44" s="328">
        <v>-212472.37</v>
      </c>
      <c r="AO44" s="85"/>
      <c r="AT44" s="442" t="s">
        <v>31</v>
      </c>
      <c r="AU44" s="442"/>
      <c r="AV44" s="18">
        <v>32740.5</v>
      </c>
      <c r="AY44" s="4" t="s">
        <v>2</v>
      </c>
      <c r="AZ44" s="327"/>
      <c r="BA44" s="328">
        <v>-212472.37</v>
      </c>
      <c r="BC44" s="85"/>
      <c r="BH44" s="442" t="s">
        <v>31</v>
      </c>
      <c r="BI44" s="442"/>
      <c r="BJ44" s="18">
        <v>36345</v>
      </c>
      <c r="BM44" s="4" t="s">
        <v>2</v>
      </c>
      <c r="BN44" s="327"/>
      <c r="BO44" s="328">
        <v>-212472.37</v>
      </c>
      <c r="BR44" s="85"/>
    </row>
    <row r="45" spans="1:70" ht="20.25" customHeight="1" thickTop="1" thickBot="1" x14ac:dyDescent="0.35">
      <c r="E45" s="5" t="s">
        <v>11</v>
      </c>
      <c r="F45" s="6">
        <f>F44+F43</f>
        <v>-11133.309999999867</v>
      </c>
      <c r="I45" s="461" t="s">
        <v>235</v>
      </c>
      <c r="J45" s="462"/>
      <c r="K45" s="93">
        <f>K43+K44</f>
        <v>-8910.7999999998719</v>
      </c>
      <c r="M45" s="85"/>
      <c r="S45" s="5" t="s">
        <v>11</v>
      </c>
      <c r="T45" s="6">
        <f>T44+T43</f>
        <v>-335881.60999999987</v>
      </c>
      <c r="W45" s="461" t="s">
        <v>235</v>
      </c>
      <c r="X45" s="462"/>
      <c r="Y45" s="93">
        <f>Y43+Y44</f>
        <v>-548353.97999999986</v>
      </c>
      <c r="AA45" s="85"/>
      <c r="AG45" s="5" t="s">
        <v>11</v>
      </c>
      <c r="AH45" s="6">
        <f>AH44+AH43</f>
        <v>-162718.40999999968</v>
      </c>
      <c r="AK45" s="461" t="s">
        <v>235</v>
      </c>
      <c r="AL45" s="462"/>
      <c r="AM45" s="93">
        <f>AM43+AM44</f>
        <v>-107850.05999999971</v>
      </c>
      <c r="AO45" s="85"/>
      <c r="AU45" s="5" t="s">
        <v>11</v>
      </c>
      <c r="AV45" s="6">
        <f>AV44+AV43</f>
        <v>102276.77000000002</v>
      </c>
      <c r="AY45" s="461" t="s">
        <v>12</v>
      </c>
      <c r="AZ45" s="462"/>
      <c r="BA45" s="93">
        <f>BA43+BA44</f>
        <v>355943.18000000005</v>
      </c>
      <c r="BC45" s="85"/>
      <c r="BI45" s="5" t="s">
        <v>11</v>
      </c>
      <c r="BJ45" s="6">
        <f>BJ44+BJ43</f>
        <v>91115.87</v>
      </c>
      <c r="BM45" s="461" t="s">
        <v>235</v>
      </c>
      <c r="BN45" s="462"/>
      <c r="BO45" s="93">
        <f>BO43+BO44</f>
        <v>-2848.789999999979</v>
      </c>
      <c r="BR45" s="85"/>
    </row>
    <row r="46" spans="1:70" ht="17.25" customHeight="1" thickTop="1" x14ac:dyDescent="0.25">
      <c r="M46" s="85"/>
      <c r="AA46" s="85"/>
      <c r="AO46" s="85"/>
      <c r="BC46" s="85"/>
      <c r="BR46" s="127"/>
    </row>
    <row r="47" spans="1:70" x14ac:dyDescent="0.25">
      <c r="M47" s="85"/>
      <c r="AA47" s="85"/>
      <c r="AO47" s="85"/>
      <c r="BC47" s="85"/>
      <c r="BR47" s="85"/>
    </row>
    <row r="48" spans="1:70" x14ac:dyDescent="0.25">
      <c r="M48" s="85"/>
      <c r="AA48" s="85"/>
      <c r="AO48" s="85"/>
      <c r="BC48" s="85"/>
      <c r="BR48" s="85"/>
    </row>
    <row r="49" spans="2:70" ht="19.5" customHeight="1" x14ac:dyDescent="0.25">
      <c r="B49"/>
      <c r="C49"/>
      <c r="E49"/>
      <c r="F49"/>
      <c r="H49"/>
      <c r="I49"/>
      <c r="J49"/>
      <c r="K49"/>
      <c r="L49"/>
      <c r="M49" s="85"/>
      <c r="P49"/>
      <c r="Q49"/>
      <c r="S49"/>
      <c r="T49"/>
      <c r="V49"/>
      <c r="W49"/>
      <c r="X49"/>
      <c r="Y49"/>
      <c r="Z49"/>
      <c r="AA49" s="85"/>
      <c r="AD49"/>
      <c r="AE49"/>
      <c r="AG49"/>
      <c r="AH49"/>
      <c r="AJ49"/>
      <c r="AK49"/>
      <c r="AL49"/>
      <c r="AM49"/>
      <c r="AN49"/>
      <c r="AO49" s="85"/>
      <c r="AR49"/>
      <c r="AS49"/>
      <c r="AU49"/>
      <c r="AV49"/>
      <c r="AX49"/>
      <c r="AY49"/>
      <c r="AZ49"/>
      <c r="BA49"/>
      <c r="BB49"/>
      <c r="BC49" s="85"/>
      <c r="BF49"/>
      <c r="BG49"/>
      <c r="BI49"/>
      <c r="BJ49"/>
      <c r="BL49"/>
      <c r="BM49"/>
      <c r="BN49"/>
      <c r="BO49"/>
      <c r="BP49"/>
      <c r="BQ49"/>
      <c r="BR49" s="85"/>
    </row>
    <row r="50" spans="2:70" ht="16.5" customHeight="1" x14ac:dyDescent="0.25">
      <c r="B50"/>
      <c r="C50"/>
      <c r="E50"/>
      <c r="F50"/>
      <c r="H50"/>
      <c r="I50"/>
      <c r="J50"/>
      <c r="K50"/>
      <c r="L50"/>
      <c r="M50" s="85"/>
      <c r="P50"/>
      <c r="Q50"/>
      <c r="S50"/>
      <c r="T50"/>
      <c r="V50"/>
      <c r="W50"/>
      <c r="X50"/>
      <c r="Y50"/>
      <c r="Z50"/>
      <c r="AA50" s="85"/>
      <c r="AD50"/>
      <c r="AE50"/>
      <c r="AG50"/>
      <c r="AH50"/>
      <c r="AJ50"/>
      <c r="AK50"/>
      <c r="AL50"/>
      <c r="AM50"/>
      <c r="AN50"/>
      <c r="AO50" s="85"/>
      <c r="AR50"/>
      <c r="AS50"/>
      <c r="AU50"/>
      <c r="AV50"/>
      <c r="AX50"/>
      <c r="AY50"/>
      <c r="AZ50"/>
      <c r="BA50"/>
      <c r="BB50"/>
      <c r="BC50" s="85"/>
      <c r="BF50"/>
      <c r="BG50"/>
      <c r="BI50"/>
      <c r="BJ50"/>
      <c r="BL50"/>
      <c r="BM50"/>
      <c r="BN50"/>
      <c r="BO50"/>
      <c r="BP50"/>
      <c r="BQ50"/>
      <c r="BR50" s="85"/>
    </row>
    <row r="51" spans="2:70" x14ac:dyDescent="0.25">
      <c r="B51"/>
      <c r="C51"/>
      <c r="E51"/>
      <c r="F51"/>
      <c r="H51" s="493"/>
      <c r="I51" s="493"/>
      <c r="J51" s="329"/>
      <c r="K51" s="330"/>
      <c r="L51"/>
      <c r="M51" s="127"/>
      <c r="P51"/>
      <c r="Q51"/>
      <c r="S51"/>
      <c r="T51"/>
      <c r="V51" s="493"/>
      <c r="W51" s="493"/>
      <c r="X51" s="329"/>
      <c r="Y51" s="330"/>
      <c r="Z51"/>
      <c r="AA51" s="127"/>
      <c r="AD51"/>
      <c r="AE51"/>
      <c r="AG51"/>
      <c r="AH51"/>
      <c r="AJ51" s="493"/>
      <c r="AK51" s="493"/>
      <c r="AL51" s="329"/>
      <c r="AM51" s="330"/>
      <c r="AN51"/>
      <c r="AO51" s="127"/>
      <c r="AR51"/>
      <c r="AS51"/>
      <c r="AU51"/>
      <c r="AV51"/>
      <c r="AX51" s="493"/>
      <c r="AY51" s="493"/>
      <c r="AZ51" s="329"/>
      <c r="BA51" s="330"/>
      <c r="BB51"/>
      <c r="BC51" s="85"/>
      <c r="BF51"/>
      <c r="BG51"/>
      <c r="BI51"/>
      <c r="BJ51"/>
      <c r="BL51" s="493"/>
      <c r="BM51" s="493"/>
      <c r="BN51" s="329"/>
      <c r="BO51" s="330"/>
      <c r="BP51"/>
      <c r="BQ51"/>
      <c r="BR51" s="127"/>
    </row>
    <row r="52" spans="2:70" x14ac:dyDescent="0.25">
      <c r="B52"/>
      <c r="C52"/>
      <c r="E52"/>
      <c r="F52"/>
      <c r="H52"/>
      <c r="I52"/>
      <c r="J52"/>
      <c r="K52"/>
      <c r="L52"/>
      <c r="M52" s="85"/>
      <c r="P52"/>
      <c r="Q52"/>
      <c r="S52"/>
      <c r="T52"/>
      <c r="V52"/>
      <c r="W52"/>
      <c r="X52"/>
      <c r="Y52"/>
      <c r="Z52"/>
      <c r="AA52" s="85"/>
      <c r="AD52"/>
      <c r="AE52"/>
      <c r="AG52"/>
      <c r="AH52"/>
      <c r="AJ52"/>
      <c r="AK52"/>
      <c r="AL52"/>
      <c r="AM52"/>
      <c r="AN52"/>
      <c r="AO52" s="85"/>
      <c r="AR52"/>
      <c r="AS52"/>
      <c r="AU52"/>
      <c r="AV52"/>
      <c r="AX52"/>
      <c r="AY52"/>
      <c r="AZ52"/>
      <c r="BA52"/>
      <c r="BB52"/>
      <c r="BC52" s="85"/>
      <c r="BF52"/>
      <c r="BG52"/>
      <c r="BI52"/>
      <c r="BJ52"/>
      <c r="BL52"/>
      <c r="BM52"/>
      <c r="BN52"/>
      <c r="BO52"/>
      <c r="BP52"/>
      <c r="BQ52"/>
      <c r="BR52" s="85"/>
    </row>
    <row r="53" spans="2:70" x14ac:dyDescent="0.25">
      <c r="B53"/>
      <c r="C53"/>
      <c r="E53"/>
      <c r="F53"/>
      <c r="H53"/>
      <c r="I53"/>
      <c r="J53"/>
      <c r="K53"/>
      <c r="L53"/>
      <c r="M53" s="85"/>
      <c r="P53"/>
      <c r="Q53"/>
      <c r="S53"/>
      <c r="T53"/>
      <c r="V53"/>
      <c r="W53"/>
      <c r="X53"/>
      <c r="Y53"/>
      <c r="Z53"/>
      <c r="AA53" s="85"/>
      <c r="AD53"/>
      <c r="AE53"/>
      <c r="AG53"/>
      <c r="AH53"/>
      <c r="AJ53"/>
      <c r="AK53"/>
      <c r="AL53"/>
      <c r="AM53"/>
      <c r="AN53"/>
      <c r="AO53" s="85"/>
      <c r="AR53"/>
      <c r="AS53"/>
      <c r="AU53"/>
      <c r="AV53"/>
      <c r="AX53"/>
      <c r="AY53"/>
      <c r="AZ53"/>
      <c r="BA53"/>
      <c r="BB53"/>
      <c r="BC53" s="85"/>
      <c r="BF53"/>
      <c r="BG53"/>
      <c r="BI53"/>
      <c r="BJ53"/>
      <c r="BL53"/>
      <c r="BM53"/>
      <c r="BN53"/>
      <c r="BO53"/>
      <c r="BP53"/>
      <c r="BQ53"/>
      <c r="BR53" s="85"/>
    </row>
    <row r="54" spans="2:70" x14ac:dyDescent="0.25">
      <c r="B54"/>
      <c r="C54"/>
      <c r="E54"/>
      <c r="F54"/>
      <c r="H54"/>
      <c r="I54"/>
      <c r="J54"/>
      <c r="K54"/>
      <c r="L54"/>
      <c r="M54" s="85"/>
      <c r="P54"/>
      <c r="Q54"/>
      <c r="S54"/>
      <c r="T54"/>
      <c r="V54"/>
      <c r="W54"/>
      <c r="X54"/>
      <c r="Y54"/>
      <c r="Z54"/>
      <c r="AA54" s="85"/>
      <c r="AD54"/>
      <c r="AE54"/>
      <c r="AG54"/>
      <c r="AH54"/>
      <c r="AJ54"/>
      <c r="AK54"/>
      <c r="AL54"/>
      <c r="AM54"/>
      <c r="AN54"/>
      <c r="AO54" s="85"/>
      <c r="AR54"/>
      <c r="AS54"/>
      <c r="AU54"/>
      <c r="AV54"/>
      <c r="AX54"/>
      <c r="AY54"/>
      <c r="AZ54"/>
      <c r="BA54"/>
      <c r="BB54"/>
      <c r="BC54" s="85"/>
      <c r="BF54"/>
      <c r="BG54"/>
      <c r="BI54"/>
      <c r="BJ54"/>
      <c r="BL54"/>
      <c r="BM54"/>
      <c r="BN54"/>
      <c r="BO54"/>
      <c r="BP54"/>
      <c r="BQ54"/>
      <c r="BR54" s="85"/>
    </row>
    <row r="55" spans="2:70" x14ac:dyDescent="0.25">
      <c r="B55"/>
      <c r="C55"/>
      <c r="E55"/>
      <c r="F55"/>
      <c r="H55"/>
      <c r="I55"/>
      <c r="J55"/>
      <c r="K55"/>
      <c r="L55"/>
      <c r="M55" s="85"/>
      <c r="P55"/>
      <c r="Q55"/>
      <c r="S55"/>
      <c r="T55"/>
      <c r="V55"/>
      <c r="W55"/>
      <c r="X55"/>
      <c r="Y55"/>
      <c r="Z55"/>
      <c r="AA55" s="85"/>
      <c r="AD55"/>
      <c r="AE55"/>
      <c r="AG55"/>
      <c r="AH55"/>
      <c r="AJ55"/>
      <c r="AK55"/>
      <c r="AL55"/>
      <c r="AM55"/>
      <c r="AN55"/>
      <c r="AO55" s="85"/>
      <c r="AR55"/>
      <c r="AS55"/>
      <c r="AU55"/>
      <c r="AV55"/>
      <c r="AX55"/>
      <c r="AY55"/>
      <c r="AZ55"/>
      <c r="BA55"/>
      <c r="BB55"/>
      <c r="BC55" s="85"/>
      <c r="BF55"/>
      <c r="BG55"/>
      <c r="BI55"/>
      <c r="BJ55"/>
      <c r="BL55"/>
      <c r="BM55"/>
      <c r="BN55"/>
      <c r="BO55"/>
      <c r="BP55"/>
      <c r="BQ55"/>
      <c r="BR55" s="85"/>
    </row>
    <row r="56" spans="2:70" x14ac:dyDescent="0.25">
      <c r="B56"/>
      <c r="C56"/>
      <c r="E56"/>
      <c r="F56"/>
      <c r="H56"/>
      <c r="I56"/>
      <c r="J56"/>
      <c r="K56"/>
      <c r="L56"/>
      <c r="M56" s="85"/>
      <c r="P56"/>
      <c r="Q56"/>
      <c r="S56"/>
      <c r="T56"/>
      <c r="V56"/>
      <c r="W56"/>
      <c r="X56"/>
      <c r="Y56"/>
      <c r="Z56"/>
      <c r="AA56" s="85"/>
      <c r="AD56"/>
      <c r="AE56"/>
      <c r="AG56"/>
      <c r="AH56"/>
      <c r="AJ56"/>
      <c r="AK56"/>
      <c r="AL56"/>
      <c r="AM56"/>
      <c r="AN56"/>
      <c r="AO56" s="85"/>
      <c r="AR56"/>
      <c r="AS56"/>
      <c r="AU56"/>
      <c r="AV56"/>
      <c r="AX56"/>
      <c r="AY56"/>
      <c r="AZ56"/>
      <c r="BA56"/>
      <c r="BB56"/>
      <c r="BC56" s="85"/>
      <c r="BF56"/>
      <c r="BG56"/>
      <c r="BI56"/>
      <c r="BJ56"/>
      <c r="BL56"/>
      <c r="BM56"/>
      <c r="BN56"/>
      <c r="BO56"/>
      <c r="BP56"/>
      <c r="BQ56"/>
      <c r="BR56" s="140"/>
    </row>
    <row r="57" spans="2:70" x14ac:dyDescent="0.25">
      <c r="B57"/>
      <c r="C57"/>
      <c r="E57"/>
      <c r="F57"/>
      <c r="H57"/>
      <c r="I57"/>
      <c r="J57"/>
      <c r="K57"/>
      <c r="L57"/>
      <c r="M57" s="85"/>
      <c r="P57"/>
      <c r="Q57"/>
      <c r="S57"/>
      <c r="T57"/>
      <c r="V57"/>
      <c r="W57"/>
      <c r="X57"/>
      <c r="Y57"/>
      <c r="Z57"/>
      <c r="AA57" s="85"/>
      <c r="AD57"/>
      <c r="AE57"/>
      <c r="AG57"/>
      <c r="AH57"/>
      <c r="AJ57"/>
      <c r="AK57"/>
      <c r="AL57"/>
      <c r="AM57"/>
      <c r="AN57"/>
      <c r="AO57" s="85"/>
      <c r="AR57"/>
      <c r="AS57"/>
      <c r="AU57"/>
      <c r="AV57"/>
      <c r="AX57"/>
      <c r="AY57"/>
      <c r="AZ57"/>
      <c r="BA57"/>
      <c r="BB57"/>
      <c r="BC57" s="85"/>
      <c r="BF57"/>
      <c r="BG57"/>
      <c r="BI57"/>
      <c r="BJ57"/>
      <c r="BL57"/>
      <c r="BM57"/>
      <c r="BN57"/>
      <c r="BO57"/>
      <c r="BP57"/>
      <c r="BQ57"/>
    </row>
    <row r="58" spans="2:70" x14ac:dyDescent="0.25">
      <c r="B58"/>
      <c r="C58"/>
      <c r="E58"/>
      <c r="F58"/>
      <c r="H58"/>
      <c r="I58"/>
      <c r="J58"/>
      <c r="K58"/>
      <c r="L58"/>
      <c r="M58" s="85"/>
      <c r="P58"/>
      <c r="Q58"/>
      <c r="S58"/>
      <c r="T58"/>
      <c r="V58"/>
      <c r="W58"/>
      <c r="X58"/>
      <c r="Y58"/>
      <c r="Z58"/>
      <c r="AA58" s="85"/>
      <c r="AD58"/>
      <c r="AE58"/>
      <c r="AG58"/>
      <c r="AH58"/>
      <c r="AJ58"/>
      <c r="AK58"/>
      <c r="AL58"/>
      <c r="AM58"/>
      <c r="AN58"/>
      <c r="AO58" s="85"/>
      <c r="AR58"/>
      <c r="AS58"/>
      <c r="AU58"/>
      <c r="AV58"/>
      <c r="AX58"/>
      <c r="AY58"/>
      <c r="AZ58"/>
      <c r="BA58"/>
      <c r="BB58"/>
      <c r="BC58" s="85"/>
      <c r="BF58"/>
      <c r="BG58"/>
      <c r="BI58"/>
      <c r="BJ58"/>
      <c r="BL58"/>
      <c r="BM58"/>
      <c r="BN58"/>
      <c r="BO58"/>
      <c r="BP58"/>
      <c r="BQ58"/>
    </row>
    <row r="59" spans="2:70" x14ac:dyDescent="0.25">
      <c r="B59"/>
      <c r="C59"/>
      <c r="E59"/>
      <c r="F59"/>
      <c r="H59"/>
      <c r="I59"/>
      <c r="J59"/>
      <c r="K59"/>
      <c r="L59"/>
      <c r="M59" s="85"/>
      <c r="P59"/>
      <c r="Q59"/>
      <c r="S59"/>
      <c r="T59"/>
      <c r="V59"/>
      <c r="W59"/>
      <c r="X59"/>
      <c r="Y59"/>
      <c r="Z59"/>
      <c r="AA59" s="85"/>
      <c r="AD59"/>
      <c r="AE59"/>
      <c r="AG59"/>
      <c r="AH59"/>
      <c r="AJ59"/>
      <c r="AK59"/>
      <c r="AL59"/>
      <c r="AM59"/>
      <c r="AN59"/>
      <c r="AO59" s="85"/>
      <c r="AR59"/>
      <c r="AS59"/>
      <c r="AU59"/>
      <c r="AV59"/>
      <c r="AX59"/>
      <c r="AY59"/>
      <c r="AZ59"/>
      <c r="BA59"/>
      <c r="BB59"/>
      <c r="BC59" s="20"/>
      <c r="BF59"/>
      <c r="BG59"/>
      <c r="BI59"/>
      <c r="BJ59"/>
      <c r="BL59"/>
      <c r="BM59"/>
      <c r="BN59"/>
      <c r="BO59"/>
      <c r="BP59"/>
      <c r="BQ59"/>
    </row>
    <row r="60" spans="2:70" x14ac:dyDescent="0.25">
      <c r="B60"/>
      <c r="C60"/>
      <c r="E60"/>
      <c r="F60"/>
      <c r="H60"/>
      <c r="I60"/>
      <c r="J60"/>
      <c r="K60"/>
      <c r="L60"/>
      <c r="M60" s="428"/>
      <c r="P60"/>
      <c r="Q60"/>
      <c r="S60"/>
      <c r="T60"/>
      <c r="V60"/>
      <c r="W60"/>
      <c r="X60"/>
      <c r="Y60"/>
      <c r="Z60"/>
      <c r="AA60" s="428"/>
      <c r="AD60"/>
      <c r="AE60"/>
      <c r="AG60"/>
      <c r="AH60"/>
      <c r="AJ60"/>
      <c r="AK60"/>
      <c r="AL60"/>
      <c r="AM60"/>
      <c r="AN60"/>
      <c r="AO60" s="428"/>
      <c r="AR60"/>
      <c r="AS60"/>
      <c r="AU60"/>
      <c r="AV60"/>
      <c r="AX60"/>
      <c r="AY60"/>
      <c r="AZ60"/>
      <c r="BA60"/>
      <c r="BB60"/>
      <c r="BC60"/>
      <c r="BF60"/>
      <c r="BG60"/>
      <c r="BI60"/>
      <c r="BJ60"/>
      <c r="BL60"/>
      <c r="BM60"/>
      <c r="BN60"/>
      <c r="BO60"/>
      <c r="BP60"/>
      <c r="BQ60"/>
    </row>
    <row r="61" spans="2:70" x14ac:dyDescent="0.25">
      <c r="B61"/>
      <c r="C61"/>
      <c r="E61"/>
      <c r="F61"/>
      <c r="H61"/>
      <c r="I61"/>
      <c r="J61"/>
      <c r="K61"/>
      <c r="L61"/>
      <c r="M61" s="140"/>
      <c r="P61"/>
      <c r="Q61"/>
      <c r="S61"/>
      <c r="T61"/>
      <c r="V61"/>
      <c r="W61"/>
      <c r="X61"/>
      <c r="Y61"/>
      <c r="Z61"/>
      <c r="AA61" s="140"/>
      <c r="AD61"/>
      <c r="AE61"/>
      <c r="AG61"/>
      <c r="AH61"/>
      <c r="AJ61"/>
      <c r="AK61"/>
      <c r="AL61"/>
      <c r="AM61"/>
      <c r="AN61"/>
      <c r="AO61" s="140"/>
      <c r="AR61"/>
      <c r="AS61"/>
      <c r="AU61"/>
      <c r="AV61"/>
      <c r="AX61"/>
      <c r="AY61"/>
      <c r="AZ61"/>
      <c r="BA61"/>
      <c r="BB61"/>
      <c r="BC61"/>
      <c r="BF61"/>
      <c r="BG61"/>
      <c r="BI61"/>
      <c r="BJ61"/>
      <c r="BL61"/>
      <c r="BM61"/>
      <c r="BN61"/>
      <c r="BO61"/>
      <c r="BP61"/>
      <c r="BQ61"/>
    </row>
    <row r="62" spans="2:70" x14ac:dyDescent="0.25">
      <c r="B62"/>
      <c r="C62"/>
      <c r="E62"/>
      <c r="F62"/>
      <c r="H62"/>
      <c r="I62"/>
      <c r="J62"/>
      <c r="K62"/>
      <c r="L62"/>
      <c r="M62" s="8"/>
      <c r="P62"/>
      <c r="Q62"/>
      <c r="S62"/>
      <c r="T62"/>
      <c r="V62"/>
      <c r="W62"/>
      <c r="X62"/>
      <c r="Y62"/>
      <c r="Z62"/>
      <c r="AA62" s="8"/>
      <c r="AD62"/>
      <c r="AE62"/>
      <c r="AG62"/>
      <c r="AH62"/>
      <c r="AJ62"/>
      <c r="AK62"/>
      <c r="AL62"/>
      <c r="AM62"/>
      <c r="AN62"/>
      <c r="AO62" s="8"/>
      <c r="AR62"/>
      <c r="AS62"/>
      <c r="AU62"/>
      <c r="AV62"/>
      <c r="AX62"/>
      <c r="AY62"/>
      <c r="AZ62"/>
      <c r="BA62"/>
      <c r="BB62"/>
      <c r="BC62"/>
      <c r="BF62"/>
      <c r="BG62"/>
      <c r="BI62"/>
      <c r="BJ62"/>
      <c r="BL62"/>
      <c r="BM62"/>
      <c r="BN62"/>
      <c r="BO62"/>
      <c r="BP62"/>
      <c r="BQ62"/>
    </row>
    <row r="63" spans="2:70" x14ac:dyDescent="0.25">
      <c r="B63"/>
      <c r="C63"/>
      <c r="E63"/>
      <c r="F63"/>
      <c r="H63"/>
      <c r="I63"/>
      <c r="J63"/>
      <c r="K63"/>
      <c r="L63"/>
      <c r="M63"/>
      <c r="P63"/>
      <c r="Q63"/>
      <c r="S63"/>
      <c r="T63"/>
      <c r="V63"/>
      <c r="W63"/>
      <c r="X63"/>
      <c r="Y63"/>
      <c r="Z63"/>
      <c r="AA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  <c r="BF63"/>
      <c r="BG63"/>
      <c r="BI63"/>
      <c r="BJ63"/>
      <c r="BL63"/>
      <c r="BM63"/>
      <c r="BN63"/>
      <c r="BO63"/>
      <c r="BP63"/>
      <c r="BQ63"/>
    </row>
    <row r="64" spans="2:70" x14ac:dyDescent="0.25">
      <c r="B64"/>
      <c r="C64"/>
      <c r="E64"/>
      <c r="F64"/>
      <c r="H64"/>
      <c r="I64"/>
      <c r="J64"/>
      <c r="K64"/>
      <c r="L64"/>
      <c r="M64"/>
      <c r="P64"/>
      <c r="Q64"/>
      <c r="S64"/>
      <c r="T64"/>
      <c r="V64"/>
      <c r="W64"/>
      <c r="X64"/>
      <c r="Y64"/>
      <c r="Z64"/>
      <c r="AA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  <c r="BF64"/>
      <c r="BG64"/>
      <c r="BI64"/>
      <c r="BJ64"/>
      <c r="BL64"/>
      <c r="BM64"/>
      <c r="BN64"/>
      <c r="BO64"/>
      <c r="BP64"/>
      <c r="BQ64"/>
    </row>
    <row r="65" spans="2:69" x14ac:dyDescent="0.25">
      <c r="B65"/>
      <c r="C65"/>
      <c r="E65"/>
      <c r="F65"/>
      <c r="H65"/>
      <c r="I65"/>
      <c r="J65"/>
      <c r="K65"/>
      <c r="L65"/>
      <c r="M65"/>
      <c r="P65"/>
      <c r="Q65"/>
      <c r="S65"/>
      <c r="T65"/>
      <c r="V65"/>
      <c r="W65"/>
      <c r="X65"/>
      <c r="Y65"/>
      <c r="Z65"/>
      <c r="AA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  <c r="BF65"/>
      <c r="BG65"/>
      <c r="BI65"/>
      <c r="BJ65"/>
      <c r="BL65"/>
      <c r="BM65"/>
      <c r="BN65"/>
      <c r="BO65"/>
      <c r="BP65"/>
      <c r="BQ65"/>
    </row>
    <row r="66" spans="2:69" ht="19.5" customHeight="1" x14ac:dyDescent="0.25">
      <c r="B66"/>
      <c r="C66"/>
      <c r="E66"/>
      <c r="F66"/>
      <c r="H66"/>
      <c r="I66"/>
      <c r="J66"/>
      <c r="K66"/>
      <c r="L66"/>
      <c r="M66"/>
      <c r="P66"/>
      <c r="Q66"/>
      <c r="S66"/>
      <c r="T66"/>
      <c r="V66"/>
      <c r="W66"/>
      <c r="X66"/>
      <c r="Y66"/>
      <c r="Z66"/>
      <c r="AA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  <c r="BF66"/>
      <c r="BG66"/>
      <c r="BI66"/>
      <c r="BJ66"/>
      <c r="BL66"/>
      <c r="BM66"/>
      <c r="BN66"/>
      <c r="BO66"/>
      <c r="BP66"/>
      <c r="BQ66"/>
    </row>
    <row r="67" spans="2:69" ht="16.5" customHeight="1" x14ac:dyDescent="0.25">
      <c r="B67"/>
      <c r="C67"/>
      <c r="E67"/>
      <c r="F67"/>
      <c r="H67"/>
      <c r="I67"/>
      <c r="J67"/>
      <c r="K67"/>
      <c r="L67"/>
      <c r="M67"/>
      <c r="P67"/>
      <c r="Q67"/>
      <c r="S67"/>
      <c r="T67"/>
      <c r="V67"/>
      <c r="W67"/>
      <c r="X67"/>
      <c r="Y67"/>
      <c r="Z67"/>
      <c r="AA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  <c r="BF67"/>
      <c r="BG67"/>
      <c r="BI67"/>
      <c r="BJ67"/>
      <c r="BL67"/>
      <c r="BM67"/>
      <c r="BN67"/>
      <c r="BO67"/>
      <c r="BP67"/>
      <c r="BQ67"/>
    </row>
    <row r="68" spans="2:69" x14ac:dyDescent="0.25">
      <c r="B68"/>
      <c r="C68"/>
      <c r="E68"/>
      <c r="F68"/>
      <c r="H68"/>
      <c r="I68"/>
      <c r="J68"/>
      <c r="K68"/>
      <c r="L68"/>
      <c r="M68"/>
      <c r="P68"/>
      <c r="Q68"/>
      <c r="S68"/>
      <c r="T68"/>
      <c r="V68"/>
      <c r="W68"/>
      <c r="X68"/>
      <c r="Y68"/>
      <c r="Z68"/>
      <c r="AA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  <c r="BF68"/>
      <c r="BG68"/>
      <c r="BI68"/>
      <c r="BJ68"/>
      <c r="BL68"/>
      <c r="BM68"/>
      <c r="BN68"/>
      <c r="BO68"/>
      <c r="BP68"/>
      <c r="BQ68"/>
    </row>
    <row r="69" spans="2:69" x14ac:dyDescent="0.25">
      <c r="B69"/>
      <c r="C69"/>
      <c r="E69"/>
      <c r="F69"/>
      <c r="H69"/>
      <c r="I69"/>
      <c r="J69"/>
      <c r="K69"/>
      <c r="L69"/>
      <c r="M69"/>
      <c r="P69"/>
      <c r="Q69"/>
      <c r="S69"/>
      <c r="T69"/>
      <c r="V69"/>
      <c r="W69"/>
      <c r="X69"/>
      <c r="Y69"/>
      <c r="Z69"/>
      <c r="AA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  <c r="BF69"/>
      <c r="BG69"/>
      <c r="BI69"/>
      <c r="BJ69"/>
      <c r="BL69"/>
      <c r="BM69"/>
      <c r="BN69"/>
      <c r="BO69"/>
      <c r="BP69"/>
      <c r="BQ69"/>
    </row>
    <row r="70" spans="2:69" x14ac:dyDescent="0.25">
      <c r="B70"/>
      <c r="C70"/>
      <c r="E70"/>
      <c r="F70"/>
      <c r="H70"/>
      <c r="I70"/>
      <c r="J70"/>
      <c r="K70"/>
      <c r="L70"/>
      <c r="M70"/>
      <c r="P70"/>
      <c r="Q70"/>
      <c r="S70"/>
      <c r="T70"/>
      <c r="V70"/>
      <c r="W70"/>
      <c r="X70"/>
      <c r="Y70"/>
      <c r="Z70"/>
      <c r="AA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  <c r="BF70"/>
      <c r="BG70"/>
      <c r="BI70"/>
      <c r="BJ70"/>
      <c r="BL70"/>
      <c r="BM70"/>
      <c r="BN70"/>
      <c r="BO70"/>
      <c r="BP70"/>
      <c r="BQ70"/>
    </row>
    <row r="71" spans="2:69" x14ac:dyDescent="0.25">
      <c r="B71"/>
      <c r="C71"/>
      <c r="E71"/>
      <c r="F71"/>
      <c r="H71"/>
      <c r="I71"/>
      <c r="J71"/>
      <c r="K71"/>
      <c r="L71"/>
      <c r="M71"/>
      <c r="P71"/>
      <c r="Q71"/>
      <c r="S71"/>
      <c r="T71"/>
      <c r="V71"/>
      <c r="W71"/>
      <c r="X71"/>
      <c r="Y71"/>
      <c r="Z71"/>
      <c r="AA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  <c r="BF71"/>
      <c r="BG71"/>
      <c r="BI71"/>
      <c r="BJ71"/>
      <c r="BL71"/>
      <c r="BM71"/>
      <c r="BN71"/>
      <c r="BO71"/>
      <c r="BP71"/>
      <c r="BQ71"/>
    </row>
    <row r="72" spans="2:69" x14ac:dyDescent="0.25">
      <c r="B72"/>
      <c r="C72"/>
      <c r="E72"/>
      <c r="F72"/>
      <c r="H72"/>
      <c r="I72"/>
      <c r="J72"/>
      <c r="K72"/>
      <c r="L72"/>
      <c r="M72"/>
      <c r="P72"/>
      <c r="Q72"/>
      <c r="S72"/>
      <c r="T72"/>
      <c r="V72"/>
      <c r="W72"/>
      <c r="X72"/>
      <c r="Y72"/>
      <c r="Z72"/>
      <c r="AA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  <c r="BF72"/>
      <c r="BG72"/>
      <c r="BI72"/>
      <c r="BJ72"/>
      <c r="BL72"/>
      <c r="BM72"/>
      <c r="BN72"/>
      <c r="BO72"/>
      <c r="BP72"/>
      <c r="BQ72"/>
    </row>
    <row r="73" spans="2:69" x14ac:dyDescent="0.25">
      <c r="B73"/>
      <c r="C73"/>
      <c r="E73"/>
      <c r="F73"/>
      <c r="H73"/>
      <c r="I73"/>
      <c r="J73"/>
      <c r="K73"/>
      <c r="L73"/>
      <c r="M73"/>
      <c r="P73"/>
      <c r="Q73"/>
      <c r="S73"/>
      <c r="T73"/>
      <c r="V73"/>
      <c r="W73"/>
      <c r="X73"/>
      <c r="Y73"/>
      <c r="Z73"/>
      <c r="AA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  <c r="BF73"/>
      <c r="BG73"/>
      <c r="BI73"/>
      <c r="BJ73"/>
      <c r="BL73"/>
      <c r="BM73"/>
      <c r="BN73"/>
      <c r="BO73"/>
      <c r="BP73"/>
      <c r="BQ73"/>
    </row>
    <row r="74" spans="2:69" x14ac:dyDescent="0.25">
      <c r="B74"/>
      <c r="C74"/>
      <c r="E74"/>
      <c r="F74"/>
      <c r="H74"/>
      <c r="I74"/>
      <c r="J74"/>
      <c r="K74"/>
      <c r="L74"/>
      <c r="M74"/>
      <c r="P74"/>
      <c r="Q74"/>
      <c r="S74"/>
      <c r="T74"/>
      <c r="V74"/>
      <c r="W74"/>
      <c r="X74"/>
      <c r="Y74"/>
      <c r="Z74"/>
      <c r="AA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  <c r="BF74"/>
      <c r="BG74"/>
      <c r="BI74"/>
      <c r="BJ74"/>
      <c r="BL74"/>
      <c r="BM74"/>
      <c r="BN74"/>
      <c r="BO74"/>
      <c r="BP74"/>
      <c r="BQ74"/>
    </row>
    <row r="75" spans="2:69" x14ac:dyDescent="0.25">
      <c r="B75"/>
      <c r="C75"/>
      <c r="E75"/>
      <c r="F75"/>
      <c r="H75"/>
      <c r="I75"/>
      <c r="J75"/>
      <c r="K75"/>
      <c r="L75"/>
      <c r="M75"/>
      <c r="P75"/>
      <c r="Q75"/>
      <c r="S75"/>
      <c r="T75"/>
      <c r="V75"/>
      <c r="W75"/>
      <c r="X75"/>
      <c r="Y75"/>
      <c r="Z75"/>
      <c r="AA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  <c r="BF75"/>
      <c r="BG75"/>
      <c r="BI75"/>
      <c r="BJ75"/>
      <c r="BL75"/>
      <c r="BM75"/>
      <c r="BN75"/>
      <c r="BO75"/>
      <c r="BP75"/>
      <c r="BQ75"/>
    </row>
    <row r="76" spans="2:69" x14ac:dyDescent="0.25">
      <c r="B76"/>
      <c r="C76"/>
      <c r="E76"/>
      <c r="F76"/>
      <c r="H76"/>
      <c r="I76"/>
      <c r="J76"/>
      <c r="K76"/>
      <c r="L76"/>
      <c r="M76"/>
      <c r="P76"/>
      <c r="Q76"/>
      <c r="S76"/>
      <c r="T76"/>
      <c r="V76"/>
      <c r="W76"/>
      <c r="X76"/>
      <c r="Y76"/>
      <c r="Z76"/>
      <c r="AA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  <c r="BF76"/>
      <c r="BG76"/>
      <c r="BI76"/>
      <c r="BJ76"/>
      <c r="BL76"/>
      <c r="BM76"/>
      <c r="BN76"/>
      <c r="BO76"/>
      <c r="BP76"/>
      <c r="BQ76"/>
    </row>
    <row r="77" spans="2:69" x14ac:dyDescent="0.25">
      <c r="B77"/>
      <c r="C77"/>
      <c r="E77"/>
      <c r="F77"/>
      <c r="H77"/>
      <c r="I77"/>
      <c r="J77"/>
      <c r="K77"/>
      <c r="L77"/>
      <c r="M77"/>
      <c r="P77"/>
      <c r="Q77"/>
      <c r="S77"/>
      <c r="T77"/>
      <c r="V77"/>
      <c r="W77"/>
      <c r="X77"/>
      <c r="Y77"/>
      <c r="Z77"/>
      <c r="AA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  <c r="BF77"/>
      <c r="BG77"/>
      <c r="BI77"/>
      <c r="BJ77"/>
      <c r="BL77"/>
      <c r="BM77"/>
      <c r="BN77"/>
      <c r="BO77"/>
      <c r="BP77"/>
      <c r="BQ77"/>
    </row>
    <row r="78" spans="2:69" x14ac:dyDescent="0.25">
      <c r="B78"/>
      <c r="C78"/>
      <c r="E78"/>
      <c r="F78"/>
      <c r="H78"/>
      <c r="I78"/>
      <c r="J78"/>
      <c r="K78"/>
      <c r="L78"/>
      <c r="M78"/>
      <c r="P78"/>
      <c r="Q78"/>
      <c r="S78"/>
      <c r="T78"/>
      <c r="V78"/>
      <c r="W78"/>
      <c r="X78"/>
      <c r="Y78"/>
      <c r="Z78"/>
      <c r="AA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  <c r="BF78"/>
      <c r="BG78"/>
      <c r="BI78"/>
      <c r="BJ78"/>
      <c r="BL78"/>
      <c r="BM78"/>
      <c r="BN78"/>
      <c r="BO78"/>
      <c r="BP78"/>
      <c r="BQ78"/>
    </row>
    <row r="79" spans="2:69" x14ac:dyDescent="0.25">
      <c r="B79"/>
      <c r="C79"/>
      <c r="E79"/>
      <c r="F79"/>
      <c r="H79"/>
      <c r="I79"/>
      <c r="J79"/>
      <c r="K79"/>
      <c r="L79"/>
      <c r="M79"/>
      <c r="P79"/>
      <c r="Q79"/>
      <c r="S79"/>
      <c r="T79"/>
      <c r="V79"/>
      <c r="W79"/>
      <c r="X79"/>
      <c r="Y79"/>
      <c r="Z79"/>
      <c r="AA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  <c r="BF79"/>
      <c r="BG79"/>
      <c r="BI79"/>
      <c r="BJ79"/>
      <c r="BL79"/>
      <c r="BM79"/>
      <c r="BN79"/>
      <c r="BO79"/>
      <c r="BP79"/>
      <c r="BQ79"/>
    </row>
    <row r="80" spans="2:69" x14ac:dyDescent="0.25">
      <c r="B80"/>
      <c r="C80"/>
      <c r="E80"/>
      <c r="F80"/>
      <c r="H80"/>
      <c r="I80"/>
      <c r="J80"/>
      <c r="K80"/>
      <c r="L80"/>
      <c r="M80"/>
      <c r="P80"/>
      <c r="Q80"/>
      <c r="S80"/>
      <c r="T80"/>
      <c r="V80"/>
      <c r="W80"/>
      <c r="X80"/>
      <c r="Y80"/>
      <c r="Z80"/>
      <c r="AA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  <c r="BF80"/>
      <c r="BG80"/>
      <c r="BI80"/>
      <c r="BJ80"/>
      <c r="BL80"/>
      <c r="BM80"/>
      <c r="BN80"/>
      <c r="BO80"/>
      <c r="BP80"/>
      <c r="BQ80"/>
    </row>
    <row r="81" spans="2:69" ht="19.5" customHeight="1" x14ac:dyDescent="0.25">
      <c r="B81"/>
      <c r="C81"/>
      <c r="E81"/>
      <c r="F81"/>
      <c r="H81"/>
      <c r="I81"/>
      <c r="J81"/>
      <c r="K81"/>
      <c r="L81"/>
      <c r="M81"/>
      <c r="P81"/>
      <c r="Q81"/>
      <c r="S81"/>
      <c r="T81"/>
      <c r="V81"/>
      <c r="W81"/>
      <c r="X81"/>
      <c r="Y81"/>
      <c r="Z81"/>
      <c r="AA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  <c r="BF81"/>
      <c r="BG81"/>
      <c r="BI81"/>
      <c r="BJ81"/>
      <c r="BL81"/>
      <c r="BM81"/>
      <c r="BN81"/>
      <c r="BO81"/>
      <c r="BP81"/>
      <c r="BQ81"/>
    </row>
    <row r="82" spans="2:69" ht="16.5" customHeight="1" x14ac:dyDescent="0.25">
      <c r="B82"/>
      <c r="C82"/>
      <c r="E82"/>
      <c r="F82"/>
      <c r="H82"/>
      <c r="I82"/>
      <c r="J82"/>
      <c r="K82"/>
      <c r="L82"/>
      <c r="M82"/>
      <c r="P82"/>
      <c r="Q82"/>
      <c r="S82"/>
      <c r="T82"/>
      <c r="V82"/>
      <c r="W82"/>
      <c r="X82"/>
      <c r="Y82"/>
      <c r="Z82"/>
      <c r="AA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  <c r="BF82"/>
      <c r="BG82"/>
      <c r="BI82"/>
      <c r="BJ82"/>
      <c r="BL82"/>
      <c r="BM82"/>
      <c r="BN82"/>
      <c r="BO82"/>
      <c r="BP82"/>
      <c r="BQ82"/>
    </row>
    <row r="83" spans="2:69" x14ac:dyDescent="0.25">
      <c r="B83"/>
      <c r="C83"/>
      <c r="E83"/>
      <c r="F83"/>
      <c r="H83"/>
      <c r="I83"/>
      <c r="J83"/>
      <c r="K83"/>
      <c r="L83"/>
      <c r="M83"/>
      <c r="P83"/>
      <c r="Q83"/>
      <c r="S83"/>
      <c r="T83"/>
      <c r="V83"/>
      <c r="W83"/>
      <c r="X83"/>
      <c r="Y83"/>
      <c r="Z83"/>
      <c r="AA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  <c r="BF83"/>
      <c r="BG83"/>
      <c r="BI83"/>
      <c r="BJ83"/>
      <c r="BL83"/>
      <c r="BM83"/>
      <c r="BN83"/>
      <c r="BO83"/>
      <c r="BP83"/>
      <c r="BQ83"/>
    </row>
    <row r="84" spans="2:69" x14ac:dyDescent="0.25">
      <c r="B84"/>
      <c r="C84"/>
      <c r="E84"/>
      <c r="F84"/>
      <c r="H84"/>
      <c r="I84"/>
      <c r="J84"/>
      <c r="K84"/>
      <c r="L84"/>
      <c r="M84"/>
      <c r="P84"/>
      <c r="Q84"/>
      <c r="S84"/>
      <c r="T84"/>
      <c r="V84"/>
      <c r="W84"/>
      <c r="X84"/>
      <c r="Y84"/>
      <c r="Z84"/>
      <c r="AA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  <c r="BF84"/>
      <c r="BG84"/>
      <c r="BI84"/>
      <c r="BJ84"/>
      <c r="BL84"/>
      <c r="BM84"/>
      <c r="BN84"/>
      <c r="BO84"/>
      <c r="BP84"/>
      <c r="BQ84"/>
    </row>
    <row r="85" spans="2:69" x14ac:dyDescent="0.25">
      <c r="B85"/>
      <c r="C85"/>
      <c r="E85"/>
      <c r="F85"/>
      <c r="H85"/>
      <c r="I85"/>
      <c r="J85"/>
      <c r="K85"/>
      <c r="L85"/>
      <c r="M85"/>
      <c r="P85"/>
      <c r="Q85"/>
      <c r="S85"/>
      <c r="T85"/>
      <c r="V85"/>
      <c r="W85"/>
      <c r="X85"/>
      <c r="Y85"/>
      <c r="Z85"/>
      <c r="AA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  <c r="BF85"/>
      <c r="BG85"/>
      <c r="BI85"/>
      <c r="BJ85"/>
      <c r="BL85"/>
      <c r="BM85"/>
      <c r="BN85"/>
      <c r="BO85"/>
      <c r="BP85"/>
      <c r="BQ85"/>
    </row>
    <row r="86" spans="2:69" x14ac:dyDescent="0.25">
      <c r="B86"/>
      <c r="C86"/>
      <c r="E86"/>
      <c r="F86"/>
      <c r="H86"/>
      <c r="I86"/>
      <c r="J86"/>
      <c r="K86"/>
      <c r="L86"/>
      <c r="M86"/>
      <c r="P86"/>
      <c r="Q86"/>
      <c r="S86"/>
      <c r="T86"/>
      <c r="V86"/>
      <c r="W86"/>
      <c r="X86"/>
      <c r="Y86"/>
      <c r="Z86"/>
      <c r="AA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  <c r="BF86"/>
      <c r="BG86"/>
      <c r="BI86"/>
      <c r="BJ86"/>
      <c r="BL86"/>
      <c r="BM86"/>
      <c r="BN86"/>
      <c r="BO86"/>
      <c r="BP86"/>
      <c r="BQ86"/>
    </row>
    <row r="87" spans="2:69" x14ac:dyDescent="0.25">
      <c r="B87"/>
      <c r="C87"/>
      <c r="E87"/>
      <c r="F87"/>
      <c r="H87"/>
      <c r="I87"/>
      <c r="J87"/>
      <c r="K87"/>
      <c r="L87"/>
      <c r="M87"/>
      <c r="P87"/>
      <c r="Q87"/>
      <c r="S87"/>
      <c r="T87"/>
      <c r="V87"/>
      <c r="W87"/>
      <c r="X87"/>
      <c r="Y87"/>
      <c r="Z87"/>
      <c r="AA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  <c r="BF87"/>
      <c r="BG87"/>
      <c r="BI87"/>
      <c r="BJ87"/>
      <c r="BL87"/>
      <c r="BM87"/>
      <c r="BN87"/>
      <c r="BO87"/>
      <c r="BP87"/>
      <c r="BQ87"/>
    </row>
    <row r="88" spans="2:69" x14ac:dyDescent="0.25">
      <c r="B88"/>
      <c r="C88"/>
      <c r="E88"/>
      <c r="F88"/>
      <c r="H88"/>
      <c r="I88"/>
      <c r="J88"/>
      <c r="K88"/>
      <c r="L88"/>
      <c r="M88"/>
      <c r="P88"/>
      <c r="Q88"/>
      <c r="S88"/>
      <c r="T88"/>
      <c r="V88"/>
      <c r="W88"/>
      <c r="X88"/>
      <c r="Y88"/>
      <c r="Z88"/>
      <c r="AA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  <c r="BF88"/>
      <c r="BG88"/>
      <c r="BI88"/>
      <c r="BJ88"/>
      <c r="BL88"/>
      <c r="BM88"/>
      <c r="BN88"/>
      <c r="BO88"/>
      <c r="BP88"/>
      <c r="BQ88"/>
    </row>
    <row r="89" spans="2:69" x14ac:dyDescent="0.25">
      <c r="B89"/>
      <c r="C89"/>
      <c r="E89"/>
      <c r="F89"/>
      <c r="H89"/>
      <c r="I89"/>
      <c r="J89"/>
      <c r="K89"/>
      <c r="L89"/>
      <c r="M89"/>
      <c r="P89"/>
      <c r="Q89"/>
      <c r="S89"/>
      <c r="T89"/>
      <c r="V89"/>
      <c r="W89"/>
      <c r="X89"/>
      <c r="Y89"/>
      <c r="Z89"/>
      <c r="AA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  <c r="BF89"/>
      <c r="BG89"/>
      <c r="BI89"/>
      <c r="BJ89"/>
      <c r="BL89"/>
      <c r="BM89"/>
      <c r="BN89"/>
      <c r="BO89"/>
      <c r="BP89"/>
      <c r="BQ89"/>
    </row>
    <row r="90" spans="2:69" x14ac:dyDescent="0.25">
      <c r="B90"/>
      <c r="C90"/>
      <c r="E90"/>
      <c r="F90"/>
      <c r="H90"/>
      <c r="I90"/>
      <c r="J90"/>
      <c r="K90"/>
      <c r="L90"/>
      <c r="M90"/>
      <c r="P90"/>
      <c r="Q90"/>
      <c r="S90"/>
      <c r="T90"/>
      <c r="V90"/>
      <c r="W90"/>
      <c r="X90"/>
      <c r="Y90"/>
      <c r="Z90"/>
      <c r="AA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  <c r="BF90"/>
      <c r="BG90"/>
      <c r="BI90"/>
      <c r="BJ90"/>
      <c r="BL90"/>
      <c r="BM90"/>
      <c r="BN90"/>
      <c r="BO90"/>
      <c r="BP90"/>
      <c r="BQ90"/>
    </row>
    <row r="91" spans="2:69" x14ac:dyDescent="0.25">
      <c r="B91"/>
      <c r="C91"/>
      <c r="E91"/>
      <c r="F91"/>
      <c r="H91"/>
      <c r="I91"/>
      <c r="J91"/>
      <c r="K91"/>
      <c r="L91"/>
      <c r="M91"/>
      <c r="P91"/>
      <c r="Q91"/>
      <c r="S91"/>
      <c r="T91"/>
      <c r="V91"/>
      <c r="W91"/>
      <c r="X91"/>
      <c r="Y91"/>
      <c r="Z91"/>
      <c r="AA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  <c r="BF91"/>
      <c r="BG91"/>
      <c r="BI91"/>
      <c r="BJ91"/>
      <c r="BL91"/>
      <c r="BM91"/>
      <c r="BN91"/>
      <c r="BO91"/>
      <c r="BP91"/>
      <c r="BQ91"/>
    </row>
    <row r="92" spans="2:69" x14ac:dyDescent="0.25">
      <c r="B92"/>
      <c r="C92"/>
      <c r="E92"/>
      <c r="F92"/>
      <c r="H92"/>
      <c r="I92"/>
      <c r="J92"/>
      <c r="K92"/>
      <c r="L92"/>
      <c r="M92"/>
      <c r="P92"/>
      <c r="Q92"/>
      <c r="S92"/>
      <c r="T92"/>
      <c r="V92"/>
      <c r="W92"/>
      <c r="X92"/>
      <c r="Y92"/>
      <c r="Z92"/>
      <c r="AA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  <c r="BF92"/>
      <c r="BG92"/>
      <c r="BI92"/>
      <c r="BJ92"/>
      <c r="BL92"/>
      <c r="BM92"/>
      <c r="BN92"/>
      <c r="BO92"/>
      <c r="BP92"/>
      <c r="BQ92"/>
    </row>
    <row r="93" spans="2:69" x14ac:dyDescent="0.25">
      <c r="B93"/>
      <c r="C93"/>
      <c r="E93"/>
      <c r="F93"/>
      <c r="H93"/>
      <c r="I93"/>
      <c r="J93"/>
      <c r="K93"/>
      <c r="L93"/>
      <c r="M93"/>
      <c r="P93"/>
      <c r="Q93"/>
      <c r="S93"/>
      <c r="T93"/>
      <c r="V93"/>
      <c r="W93"/>
      <c r="X93"/>
      <c r="Y93"/>
      <c r="Z93"/>
      <c r="AA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  <c r="BF93"/>
      <c r="BG93"/>
      <c r="BI93"/>
      <c r="BJ93"/>
      <c r="BL93"/>
      <c r="BM93"/>
      <c r="BN93"/>
      <c r="BO93"/>
      <c r="BP93"/>
      <c r="BQ93"/>
    </row>
    <row r="94" spans="2:69" x14ac:dyDescent="0.25">
      <c r="B94"/>
      <c r="C94"/>
      <c r="E94"/>
      <c r="F94"/>
      <c r="H94"/>
      <c r="I94"/>
      <c r="J94"/>
      <c r="K94"/>
      <c r="L94"/>
      <c r="M94"/>
      <c r="P94"/>
      <c r="Q94"/>
      <c r="S94"/>
      <c r="T94"/>
      <c r="V94"/>
      <c r="W94"/>
      <c r="X94"/>
      <c r="Y94"/>
      <c r="Z94"/>
      <c r="AA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  <c r="BF94"/>
      <c r="BG94"/>
      <c r="BI94"/>
      <c r="BJ94"/>
      <c r="BL94"/>
      <c r="BM94"/>
      <c r="BN94"/>
      <c r="BO94"/>
      <c r="BP94"/>
      <c r="BQ94"/>
    </row>
    <row r="95" spans="2:69" x14ac:dyDescent="0.25">
      <c r="B95"/>
      <c r="C95"/>
      <c r="E95"/>
      <c r="F95"/>
      <c r="H95"/>
      <c r="I95"/>
      <c r="J95"/>
      <c r="K95"/>
      <c r="L95"/>
      <c r="M95"/>
      <c r="P95"/>
      <c r="Q95"/>
      <c r="S95"/>
      <c r="T95"/>
      <c r="V95"/>
      <c r="W95"/>
      <c r="X95"/>
      <c r="Y95"/>
      <c r="Z95"/>
      <c r="AA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  <c r="BF95"/>
      <c r="BG95"/>
      <c r="BI95"/>
      <c r="BJ95"/>
      <c r="BL95"/>
      <c r="BM95"/>
      <c r="BN95"/>
      <c r="BO95"/>
      <c r="BP95"/>
      <c r="BQ95"/>
    </row>
    <row r="96" spans="2:69" ht="19.5" customHeight="1" x14ac:dyDescent="0.25">
      <c r="B96"/>
      <c r="C96"/>
      <c r="E96"/>
      <c r="F96"/>
      <c r="H96"/>
      <c r="I96"/>
      <c r="J96"/>
      <c r="K96"/>
      <c r="L96"/>
      <c r="M96"/>
      <c r="P96"/>
      <c r="Q96"/>
      <c r="S96"/>
      <c r="T96"/>
      <c r="V96"/>
      <c r="W96"/>
      <c r="X96"/>
      <c r="Y96"/>
      <c r="Z96"/>
      <c r="AA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  <c r="BF96"/>
      <c r="BG96"/>
      <c r="BI96"/>
      <c r="BJ96"/>
      <c r="BL96"/>
      <c r="BM96"/>
      <c r="BN96"/>
      <c r="BO96"/>
      <c r="BP96"/>
      <c r="BQ96"/>
    </row>
    <row r="97" spans="2:69" ht="16.5" customHeight="1" x14ac:dyDescent="0.25">
      <c r="B97"/>
      <c r="C97"/>
      <c r="E97"/>
      <c r="F97"/>
      <c r="H97"/>
      <c r="I97"/>
      <c r="J97"/>
      <c r="K97"/>
      <c r="L97"/>
      <c r="M97"/>
      <c r="P97"/>
      <c r="Q97"/>
      <c r="S97"/>
      <c r="T97"/>
      <c r="V97"/>
      <c r="W97"/>
      <c r="X97"/>
      <c r="Y97"/>
      <c r="Z97"/>
      <c r="AA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  <c r="BF97"/>
      <c r="BG97"/>
      <c r="BI97"/>
      <c r="BJ97"/>
      <c r="BL97"/>
      <c r="BM97"/>
      <c r="BN97"/>
      <c r="BO97"/>
      <c r="BP97"/>
      <c r="BQ97"/>
    </row>
    <row r="98" spans="2:69" x14ac:dyDescent="0.25">
      <c r="B98"/>
      <c r="C98"/>
      <c r="E98"/>
      <c r="F98"/>
      <c r="H98"/>
      <c r="I98"/>
      <c r="J98"/>
      <c r="K98"/>
      <c r="L98"/>
      <c r="M98"/>
      <c r="P98"/>
      <c r="Q98"/>
      <c r="S98"/>
      <c r="T98"/>
      <c r="V98"/>
      <c r="W98"/>
      <c r="X98"/>
      <c r="Y98"/>
      <c r="Z98"/>
      <c r="AA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  <c r="BF98"/>
      <c r="BG98"/>
      <c r="BI98"/>
      <c r="BJ98"/>
      <c r="BL98"/>
      <c r="BM98"/>
      <c r="BN98"/>
      <c r="BO98"/>
      <c r="BP98"/>
      <c r="BQ98"/>
    </row>
    <row r="99" spans="2:69" x14ac:dyDescent="0.25">
      <c r="B99"/>
      <c r="C99"/>
      <c r="E99"/>
      <c r="F99"/>
      <c r="H99"/>
      <c r="I99"/>
      <c r="J99"/>
      <c r="K99"/>
      <c r="L99"/>
      <c r="M99"/>
      <c r="P99"/>
      <c r="Q99"/>
      <c r="S99"/>
      <c r="T99"/>
      <c r="V99"/>
      <c r="W99"/>
      <c r="X99"/>
      <c r="Y99"/>
      <c r="Z99"/>
      <c r="AA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  <c r="BF99"/>
      <c r="BG99"/>
      <c r="BI99"/>
      <c r="BJ99"/>
      <c r="BL99"/>
      <c r="BM99"/>
      <c r="BN99"/>
      <c r="BO99"/>
      <c r="BP99"/>
      <c r="BQ99"/>
    </row>
    <row r="100" spans="2:69" x14ac:dyDescent="0.25">
      <c r="B100"/>
      <c r="C100"/>
      <c r="E100"/>
      <c r="F100"/>
      <c r="H100"/>
      <c r="I100"/>
      <c r="J100"/>
      <c r="K100"/>
      <c r="L100"/>
      <c r="M100"/>
      <c r="P100"/>
      <c r="Q100"/>
      <c r="S100"/>
      <c r="T100"/>
      <c r="V100"/>
      <c r="W100"/>
      <c r="X100"/>
      <c r="Y100"/>
      <c r="Z100"/>
      <c r="AA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  <c r="BF100"/>
      <c r="BG100"/>
      <c r="BI100"/>
      <c r="BJ100"/>
      <c r="BL100"/>
      <c r="BM100"/>
      <c r="BN100"/>
      <c r="BO100"/>
      <c r="BP100"/>
      <c r="BQ100"/>
    </row>
    <row r="101" spans="2:69" x14ac:dyDescent="0.25">
      <c r="B101"/>
      <c r="C101"/>
      <c r="E101"/>
      <c r="F101"/>
      <c r="H101"/>
      <c r="I101"/>
      <c r="J101"/>
      <c r="K101"/>
      <c r="L101"/>
      <c r="M101"/>
      <c r="P101"/>
      <c r="Q101"/>
      <c r="S101"/>
      <c r="T101"/>
      <c r="V101"/>
      <c r="W101"/>
      <c r="X101"/>
      <c r="Y101"/>
      <c r="Z101"/>
      <c r="AA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  <c r="BF101"/>
      <c r="BG101"/>
      <c r="BI101"/>
      <c r="BJ101"/>
      <c r="BL101"/>
      <c r="BM101"/>
      <c r="BN101"/>
      <c r="BO101"/>
      <c r="BP101"/>
      <c r="BQ101"/>
    </row>
    <row r="102" spans="2:69" x14ac:dyDescent="0.25">
      <c r="B102"/>
      <c r="C102"/>
      <c r="E102"/>
      <c r="F102"/>
      <c r="H102"/>
      <c r="I102"/>
      <c r="J102"/>
      <c r="K102"/>
      <c r="L102"/>
      <c r="M102"/>
      <c r="P102"/>
      <c r="Q102"/>
      <c r="S102"/>
      <c r="T102"/>
      <c r="V102"/>
      <c r="W102"/>
      <c r="X102"/>
      <c r="Y102"/>
      <c r="Z102"/>
      <c r="AA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  <c r="BF102"/>
      <c r="BG102"/>
      <c r="BI102"/>
      <c r="BJ102"/>
      <c r="BL102"/>
      <c r="BM102"/>
      <c r="BN102"/>
      <c r="BO102"/>
      <c r="BP102"/>
      <c r="BQ102"/>
    </row>
    <row r="103" spans="2:69" x14ac:dyDescent="0.25">
      <c r="B103"/>
      <c r="C103"/>
      <c r="E103"/>
      <c r="F103"/>
      <c r="H103"/>
      <c r="I103"/>
      <c r="J103"/>
      <c r="K103"/>
      <c r="L103"/>
      <c r="M103"/>
      <c r="P103"/>
      <c r="Q103"/>
      <c r="S103"/>
      <c r="T103"/>
      <c r="V103"/>
      <c r="W103"/>
      <c r="X103"/>
      <c r="Y103"/>
      <c r="Z103"/>
      <c r="AA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  <c r="BF103"/>
      <c r="BG103"/>
      <c r="BI103"/>
      <c r="BJ103"/>
      <c r="BL103"/>
      <c r="BM103"/>
      <c r="BN103"/>
      <c r="BO103"/>
      <c r="BP103"/>
      <c r="BQ103"/>
    </row>
    <row r="104" spans="2:69" x14ac:dyDescent="0.25">
      <c r="B104"/>
      <c r="C104"/>
      <c r="E104"/>
      <c r="F104"/>
      <c r="H104"/>
      <c r="I104"/>
      <c r="J104"/>
      <c r="K104"/>
      <c r="L104"/>
      <c r="M104"/>
      <c r="P104"/>
      <c r="Q104"/>
      <c r="S104"/>
      <c r="T104"/>
      <c r="V104"/>
      <c r="W104"/>
      <c r="X104"/>
      <c r="Y104"/>
      <c r="Z104"/>
      <c r="AA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  <c r="BF104"/>
      <c r="BG104"/>
      <c r="BI104"/>
      <c r="BJ104"/>
      <c r="BL104"/>
      <c r="BM104"/>
      <c r="BN104"/>
      <c r="BO104"/>
      <c r="BP104"/>
      <c r="BQ104"/>
    </row>
    <row r="105" spans="2:69" x14ac:dyDescent="0.25">
      <c r="B105"/>
      <c r="C105"/>
      <c r="E105"/>
      <c r="F105"/>
      <c r="H105"/>
      <c r="I105"/>
      <c r="J105"/>
      <c r="K105"/>
      <c r="L105"/>
      <c r="M105"/>
      <c r="P105"/>
      <c r="Q105"/>
      <c r="S105"/>
      <c r="T105"/>
      <c r="V105"/>
      <c r="W105"/>
      <c r="X105"/>
      <c r="Y105"/>
      <c r="Z105"/>
      <c r="AA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  <c r="BF105"/>
      <c r="BG105"/>
      <c r="BI105"/>
      <c r="BJ105"/>
      <c r="BL105"/>
      <c r="BM105"/>
      <c r="BN105"/>
      <c r="BO105"/>
      <c r="BP105"/>
      <c r="BQ105"/>
    </row>
    <row r="106" spans="2:69" x14ac:dyDescent="0.25">
      <c r="B106"/>
      <c r="C106"/>
      <c r="E106"/>
      <c r="F106"/>
      <c r="H106"/>
      <c r="I106"/>
      <c r="J106"/>
      <c r="K106"/>
      <c r="L106"/>
      <c r="M106"/>
      <c r="P106"/>
      <c r="Q106"/>
      <c r="S106"/>
      <c r="T106"/>
      <c r="V106"/>
      <c r="W106"/>
      <c r="X106"/>
      <c r="Y106"/>
      <c r="Z106"/>
      <c r="AA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  <c r="BF106"/>
      <c r="BG106"/>
      <c r="BI106"/>
      <c r="BJ106"/>
      <c r="BL106"/>
      <c r="BM106"/>
      <c r="BN106"/>
      <c r="BO106"/>
      <c r="BP106"/>
      <c r="BQ106"/>
    </row>
    <row r="107" spans="2:69" x14ac:dyDescent="0.25">
      <c r="B107"/>
      <c r="C107"/>
      <c r="E107"/>
      <c r="F107"/>
      <c r="H107"/>
      <c r="I107"/>
      <c r="J107"/>
      <c r="K107"/>
      <c r="L107"/>
      <c r="M107"/>
      <c r="P107"/>
      <c r="Q107"/>
      <c r="S107"/>
      <c r="T107"/>
      <c r="V107"/>
      <c r="W107"/>
      <c r="X107"/>
      <c r="Y107"/>
      <c r="Z107"/>
      <c r="AA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  <c r="BF107"/>
      <c r="BG107"/>
      <c r="BI107"/>
      <c r="BJ107"/>
      <c r="BL107"/>
      <c r="BM107"/>
      <c r="BN107"/>
      <c r="BO107"/>
      <c r="BP107"/>
      <c r="BQ107"/>
    </row>
    <row r="108" spans="2:69" x14ac:dyDescent="0.25">
      <c r="B108"/>
      <c r="C108"/>
      <c r="E108"/>
      <c r="F108"/>
      <c r="H108"/>
      <c r="I108"/>
      <c r="J108"/>
      <c r="K108"/>
      <c r="L108"/>
      <c r="M108"/>
      <c r="P108"/>
      <c r="Q108"/>
      <c r="S108"/>
      <c r="T108"/>
      <c r="V108"/>
      <c r="W108"/>
      <c r="X108"/>
      <c r="Y108"/>
      <c r="Z108"/>
      <c r="AA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  <c r="BF108"/>
      <c r="BG108"/>
      <c r="BI108"/>
      <c r="BJ108"/>
      <c r="BL108"/>
      <c r="BM108"/>
      <c r="BN108"/>
      <c r="BO108"/>
      <c r="BP108"/>
      <c r="BQ108"/>
    </row>
    <row r="109" spans="2:69" x14ac:dyDescent="0.25">
      <c r="B109"/>
      <c r="C109"/>
      <c r="E109"/>
      <c r="F109"/>
      <c r="H109"/>
      <c r="I109"/>
      <c r="J109"/>
      <c r="K109"/>
      <c r="L109"/>
      <c r="M109"/>
      <c r="P109"/>
      <c r="Q109"/>
      <c r="S109"/>
      <c r="T109"/>
      <c r="V109"/>
      <c r="W109"/>
      <c r="X109"/>
      <c r="Y109"/>
      <c r="Z109"/>
      <c r="AA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  <c r="BF109"/>
      <c r="BG109"/>
      <c r="BI109"/>
      <c r="BJ109"/>
      <c r="BL109"/>
      <c r="BM109"/>
      <c r="BN109"/>
      <c r="BO109"/>
      <c r="BP109"/>
      <c r="BQ109"/>
    </row>
    <row r="110" spans="2:69" x14ac:dyDescent="0.25">
      <c r="B110"/>
      <c r="C110"/>
      <c r="E110"/>
      <c r="F110"/>
      <c r="H110"/>
      <c r="I110"/>
      <c r="J110"/>
      <c r="K110"/>
      <c r="L110"/>
      <c r="M110"/>
      <c r="P110"/>
      <c r="Q110"/>
      <c r="S110"/>
      <c r="T110"/>
      <c r="V110"/>
      <c r="W110"/>
      <c r="X110"/>
      <c r="Y110"/>
      <c r="Z110"/>
      <c r="AA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  <c r="BF110"/>
      <c r="BG110"/>
      <c r="BI110"/>
      <c r="BJ110"/>
      <c r="BL110"/>
      <c r="BM110"/>
      <c r="BN110"/>
      <c r="BO110"/>
      <c r="BP110"/>
      <c r="BQ110"/>
    </row>
    <row r="111" spans="2:69" x14ac:dyDescent="0.25">
      <c r="B111"/>
      <c r="C111"/>
      <c r="E111"/>
      <c r="F111"/>
      <c r="H111"/>
      <c r="I111"/>
      <c r="J111"/>
      <c r="K111"/>
      <c r="L111"/>
      <c r="M111"/>
      <c r="P111"/>
      <c r="Q111"/>
      <c r="S111"/>
      <c r="T111"/>
      <c r="V111"/>
      <c r="W111"/>
      <c r="X111"/>
      <c r="Y111"/>
      <c r="Z111"/>
      <c r="AA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  <c r="BF111"/>
      <c r="BG111"/>
      <c r="BI111"/>
      <c r="BJ111"/>
      <c r="BL111"/>
      <c r="BM111"/>
      <c r="BN111"/>
      <c r="BO111"/>
      <c r="BP111"/>
      <c r="BQ111"/>
    </row>
  </sheetData>
  <mergeCells count="50">
    <mergeCell ref="W45:X45"/>
    <mergeCell ref="AK45:AL45"/>
    <mergeCell ref="AY45:AZ45"/>
    <mergeCell ref="BM45:BN45"/>
    <mergeCell ref="V51:W51"/>
    <mergeCell ref="AJ51:AK51"/>
    <mergeCell ref="AX51:AY51"/>
    <mergeCell ref="BL51:BM51"/>
    <mergeCell ref="BL39:BM39"/>
    <mergeCell ref="BN39:BO39"/>
    <mergeCell ref="O40:P40"/>
    <mergeCell ref="R40:S40"/>
    <mergeCell ref="AC40:AD40"/>
    <mergeCell ref="AF40:AG40"/>
    <mergeCell ref="AQ40:AR40"/>
    <mergeCell ref="AT40:AU40"/>
    <mergeCell ref="BE40:BF40"/>
    <mergeCell ref="BH40:BI40"/>
    <mergeCell ref="O38:P38"/>
    <mergeCell ref="AC38:AD38"/>
    <mergeCell ref="AQ38:AR38"/>
    <mergeCell ref="BE38:BF38"/>
    <mergeCell ref="V39:W39"/>
    <mergeCell ref="X39:Y39"/>
    <mergeCell ref="AJ39:AK39"/>
    <mergeCell ref="AL39:AM39"/>
    <mergeCell ref="AX39:AY39"/>
    <mergeCell ref="AZ39:BA39"/>
    <mergeCell ref="Q1:X1"/>
    <mergeCell ref="AE1:AL1"/>
    <mergeCell ref="AS1:AZ1"/>
    <mergeCell ref="BG1:BN1"/>
    <mergeCell ref="S3:T3"/>
    <mergeCell ref="W3:Y3"/>
    <mergeCell ref="AG3:AH3"/>
    <mergeCell ref="AK3:AM3"/>
    <mergeCell ref="AU3:AV3"/>
    <mergeCell ref="AY3:BA3"/>
    <mergeCell ref="BI3:BJ3"/>
    <mergeCell ref="BM3:BO3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0.51181102362204722" right="0.11811023622047245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09"/>
  <sheetViews>
    <sheetView topLeftCell="A53" workbookViewId="0">
      <selection activeCell="D70" sqref="D70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12" max="12" width="9.85546875" bestFit="1" customWidth="1"/>
    <col min="13" max="13" width="17.7109375" customWidth="1"/>
    <col min="14" max="14" width="8" bestFit="1" customWidth="1"/>
    <col min="15" max="15" width="10.42578125" bestFit="1" customWidth="1"/>
    <col min="16" max="16" width="20.140625" bestFit="1" customWidth="1"/>
    <col min="17" max="17" width="9.5703125" bestFit="1" customWidth="1"/>
    <col min="22" max="22" width="14.140625" customWidth="1"/>
    <col min="25" max="25" width="18" customWidth="1"/>
  </cols>
  <sheetData>
    <row r="1" spans="2:27" ht="19.5" customHeight="1" thickBot="1" x14ac:dyDescent="0.35">
      <c r="L1" s="491">
        <v>1</v>
      </c>
      <c r="M1" s="96" t="s">
        <v>124</v>
      </c>
      <c r="N1" s="96"/>
      <c r="O1" s="97"/>
      <c r="P1" s="386">
        <v>42280</v>
      </c>
      <c r="Q1" s="229"/>
      <c r="U1" s="491">
        <v>1</v>
      </c>
      <c r="V1" s="96" t="s">
        <v>124</v>
      </c>
      <c r="W1" s="96"/>
      <c r="X1" s="97"/>
      <c r="Y1" s="372">
        <v>42296</v>
      </c>
      <c r="Z1" s="229"/>
    </row>
    <row r="2" spans="2:27" ht="19.5" customHeight="1" thickBot="1" x14ac:dyDescent="0.35">
      <c r="D2" s="96" t="s">
        <v>310</v>
      </c>
      <c r="L2" s="492"/>
      <c r="M2" s="100"/>
      <c r="N2" s="100"/>
      <c r="O2" s="101"/>
      <c r="P2" s="102"/>
      <c r="Q2" s="229"/>
      <c r="U2" s="492"/>
      <c r="V2" s="100"/>
      <c r="W2" s="100"/>
      <c r="X2" s="101"/>
      <c r="Y2" s="102"/>
      <c r="Z2" s="229"/>
    </row>
    <row r="3" spans="2:27" ht="16.5" customHeight="1" thickBot="1" x14ac:dyDescent="0.3">
      <c r="B3"/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L3" s="302" t="s">
        <v>126</v>
      </c>
      <c r="M3" s="302" t="s">
        <v>127</v>
      </c>
      <c r="N3" s="302"/>
      <c r="O3" s="395" t="s">
        <v>128</v>
      </c>
      <c r="P3" s="396" t="s">
        <v>129</v>
      </c>
      <c r="Q3" s="397"/>
      <c r="U3" s="302" t="s">
        <v>126</v>
      </c>
      <c r="V3" s="302" t="s">
        <v>127</v>
      </c>
      <c r="W3" s="302"/>
      <c r="X3" s="395" t="s">
        <v>128</v>
      </c>
      <c r="Y3" s="396" t="s">
        <v>129</v>
      </c>
      <c r="Z3" s="397"/>
    </row>
    <row r="4" spans="2:27" x14ac:dyDescent="0.25">
      <c r="B4" s="74">
        <v>42278</v>
      </c>
      <c r="C4" s="371" t="s">
        <v>599</v>
      </c>
      <c r="D4" s="70">
        <v>13097</v>
      </c>
      <c r="E4" s="71">
        <v>42280</v>
      </c>
      <c r="F4" s="70">
        <v>13097</v>
      </c>
      <c r="G4" s="170">
        <f t="shared" ref="G4:G65" si="0">D4-F4</f>
        <v>0</v>
      </c>
      <c r="H4" s="73"/>
      <c r="L4" s="394" t="s">
        <v>594</v>
      </c>
      <c r="M4" s="298">
        <v>17606.400000000001</v>
      </c>
      <c r="N4" s="298"/>
      <c r="O4" s="299">
        <v>3245188</v>
      </c>
      <c r="P4" s="300">
        <v>14936</v>
      </c>
      <c r="Q4" s="301">
        <v>42262</v>
      </c>
      <c r="U4" s="394" t="s">
        <v>630</v>
      </c>
      <c r="V4" s="298">
        <v>4737.5200000000004</v>
      </c>
      <c r="W4" s="298"/>
      <c r="X4" s="424" t="s">
        <v>470</v>
      </c>
      <c r="Y4" s="425">
        <v>31.5</v>
      </c>
      <c r="Z4" s="301">
        <v>42293</v>
      </c>
      <c r="AA4" s="82">
        <v>42265</v>
      </c>
    </row>
    <row r="5" spans="2:27" x14ac:dyDescent="0.25">
      <c r="B5" s="74">
        <v>42280</v>
      </c>
      <c r="C5" s="126" t="s">
        <v>600</v>
      </c>
      <c r="D5" s="70">
        <v>23542.400000000001</v>
      </c>
      <c r="E5" s="128" t="s">
        <v>615</v>
      </c>
      <c r="F5" s="70">
        <f>21981.5+1560.9</f>
        <v>23542.400000000001</v>
      </c>
      <c r="G5" s="72">
        <f t="shared" si="0"/>
        <v>0</v>
      </c>
      <c r="H5" s="75"/>
      <c r="L5" s="126" t="s">
        <v>597</v>
      </c>
      <c r="M5" s="70">
        <v>137451</v>
      </c>
      <c r="N5" s="111"/>
      <c r="O5" s="186">
        <v>3245177</v>
      </c>
      <c r="P5" s="187">
        <v>41000</v>
      </c>
      <c r="Q5" s="230">
        <v>42266</v>
      </c>
      <c r="U5" s="126" t="s">
        <v>635</v>
      </c>
      <c r="V5" s="129">
        <v>8296</v>
      </c>
      <c r="W5" s="111"/>
      <c r="X5" s="192" t="s">
        <v>470</v>
      </c>
      <c r="Y5" s="193">
        <v>20</v>
      </c>
      <c r="Z5" s="230">
        <v>42293</v>
      </c>
      <c r="AA5" s="82">
        <v>42284</v>
      </c>
    </row>
    <row r="6" spans="2:27" x14ac:dyDescent="0.25">
      <c r="B6" s="74">
        <v>42280</v>
      </c>
      <c r="C6" s="126" t="s">
        <v>602</v>
      </c>
      <c r="D6" s="70">
        <v>276675</v>
      </c>
      <c r="E6" s="71">
        <v>42289</v>
      </c>
      <c r="F6" s="70">
        <v>276675</v>
      </c>
      <c r="G6" s="72">
        <f t="shared" si="0"/>
        <v>0</v>
      </c>
      <c r="H6" s="76"/>
      <c r="L6" s="126" t="s">
        <v>596</v>
      </c>
      <c r="M6" s="70">
        <v>16317</v>
      </c>
      <c r="N6" s="111"/>
      <c r="O6" s="186">
        <v>3245175</v>
      </c>
      <c r="P6" s="187">
        <v>64000</v>
      </c>
      <c r="Q6" s="230">
        <v>42267</v>
      </c>
      <c r="U6" s="126" t="s">
        <v>636</v>
      </c>
      <c r="V6" s="70">
        <v>5561</v>
      </c>
      <c r="W6" s="111"/>
      <c r="X6" s="186" t="s">
        <v>470</v>
      </c>
      <c r="Y6" s="187">
        <v>6192</v>
      </c>
      <c r="Z6" s="230">
        <v>42289</v>
      </c>
      <c r="AA6" s="82">
        <v>42286</v>
      </c>
    </row>
    <row r="7" spans="2:27" x14ac:dyDescent="0.25">
      <c r="B7" s="74">
        <v>42280</v>
      </c>
      <c r="C7" s="126" t="s">
        <v>603</v>
      </c>
      <c r="D7" s="70">
        <v>13615</v>
      </c>
      <c r="E7" s="71">
        <v>42289</v>
      </c>
      <c r="F7" s="70">
        <v>13615</v>
      </c>
      <c r="G7" s="77">
        <f t="shared" ref="G7:G28" si="1">D7-F7</f>
        <v>0</v>
      </c>
      <c r="H7" s="76"/>
      <c r="L7" s="126" t="s">
        <v>598</v>
      </c>
      <c r="M7" s="70">
        <v>412653.6</v>
      </c>
      <c r="N7" s="111"/>
      <c r="O7" s="186">
        <v>3245174</v>
      </c>
      <c r="P7" s="187">
        <v>37063</v>
      </c>
      <c r="Q7" s="230">
        <v>42267</v>
      </c>
      <c r="U7" s="126" t="s">
        <v>637</v>
      </c>
      <c r="V7" s="70">
        <v>17887.25</v>
      </c>
      <c r="W7" s="111" t="s">
        <v>137</v>
      </c>
      <c r="X7" s="186">
        <v>3245066</v>
      </c>
      <c r="Y7" s="187">
        <v>44000</v>
      </c>
      <c r="Z7" s="230">
        <v>42285</v>
      </c>
      <c r="AA7" t="s">
        <v>641</v>
      </c>
    </row>
    <row r="8" spans="2:27" x14ac:dyDescent="0.25">
      <c r="B8" s="74">
        <v>42283</v>
      </c>
      <c r="C8" s="126" t="s">
        <v>604</v>
      </c>
      <c r="D8" s="70">
        <v>16436</v>
      </c>
      <c r="E8" s="71">
        <v>42289</v>
      </c>
      <c r="F8" s="70">
        <v>16436</v>
      </c>
      <c r="G8" s="72">
        <f t="shared" si="1"/>
        <v>0</v>
      </c>
      <c r="H8" s="76"/>
      <c r="L8" s="126" t="s">
        <v>599</v>
      </c>
      <c r="M8" s="70">
        <v>13097</v>
      </c>
      <c r="N8" s="111"/>
      <c r="O8" s="186">
        <v>3245172</v>
      </c>
      <c r="P8" s="187">
        <v>55000</v>
      </c>
      <c r="Q8" s="230">
        <v>42268</v>
      </c>
      <c r="U8" s="126" t="s">
        <v>638</v>
      </c>
      <c r="V8" s="70">
        <v>23126.799999999999</v>
      </c>
      <c r="W8" s="111"/>
      <c r="X8" s="186">
        <v>3245064</v>
      </c>
      <c r="Y8" s="187">
        <v>30000</v>
      </c>
      <c r="Z8" s="230">
        <v>42285</v>
      </c>
    </row>
    <row r="9" spans="2:27" x14ac:dyDescent="0.25">
      <c r="B9" s="74">
        <v>42283</v>
      </c>
      <c r="C9" s="126" t="s">
        <v>626</v>
      </c>
      <c r="D9" s="129">
        <v>355014.12</v>
      </c>
      <c r="E9" s="71">
        <v>42293</v>
      </c>
      <c r="F9" s="70">
        <v>355014.12</v>
      </c>
      <c r="G9" s="77">
        <f t="shared" si="1"/>
        <v>0</v>
      </c>
      <c r="H9" s="76"/>
      <c r="L9" s="126" t="s">
        <v>600</v>
      </c>
      <c r="M9" s="70">
        <v>21981.5</v>
      </c>
      <c r="N9" s="190" t="s">
        <v>165</v>
      </c>
      <c r="O9" s="186">
        <v>3245173</v>
      </c>
      <c r="P9" s="187">
        <v>45000</v>
      </c>
      <c r="Q9" s="230">
        <v>42268</v>
      </c>
      <c r="U9" s="126" t="s">
        <v>639</v>
      </c>
      <c r="V9" s="70">
        <v>293749.43</v>
      </c>
      <c r="W9" s="190" t="s">
        <v>137</v>
      </c>
      <c r="X9" s="186">
        <v>3280403</v>
      </c>
      <c r="Y9" s="187">
        <v>41027.5</v>
      </c>
      <c r="Z9" s="230">
        <v>42285</v>
      </c>
    </row>
    <row r="10" spans="2:27" x14ac:dyDescent="0.25">
      <c r="B10" s="74">
        <v>42285</v>
      </c>
      <c r="C10" s="126" t="s">
        <v>605</v>
      </c>
      <c r="D10" s="70">
        <v>13647.9</v>
      </c>
      <c r="E10" s="71">
        <v>42289</v>
      </c>
      <c r="F10" s="70">
        <v>13647.9</v>
      </c>
      <c r="G10" s="77">
        <f t="shared" si="1"/>
        <v>0</v>
      </c>
      <c r="H10" s="76"/>
      <c r="L10" s="126"/>
      <c r="M10" s="70"/>
      <c r="N10" s="226"/>
      <c r="O10" s="186">
        <v>3245170</v>
      </c>
      <c r="P10" s="187">
        <v>37327</v>
      </c>
      <c r="Q10" s="230">
        <v>42268</v>
      </c>
      <c r="U10" s="126"/>
      <c r="V10" s="343">
        <v>0</v>
      </c>
      <c r="W10" s="226"/>
      <c r="X10" s="186">
        <v>3280400</v>
      </c>
      <c r="Y10" s="187">
        <v>25250</v>
      </c>
      <c r="Z10" s="230">
        <v>42286</v>
      </c>
    </row>
    <row r="11" spans="2:27" x14ac:dyDescent="0.25">
      <c r="B11" s="74">
        <v>42285</v>
      </c>
      <c r="C11" s="126" t="s">
        <v>606</v>
      </c>
      <c r="D11" s="70">
        <v>93892</v>
      </c>
      <c r="E11" s="71">
        <v>42289</v>
      </c>
      <c r="F11" s="70">
        <v>93892</v>
      </c>
      <c r="G11" s="77">
        <f t="shared" si="1"/>
        <v>0</v>
      </c>
      <c r="H11" s="76"/>
      <c r="L11" s="126"/>
      <c r="M11" s="70"/>
      <c r="N11" s="111"/>
      <c r="O11" s="192">
        <v>3245168</v>
      </c>
      <c r="P11" s="193">
        <v>39499</v>
      </c>
      <c r="Q11" s="230">
        <v>42269</v>
      </c>
      <c r="U11" s="126"/>
      <c r="V11" s="343">
        <v>0</v>
      </c>
      <c r="W11" s="111"/>
      <c r="X11" s="186">
        <v>3280401</v>
      </c>
      <c r="Y11" s="187">
        <v>60000</v>
      </c>
      <c r="Z11" s="230">
        <v>42286</v>
      </c>
    </row>
    <row r="12" spans="2:27" x14ac:dyDescent="0.25">
      <c r="B12" s="74">
        <v>42286</v>
      </c>
      <c r="C12" s="126" t="s">
        <v>607</v>
      </c>
      <c r="D12" s="70">
        <v>59366.400000000001</v>
      </c>
      <c r="E12" s="71">
        <v>42289</v>
      </c>
      <c r="F12" s="70">
        <v>59366.400000000001</v>
      </c>
      <c r="G12" s="77">
        <f t="shared" si="1"/>
        <v>0</v>
      </c>
      <c r="H12" s="76"/>
      <c r="L12" s="126"/>
      <c r="M12" s="70"/>
      <c r="N12" s="111"/>
      <c r="O12" s="192">
        <v>3245171</v>
      </c>
      <c r="P12" s="193">
        <v>20000</v>
      </c>
      <c r="Q12" s="230">
        <v>42269</v>
      </c>
      <c r="U12" s="126"/>
      <c r="V12" s="343">
        <v>0</v>
      </c>
      <c r="W12" s="111"/>
      <c r="X12" s="186">
        <v>3280402</v>
      </c>
      <c r="Y12" s="187">
        <v>53000</v>
      </c>
      <c r="Z12" s="230">
        <v>42286</v>
      </c>
    </row>
    <row r="13" spans="2:27" ht="15" x14ac:dyDescent="0.25">
      <c r="B13" s="74">
        <v>42286</v>
      </c>
      <c r="C13" s="126" t="s">
        <v>608</v>
      </c>
      <c r="D13" s="70">
        <v>33168</v>
      </c>
      <c r="E13" s="71">
        <v>42289</v>
      </c>
      <c r="F13" s="70">
        <v>33168</v>
      </c>
      <c r="G13" s="77">
        <f t="shared" si="1"/>
        <v>0</v>
      </c>
      <c r="H13" s="73"/>
      <c r="L13" s="126"/>
      <c r="M13" s="70"/>
      <c r="N13" s="111"/>
      <c r="O13" s="192">
        <v>3245053</v>
      </c>
      <c r="P13" s="193">
        <v>24150</v>
      </c>
      <c r="Q13" s="230">
        <v>42269</v>
      </c>
      <c r="U13" s="126"/>
      <c r="V13" s="343">
        <v>0</v>
      </c>
      <c r="W13" s="111"/>
      <c r="X13" s="192">
        <v>3280470</v>
      </c>
      <c r="Y13" s="193">
        <v>13837</v>
      </c>
      <c r="Z13" s="230">
        <v>42286</v>
      </c>
    </row>
    <row r="14" spans="2:27" ht="15" x14ac:dyDescent="0.25">
      <c r="B14" s="74">
        <v>42287</v>
      </c>
      <c r="C14" s="126" t="s">
        <v>609</v>
      </c>
      <c r="D14" s="70">
        <v>16456.5</v>
      </c>
      <c r="E14" s="71">
        <v>42289</v>
      </c>
      <c r="F14" s="70">
        <v>16456.5</v>
      </c>
      <c r="G14" s="77">
        <f t="shared" si="1"/>
        <v>0</v>
      </c>
      <c r="H14" s="73"/>
      <c r="L14" s="126"/>
      <c r="M14" s="70"/>
      <c r="N14" s="111"/>
      <c r="O14" s="192">
        <v>3245055</v>
      </c>
      <c r="P14" s="193">
        <v>6072</v>
      </c>
      <c r="Q14" s="230">
        <v>42269</v>
      </c>
      <c r="U14" s="126"/>
      <c r="V14" s="343">
        <v>0</v>
      </c>
      <c r="W14" s="111"/>
      <c r="X14" s="192">
        <v>3280399</v>
      </c>
      <c r="Y14" s="193">
        <v>80000</v>
      </c>
      <c r="Z14" s="230">
        <v>42287</v>
      </c>
    </row>
    <row r="15" spans="2:27" thickBot="1" x14ac:dyDescent="0.3">
      <c r="B15" s="74">
        <v>42287</v>
      </c>
      <c r="C15" s="126" t="s">
        <v>611</v>
      </c>
      <c r="D15" s="70">
        <v>32800</v>
      </c>
      <c r="E15" s="71">
        <v>42289</v>
      </c>
      <c r="F15" s="70">
        <v>32800</v>
      </c>
      <c r="G15" s="77">
        <f t="shared" si="1"/>
        <v>0</v>
      </c>
      <c r="H15" s="73"/>
      <c r="L15" s="126"/>
      <c r="M15" s="70"/>
      <c r="N15" s="226"/>
      <c r="O15" s="192" t="s">
        <v>470</v>
      </c>
      <c r="P15" s="193">
        <v>981.5</v>
      </c>
      <c r="Q15" s="230">
        <v>42266</v>
      </c>
      <c r="U15" s="373"/>
      <c r="V15" s="427">
        <v>0</v>
      </c>
      <c r="W15" s="375"/>
      <c r="X15" s="406"/>
      <c r="Y15" s="377">
        <v>0</v>
      </c>
      <c r="Z15" s="378"/>
    </row>
    <row r="16" spans="2:27" thickTop="1" x14ac:dyDescent="0.25">
      <c r="B16" s="74">
        <v>42287</v>
      </c>
      <c r="C16" s="126" t="s">
        <v>610</v>
      </c>
      <c r="D16" s="70">
        <v>64160</v>
      </c>
      <c r="E16" s="71">
        <v>42289</v>
      </c>
      <c r="F16" s="70">
        <v>64160</v>
      </c>
      <c r="G16" s="77">
        <f t="shared" si="1"/>
        <v>0</v>
      </c>
      <c r="L16" s="371"/>
      <c r="M16" s="70"/>
      <c r="N16" s="226"/>
      <c r="O16" s="192">
        <v>3245166</v>
      </c>
      <c r="P16" s="193">
        <v>42000</v>
      </c>
      <c r="Q16" s="230">
        <v>42270</v>
      </c>
      <c r="U16" s="350"/>
      <c r="V16" s="426">
        <f>SUM(V4:V15)</f>
        <v>353358</v>
      </c>
      <c r="W16" s="145"/>
      <c r="X16" s="204"/>
      <c r="Y16" s="89">
        <f>SUM(Y4:Y15)</f>
        <v>353358</v>
      </c>
      <c r="Z16" s="233"/>
    </row>
    <row r="17" spans="2:26" ht="15" x14ac:dyDescent="0.25">
      <c r="B17" s="74">
        <v>42287</v>
      </c>
      <c r="C17" s="126" t="s">
        <v>616</v>
      </c>
      <c r="D17" s="70">
        <v>5376.6</v>
      </c>
      <c r="E17" s="71">
        <v>42293</v>
      </c>
      <c r="F17" s="70">
        <v>5376.6</v>
      </c>
      <c r="G17" s="77">
        <f t="shared" si="1"/>
        <v>0</v>
      </c>
      <c r="L17" s="126"/>
      <c r="M17" s="70"/>
      <c r="N17" s="244"/>
      <c r="O17" s="192">
        <v>3245167</v>
      </c>
      <c r="P17" s="193">
        <v>20000</v>
      </c>
      <c r="Q17" s="230">
        <v>42270</v>
      </c>
      <c r="U17" s="350"/>
      <c r="V17" s="426"/>
      <c r="W17" s="263"/>
      <c r="X17" s="204"/>
      <c r="Y17" s="205"/>
      <c r="Z17" s="233"/>
    </row>
    <row r="18" spans="2:26" ht="15" x14ac:dyDescent="0.25">
      <c r="B18" s="74">
        <v>42287</v>
      </c>
      <c r="C18" s="126" t="s">
        <v>617</v>
      </c>
      <c r="D18" s="70">
        <v>88483.199999999997</v>
      </c>
      <c r="E18" s="71">
        <v>42293</v>
      </c>
      <c r="F18" s="70">
        <v>88483.199999999997</v>
      </c>
      <c r="G18" s="77">
        <f t="shared" si="1"/>
        <v>0</v>
      </c>
      <c r="L18" s="121"/>
      <c r="M18" s="121"/>
      <c r="N18" s="121"/>
      <c r="O18" s="117">
        <v>3245165</v>
      </c>
      <c r="P18" s="118">
        <v>0</v>
      </c>
      <c r="Q18" s="120">
        <v>42270</v>
      </c>
      <c r="R18" s="66">
        <v>37599</v>
      </c>
      <c r="U18" s="8"/>
      <c r="V18" s="138"/>
      <c r="W18" s="8"/>
      <c r="X18" s="423"/>
      <c r="Y18" s="138"/>
      <c r="Z18" s="388"/>
    </row>
    <row r="19" spans="2:26" thickBot="1" x14ac:dyDescent="0.3">
      <c r="B19" s="74">
        <v>42288</v>
      </c>
      <c r="C19" s="126" t="s">
        <v>612</v>
      </c>
      <c r="D19" s="70">
        <v>95712</v>
      </c>
      <c r="E19" s="71">
        <v>42289</v>
      </c>
      <c r="F19" s="70">
        <v>95712</v>
      </c>
      <c r="G19" s="77">
        <f t="shared" si="1"/>
        <v>0</v>
      </c>
      <c r="L19" s="121"/>
      <c r="M19" s="121"/>
      <c r="N19" s="121"/>
      <c r="O19" s="117">
        <v>3245164</v>
      </c>
      <c r="P19" s="118">
        <v>32000</v>
      </c>
      <c r="Q19" s="120">
        <v>42271</v>
      </c>
      <c r="U19" s="8"/>
      <c r="V19" s="138"/>
      <c r="W19" s="8"/>
      <c r="X19" s="423"/>
      <c r="Y19" s="138"/>
      <c r="Z19" s="388"/>
    </row>
    <row r="20" spans="2:26" ht="19.5" thickBot="1" x14ac:dyDescent="0.35">
      <c r="B20" s="74">
        <v>42289</v>
      </c>
      <c r="C20" s="126" t="s">
        <v>614</v>
      </c>
      <c r="D20" s="70">
        <v>44991.199999999997</v>
      </c>
      <c r="E20" s="71" t="s">
        <v>632</v>
      </c>
      <c r="F20" s="70">
        <f>31184.8+13806.4</f>
        <v>44991.199999999997</v>
      </c>
      <c r="G20" s="77">
        <f t="shared" si="1"/>
        <v>0</v>
      </c>
      <c r="L20" s="387"/>
      <c r="M20" s="130"/>
      <c r="N20" s="244"/>
      <c r="O20" s="192">
        <v>3245113</v>
      </c>
      <c r="P20" s="193">
        <v>45000</v>
      </c>
      <c r="Q20" s="230">
        <v>42271</v>
      </c>
      <c r="U20" s="491">
        <v>1</v>
      </c>
      <c r="V20" s="96" t="s">
        <v>124</v>
      </c>
      <c r="W20" s="96"/>
      <c r="X20" s="97"/>
      <c r="Y20" s="399">
        <v>42300</v>
      </c>
      <c r="Z20" s="229"/>
    </row>
    <row r="21" spans="2:26" ht="16.5" thickBot="1" x14ac:dyDescent="0.3">
      <c r="B21" s="74">
        <v>42289</v>
      </c>
      <c r="C21" s="126" t="s">
        <v>613</v>
      </c>
      <c r="D21" s="70">
        <v>7114.8</v>
      </c>
      <c r="E21" s="71">
        <v>42293</v>
      </c>
      <c r="F21" s="70">
        <v>7114.8</v>
      </c>
      <c r="G21" s="77">
        <f t="shared" si="1"/>
        <v>0</v>
      </c>
      <c r="L21" s="121"/>
      <c r="M21" s="121"/>
      <c r="N21" s="121"/>
      <c r="O21" s="117" t="s">
        <v>470</v>
      </c>
      <c r="P21" s="118">
        <v>7502</v>
      </c>
      <c r="Q21" s="120">
        <v>42272</v>
      </c>
      <c r="R21" s="82">
        <v>42271</v>
      </c>
      <c r="U21" s="492"/>
      <c r="V21" s="100"/>
      <c r="W21" s="100"/>
      <c r="X21" s="101"/>
      <c r="Y21" s="102"/>
      <c r="Z21" s="229"/>
    </row>
    <row r="22" spans="2:26" ht="16.5" thickBot="1" x14ac:dyDescent="0.3">
      <c r="B22" s="74">
        <v>42289</v>
      </c>
      <c r="C22" s="126" t="s">
        <v>618</v>
      </c>
      <c r="D22" s="70">
        <v>29188.25</v>
      </c>
      <c r="E22" s="71">
        <v>42293</v>
      </c>
      <c r="F22" s="70">
        <v>29188.25</v>
      </c>
      <c r="G22" s="77">
        <f t="shared" si="1"/>
        <v>0</v>
      </c>
      <c r="L22" s="121"/>
      <c r="M22" s="121"/>
      <c r="N22" s="121"/>
      <c r="O22" s="117">
        <v>3245109</v>
      </c>
      <c r="P22" s="118">
        <v>27576</v>
      </c>
      <c r="Q22" s="120">
        <v>42271</v>
      </c>
      <c r="U22" s="302" t="s">
        <v>126</v>
      </c>
      <c r="V22" s="302" t="s">
        <v>127</v>
      </c>
      <c r="W22" s="302"/>
      <c r="X22" s="395" t="s">
        <v>128</v>
      </c>
      <c r="Y22" s="396" t="s">
        <v>129</v>
      </c>
      <c r="Z22" s="397"/>
    </row>
    <row r="23" spans="2:26" ht="19.5" customHeight="1" thickTop="1" x14ac:dyDescent="0.25">
      <c r="B23" s="74">
        <v>42289</v>
      </c>
      <c r="C23" s="126" t="s">
        <v>619</v>
      </c>
      <c r="D23" s="70">
        <v>57609.5</v>
      </c>
      <c r="E23" s="71">
        <v>42293</v>
      </c>
      <c r="F23" s="70">
        <v>57609.5</v>
      </c>
      <c r="G23" s="77">
        <f t="shared" si="1"/>
        <v>0</v>
      </c>
      <c r="L23" s="121"/>
      <c r="M23" s="121"/>
      <c r="N23" s="121"/>
      <c r="O23" s="121">
        <v>3245110</v>
      </c>
      <c r="P23" s="118">
        <v>20000</v>
      </c>
      <c r="Q23" s="120">
        <v>42272</v>
      </c>
      <c r="U23" s="394">
        <v>13036</v>
      </c>
      <c r="V23" s="298">
        <v>160983</v>
      </c>
      <c r="W23" s="298"/>
      <c r="X23" s="299">
        <v>3280398</v>
      </c>
      <c r="Y23" s="300">
        <v>62000</v>
      </c>
      <c r="Z23" s="301">
        <v>42287</v>
      </c>
    </row>
    <row r="24" spans="2:26" ht="16.5" customHeight="1" thickBot="1" x14ac:dyDescent="0.3">
      <c r="B24" s="74">
        <v>42290</v>
      </c>
      <c r="C24" s="126" t="s">
        <v>620</v>
      </c>
      <c r="D24" s="70">
        <v>14851.5</v>
      </c>
      <c r="E24" s="71">
        <v>42293</v>
      </c>
      <c r="F24" s="70">
        <v>14851.5</v>
      </c>
      <c r="G24" s="77">
        <f t="shared" si="1"/>
        <v>0</v>
      </c>
      <c r="L24" s="389"/>
      <c r="M24" s="389"/>
      <c r="N24" s="389"/>
      <c r="O24" s="390"/>
      <c r="P24" s="391">
        <v>40000</v>
      </c>
      <c r="Q24" s="392"/>
      <c r="U24" s="126">
        <v>13139</v>
      </c>
      <c r="V24" s="343">
        <v>12721.57</v>
      </c>
      <c r="W24" s="111"/>
      <c r="X24" s="186">
        <v>3280397</v>
      </c>
      <c r="Y24" s="187">
        <v>22750</v>
      </c>
      <c r="Z24" s="230">
        <v>42287</v>
      </c>
    </row>
    <row r="25" spans="2:26" ht="19.5" thickTop="1" x14ac:dyDescent="0.3">
      <c r="B25" s="74">
        <v>42290</v>
      </c>
      <c r="C25" s="126" t="s">
        <v>621</v>
      </c>
      <c r="D25" s="70">
        <v>5552.88</v>
      </c>
      <c r="E25" s="71">
        <v>42293</v>
      </c>
      <c r="F25" s="70">
        <v>5552.88</v>
      </c>
      <c r="G25" s="77">
        <f t="shared" si="1"/>
        <v>0</v>
      </c>
      <c r="L25" s="8"/>
      <c r="M25" s="290">
        <f>SUM(M4:M24)</f>
        <v>619106.5</v>
      </c>
      <c r="N25" s="393"/>
      <c r="O25" s="393"/>
      <c r="P25" s="393">
        <f>SUM(P4:P24)</f>
        <v>619106.5</v>
      </c>
      <c r="Q25" s="388"/>
      <c r="U25" s="126" t="s">
        <v>640</v>
      </c>
      <c r="V25" s="70">
        <v>15259.2</v>
      </c>
      <c r="W25" s="111"/>
      <c r="X25" s="186">
        <v>32800396</v>
      </c>
      <c r="Y25" s="187">
        <v>75000</v>
      </c>
      <c r="Z25" s="230">
        <v>42288</v>
      </c>
    </row>
    <row r="26" spans="2:26" x14ac:dyDescent="0.25">
      <c r="B26" s="74">
        <v>42290</v>
      </c>
      <c r="C26" s="126" t="s">
        <v>622</v>
      </c>
      <c r="D26" s="70">
        <v>10816.2</v>
      </c>
      <c r="E26" s="71">
        <v>42293</v>
      </c>
      <c r="F26" s="70">
        <v>10816.2</v>
      </c>
      <c r="G26" s="72">
        <f t="shared" si="1"/>
        <v>0</v>
      </c>
      <c r="U26" s="126" t="s">
        <v>643</v>
      </c>
      <c r="V26" s="70">
        <v>146067.6</v>
      </c>
      <c r="W26" s="111"/>
      <c r="X26" s="186">
        <v>3280395</v>
      </c>
      <c r="Y26" s="187">
        <v>18042.5</v>
      </c>
      <c r="Z26" s="230">
        <v>42288</v>
      </c>
    </row>
    <row r="27" spans="2:26" ht="16.5" thickBot="1" x14ac:dyDescent="0.3">
      <c r="B27" s="74">
        <v>42290</v>
      </c>
      <c r="C27" s="126" t="s">
        <v>627</v>
      </c>
      <c r="D27" s="70">
        <v>302183.69</v>
      </c>
      <c r="E27" s="71">
        <v>42293</v>
      </c>
      <c r="F27" s="70">
        <v>302183.69</v>
      </c>
      <c r="G27" s="77">
        <f t="shared" si="1"/>
        <v>0</v>
      </c>
      <c r="U27" s="126" t="s">
        <v>644</v>
      </c>
      <c r="V27" s="70">
        <v>11443.6</v>
      </c>
      <c r="W27" s="111"/>
      <c r="X27" s="186">
        <v>3280389</v>
      </c>
      <c r="Y27" s="187">
        <v>40000</v>
      </c>
      <c r="Z27" s="230">
        <v>42289</v>
      </c>
    </row>
    <row r="28" spans="2:26" ht="19.5" thickBot="1" x14ac:dyDescent="0.35">
      <c r="B28" s="74">
        <v>42291</v>
      </c>
      <c r="C28" s="126" t="s">
        <v>623</v>
      </c>
      <c r="D28" s="70">
        <v>13565.4</v>
      </c>
      <c r="E28" s="71">
        <v>42293</v>
      </c>
      <c r="F28" s="70">
        <v>13565.4</v>
      </c>
      <c r="G28" s="77">
        <f t="shared" si="1"/>
        <v>0</v>
      </c>
      <c r="L28" s="491">
        <v>1</v>
      </c>
      <c r="M28" s="96" t="s">
        <v>124</v>
      </c>
      <c r="N28" s="96"/>
      <c r="O28" s="97"/>
      <c r="P28" s="372">
        <v>42289</v>
      </c>
      <c r="Q28" s="229"/>
      <c r="U28" s="126" t="s">
        <v>645</v>
      </c>
      <c r="V28" s="70">
        <v>20488.599999999999</v>
      </c>
      <c r="W28" s="190"/>
      <c r="X28" s="186">
        <v>3280394</v>
      </c>
      <c r="Y28" s="187">
        <v>53000</v>
      </c>
      <c r="Z28" s="230">
        <v>42289</v>
      </c>
    </row>
    <row r="29" spans="2:26" ht="19.5" customHeight="1" thickBot="1" x14ac:dyDescent="0.3">
      <c r="B29" s="74">
        <v>42292</v>
      </c>
      <c r="C29" s="126" t="s">
        <v>628</v>
      </c>
      <c r="D29" s="70">
        <v>12198</v>
      </c>
      <c r="E29" s="71">
        <v>42293</v>
      </c>
      <c r="F29" s="70">
        <v>12198</v>
      </c>
      <c r="G29" s="77">
        <f t="shared" si="0"/>
        <v>0</v>
      </c>
      <c r="L29" s="492"/>
      <c r="M29" s="100"/>
      <c r="N29" s="100"/>
      <c r="O29" s="101"/>
      <c r="P29" s="102"/>
      <c r="Q29" s="229"/>
      <c r="T29" s="19" t="s">
        <v>648</v>
      </c>
      <c r="U29" s="126" t="s">
        <v>646</v>
      </c>
      <c r="V29" s="343">
        <v>331214.5</v>
      </c>
      <c r="W29" s="226"/>
      <c r="X29" s="186">
        <v>3280393</v>
      </c>
      <c r="Y29" s="187">
        <v>60000</v>
      </c>
      <c r="Z29" s="230">
        <v>42289</v>
      </c>
    </row>
    <row r="30" spans="2:26" ht="16.5" customHeight="1" thickBot="1" x14ac:dyDescent="0.3">
      <c r="B30" s="74">
        <v>42292</v>
      </c>
      <c r="C30" s="126" t="s">
        <v>629</v>
      </c>
      <c r="D30" s="70">
        <v>149782.91</v>
      </c>
      <c r="E30" s="71">
        <v>42293</v>
      </c>
      <c r="F30" s="70">
        <v>149782.91</v>
      </c>
      <c r="G30" s="77">
        <f t="shared" si="0"/>
        <v>0</v>
      </c>
      <c r="L30" s="302" t="s">
        <v>126</v>
      </c>
      <c r="M30" s="302" t="s">
        <v>127</v>
      </c>
      <c r="N30" s="302"/>
      <c r="O30" s="395" t="s">
        <v>128</v>
      </c>
      <c r="P30" s="396" t="s">
        <v>129</v>
      </c>
      <c r="Q30" s="397"/>
      <c r="T30" s="19" t="s">
        <v>648</v>
      </c>
      <c r="U30" s="126" t="s">
        <v>647</v>
      </c>
      <c r="V30" s="343">
        <v>15245.93</v>
      </c>
      <c r="W30" s="111" t="s">
        <v>165</v>
      </c>
      <c r="X30" s="192">
        <v>3280390</v>
      </c>
      <c r="Y30" s="193">
        <v>50000</v>
      </c>
      <c r="Z30" s="230">
        <v>42289</v>
      </c>
    </row>
    <row r="31" spans="2:26" ht="16.5" thickTop="1" x14ac:dyDescent="0.25">
      <c r="B31" s="74">
        <v>42292</v>
      </c>
      <c r="C31" s="126" t="s">
        <v>630</v>
      </c>
      <c r="D31" s="70">
        <v>29169.07</v>
      </c>
      <c r="E31" s="71" t="s">
        <v>642</v>
      </c>
      <c r="F31" s="70">
        <f>24431.55+4737.52</f>
        <v>29169.07</v>
      </c>
      <c r="G31" s="77">
        <f t="shared" si="0"/>
        <v>0</v>
      </c>
      <c r="L31" s="394" t="s">
        <v>600</v>
      </c>
      <c r="M31" s="298">
        <v>1560.9</v>
      </c>
      <c r="N31" s="298"/>
      <c r="O31" s="299">
        <v>3245165</v>
      </c>
      <c r="P31" s="300">
        <v>37599</v>
      </c>
      <c r="Q31" s="301">
        <v>42270</v>
      </c>
      <c r="U31" s="126"/>
      <c r="V31" s="343"/>
      <c r="W31" s="111"/>
      <c r="X31" s="192">
        <v>3280388</v>
      </c>
      <c r="Y31" s="193">
        <v>31357</v>
      </c>
      <c r="Z31" s="230">
        <v>42289</v>
      </c>
    </row>
    <row r="32" spans="2:26" x14ac:dyDescent="0.25">
      <c r="B32" s="74">
        <v>42292</v>
      </c>
      <c r="C32" s="126" t="s">
        <v>635</v>
      </c>
      <c r="D32" s="129">
        <v>8296</v>
      </c>
      <c r="E32" s="71">
        <v>42296</v>
      </c>
      <c r="F32" s="70">
        <v>8296</v>
      </c>
      <c r="G32" s="77">
        <f t="shared" si="0"/>
        <v>0</v>
      </c>
      <c r="L32" s="126" t="s">
        <v>602</v>
      </c>
      <c r="M32" s="343">
        <v>276675</v>
      </c>
      <c r="N32" s="111"/>
      <c r="O32" s="186">
        <v>3245112</v>
      </c>
      <c r="P32" s="187">
        <v>65000</v>
      </c>
      <c r="Q32" s="230">
        <v>42272</v>
      </c>
      <c r="U32" s="126"/>
      <c r="V32" s="343"/>
      <c r="W32" s="111"/>
      <c r="X32" s="192">
        <v>3280392</v>
      </c>
      <c r="Y32" s="193">
        <v>60000</v>
      </c>
      <c r="Z32" s="230">
        <v>42290</v>
      </c>
    </row>
    <row r="33" spans="1:27" x14ac:dyDescent="0.25">
      <c r="B33" s="74">
        <v>42293</v>
      </c>
      <c r="C33" s="126" t="s">
        <v>636</v>
      </c>
      <c r="D33" s="70">
        <v>5561</v>
      </c>
      <c r="E33" s="71">
        <v>42296</v>
      </c>
      <c r="F33" s="70">
        <v>5561</v>
      </c>
      <c r="G33" s="77">
        <f t="shared" si="0"/>
        <v>0</v>
      </c>
      <c r="L33" s="126" t="s">
        <v>603</v>
      </c>
      <c r="M33" s="343">
        <v>13615</v>
      </c>
      <c r="N33" s="111"/>
      <c r="O33" s="186">
        <v>3245108</v>
      </c>
      <c r="P33" s="187">
        <v>50000</v>
      </c>
      <c r="Q33" s="230">
        <v>42272</v>
      </c>
      <c r="U33" s="126"/>
      <c r="V33" s="343"/>
      <c r="W33" s="111"/>
      <c r="X33" s="192">
        <v>3280391</v>
      </c>
      <c r="Y33" s="193">
        <v>50400</v>
      </c>
      <c r="Z33" s="230">
        <v>42290</v>
      </c>
    </row>
    <row r="34" spans="1:27" x14ac:dyDescent="0.25">
      <c r="A34" s="82"/>
      <c r="B34" s="74">
        <v>42293</v>
      </c>
      <c r="C34" s="126" t="s">
        <v>637</v>
      </c>
      <c r="D34" s="70">
        <v>178870.25</v>
      </c>
      <c r="E34" s="71" t="s">
        <v>649</v>
      </c>
      <c r="F34" s="70">
        <f>17887.25+160983</f>
        <v>178870.25</v>
      </c>
      <c r="G34" s="77">
        <f t="shared" si="0"/>
        <v>0</v>
      </c>
      <c r="L34" s="126" t="s">
        <v>604</v>
      </c>
      <c r="M34" s="343">
        <v>16436</v>
      </c>
      <c r="N34" s="111"/>
      <c r="O34" s="186">
        <v>3245107</v>
      </c>
      <c r="P34" s="187">
        <v>44546</v>
      </c>
      <c r="Q34" s="230">
        <v>42273</v>
      </c>
      <c r="U34" s="126"/>
      <c r="V34" s="343"/>
      <c r="W34" s="226"/>
      <c r="X34" s="192">
        <v>3280387</v>
      </c>
      <c r="Y34" s="193">
        <v>8248</v>
      </c>
      <c r="Z34" s="230">
        <v>42290</v>
      </c>
    </row>
    <row r="35" spans="1:27" x14ac:dyDescent="0.25">
      <c r="B35" s="74">
        <v>42294</v>
      </c>
      <c r="C35" s="126" t="s">
        <v>638</v>
      </c>
      <c r="D35" s="70">
        <v>23126.799999999999</v>
      </c>
      <c r="E35" s="71">
        <v>42296</v>
      </c>
      <c r="F35" s="70">
        <v>23126.799999999999</v>
      </c>
      <c r="G35" s="77">
        <f t="shared" si="0"/>
        <v>0</v>
      </c>
      <c r="L35" s="126" t="s">
        <v>605</v>
      </c>
      <c r="M35" s="343">
        <v>13647.9</v>
      </c>
      <c r="N35" s="111"/>
      <c r="O35" s="186">
        <v>3245106</v>
      </c>
      <c r="P35" s="187">
        <v>80000</v>
      </c>
      <c r="Q35" s="230">
        <v>42273</v>
      </c>
      <c r="U35" s="126"/>
      <c r="V35" s="343"/>
      <c r="W35" s="226"/>
      <c r="X35" s="192">
        <v>3280386</v>
      </c>
      <c r="Y35" s="193">
        <v>80000</v>
      </c>
      <c r="Z35" s="230">
        <v>42291</v>
      </c>
    </row>
    <row r="36" spans="1:27" x14ac:dyDescent="0.25">
      <c r="B36" s="74">
        <v>42294</v>
      </c>
      <c r="C36" s="126" t="s">
        <v>639</v>
      </c>
      <c r="D36" s="70">
        <v>306471</v>
      </c>
      <c r="E36" s="71" t="s">
        <v>649</v>
      </c>
      <c r="F36" s="70">
        <f>293749.43+12721.57</f>
        <v>306471</v>
      </c>
      <c r="G36" s="77">
        <f t="shared" si="0"/>
        <v>0</v>
      </c>
      <c r="L36" s="126" t="s">
        <v>606</v>
      </c>
      <c r="M36" s="343">
        <v>93892</v>
      </c>
      <c r="N36" s="190"/>
      <c r="O36" s="186">
        <v>3245105</v>
      </c>
      <c r="P36" s="187">
        <v>21372.5</v>
      </c>
      <c r="Q36" s="230">
        <v>42273</v>
      </c>
      <c r="U36" s="126"/>
      <c r="V36" s="343"/>
      <c r="W36" s="244"/>
      <c r="X36" s="192">
        <v>3280385</v>
      </c>
      <c r="Y36" s="193">
        <v>31194</v>
      </c>
      <c r="Z36" s="230">
        <v>42292</v>
      </c>
    </row>
    <row r="37" spans="1:27" x14ac:dyDescent="0.25">
      <c r="B37" s="74">
        <v>42296</v>
      </c>
      <c r="C37" s="126" t="s">
        <v>640</v>
      </c>
      <c r="D37" s="70">
        <v>15259.2</v>
      </c>
      <c r="E37" s="71">
        <v>42300</v>
      </c>
      <c r="F37" s="70">
        <v>15259.2</v>
      </c>
      <c r="G37" s="77">
        <f t="shared" si="0"/>
        <v>0</v>
      </c>
      <c r="L37" s="126" t="s">
        <v>607</v>
      </c>
      <c r="M37" s="343">
        <v>59366.400000000001</v>
      </c>
      <c r="N37" s="226"/>
      <c r="O37" s="186">
        <v>3245104</v>
      </c>
      <c r="P37" s="187">
        <v>30000</v>
      </c>
      <c r="Q37" s="230">
        <v>42273</v>
      </c>
      <c r="U37" s="121"/>
      <c r="V37" s="118"/>
      <c r="W37" s="121"/>
      <c r="X37" s="117" t="s">
        <v>470</v>
      </c>
      <c r="Y37" s="118">
        <v>1976</v>
      </c>
      <c r="Z37" s="120">
        <v>42293</v>
      </c>
      <c r="AA37" s="82">
        <v>42292</v>
      </c>
    </row>
    <row r="38" spans="1:27" ht="15" x14ac:dyDescent="0.25">
      <c r="B38" s="74">
        <v>42296</v>
      </c>
      <c r="C38" s="126" t="s">
        <v>643</v>
      </c>
      <c r="D38" s="70">
        <v>146067.6</v>
      </c>
      <c r="E38" s="71">
        <v>42300</v>
      </c>
      <c r="F38" s="70">
        <v>146067.6</v>
      </c>
      <c r="G38" s="77">
        <f t="shared" si="0"/>
        <v>0</v>
      </c>
      <c r="L38" s="126" t="s">
        <v>608</v>
      </c>
      <c r="M38" s="343">
        <v>33168</v>
      </c>
      <c r="N38" s="111"/>
      <c r="O38" s="192">
        <v>3245100</v>
      </c>
      <c r="P38" s="193">
        <v>58051</v>
      </c>
      <c r="Q38" s="230">
        <v>42274</v>
      </c>
      <c r="U38" s="121"/>
      <c r="V38" s="118"/>
      <c r="W38" s="121"/>
      <c r="X38" s="117">
        <v>3280383</v>
      </c>
      <c r="Y38" s="118">
        <v>12456.5</v>
      </c>
      <c r="Z38" s="120">
        <v>42292</v>
      </c>
    </row>
    <row r="39" spans="1:27" ht="15" x14ac:dyDescent="0.25">
      <c r="B39" s="74">
        <v>42297</v>
      </c>
      <c r="C39" s="126" t="s">
        <v>644</v>
      </c>
      <c r="D39" s="70">
        <v>11443.6</v>
      </c>
      <c r="E39" s="71">
        <v>42300</v>
      </c>
      <c r="F39" s="70">
        <v>11443.6</v>
      </c>
      <c r="G39" s="77">
        <f t="shared" si="0"/>
        <v>0</v>
      </c>
      <c r="L39" s="126" t="s">
        <v>609</v>
      </c>
      <c r="M39" s="343">
        <v>16456.5</v>
      </c>
      <c r="N39" s="111"/>
      <c r="O39" s="192">
        <v>3245025</v>
      </c>
      <c r="P39" s="193">
        <v>13300</v>
      </c>
      <c r="Q39" s="230">
        <v>42275</v>
      </c>
      <c r="U39" s="387"/>
      <c r="V39" s="414"/>
      <c r="W39" s="244"/>
      <c r="X39" s="192">
        <v>3280381</v>
      </c>
      <c r="Y39" s="193">
        <v>57000</v>
      </c>
      <c r="Z39" s="230">
        <v>42293</v>
      </c>
    </row>
    <row r="40" spans="1:27" ht="15" x14ac:dyDescent="0.25">
      <c r="B40" s="74">
        <v>42298</v>
      </c>
      <c r="C40" s="126" t="s">
        <v>645</v>
      </c>
      <c r="D40" s="70">
        <v>20488.599999999999</v>
      </c>
      <c r="E40" s="71">
        <v>42300</v>
      </c>
      <c r="F40" s="70">
        <v>20488.599999999999</v>
      </c>
      <c r="G40" s="77">
        <f t="shared" si="0"/>
        <v>0</v>
      </c>
      <c r="L40" s="126" t="s">
        <v>611</v>
      </c>
      <c r="M40" s="343">
        <v>32800</v>
      </c>
      <c r="N40" s="111"/>
      <c r="O40" s="192">
        <v>3245101</v>
      </c>
      <c r="P40" s="193">
        <v>40000</v>
      </c>
      <c r="Q40" s="230">
        <v>42275</v>
      </c>
      <c r="U40" s="121"/>
      <c r="V40" s="118">
        <v>0</v>
      </c>
      <c r="W40" s="121"/>
      <c r="X40" s="117"/>
      <c r="Y40" s="118">
        <v>0</v>
      </c>
      <c r="Z40" s="120"/>
    </row>
    <row r="41" spans="1:27" thickBot="1" x14ac:dyDescent="0.3">
      <c r="B41" s="74">
        <v>42297</v>
      </c>
      <c r="C41" s="126" t="s">
        <v>646</v>
      </c>
      <c r="D41" s="70">
        <v>331214.5</v>
      </c>
      <c r="E41" s="71">
        <v>42300</v>
      </c>
      <c r="F41" s="70">
        <v>331214.5</v>
      </c>
      <c r="G41" s="77">
        <f t="shared" si="0"/>
        <v>0</v>
      </c>
      <c r="L41" s="126" t="s">
        <v>610</v>
      </c>
      <c r="M41" s="343">
        <v>64160</v>
      </c>
      <c r="N41" s="111"/>
      <c r="O41" s="192">
        <v>3245098</v>
      </c>
      <c r="P41" s="193">
        <v>35000</v>
      </c>
      <c r="Q41" s="230">
        <v>42275</v>
      </c>
      <c r="U41" s="389"/>
      <c r="V41" s="389"/>
      <c r="W41" s="389"/>
      <c r="X41" s="390"/>
      <c r="Y41" s="391">
        <v>0</v>
      </c>
      <c r="Z41" s="392"/>
    </row>
    <row r="42" spans="1:27" ht="19.5" thickTop="1" x14ac:dyDescent="0.3">
      <c r="B42" s="74">
        <v>42299</v>
      </c>
      <c r="C42" s="126" t="s">
        <v>647</v>
      </c>
      <c r="D42" s="70">
        <v>16294.4</v>
      </c>
      <c r="E42" s="71" t="s">
        <v>655</v>
      </c>
      <c r="F42" s="70">
        <f>15245.93+1048.47</f>
        <v>16294.4</v>
      </c>
      <c r="G42" s="77">
        <f t="shared" si="0"/>
        <v>0</v>
      </c>
      <c r="L42" s="126" t="s">
        <v>612</v>
      </c>
      <c r="M42" s="343">
        <v>95712</v>
      </c>
      <c r="N42" s="226"/>
      <c r="O42" s="192">
        <v>3245097</v>
      </c>
      <c r="P42" s="193">
        <v>47000</v>
      </c>
      <c r="Q42" s="230">
        <v>42275</v>
      </c>
      <c r="U42" s="8"/>
      <c r="V42" s="290">
        <f>SUM(V23:V41)</f>
        <v>713424</v>
      </c>
      <c r="W42" s="393"/>
      <c r="X42" s="393"/>
      <c r="Y42" s="393">
        <f>SUM(Y23:Y41)</f>
        <v>713424</v>
      </c>
      <c r="Z42" s="388"/>
    </row>
    <row r="43" spans="1:27" ht="15" x14ac:dyDescent="0.25">
      <c r="B43" s="74">
        <v>42299</v>
      </c>
      <c r="C43" s="126" t="s">
        <v>650</v>
      </c>
      <c r="D43" s="70">
        <v>228805</v>
      </c>
      <c r="E43" s="71">
        <v>42303</v>
      </c>
      <c r="F43" s="70">
        <v>228805</v>
      </c>
      <c r="G43" s="77">
        <f t="shared" si="0"/>
        <v>0</v>
      </c>
      <c r="L43" s="126" t="s">
        <v>614</v>
      </c>
      <c r="M43" s="343">
        <v>31184.799999999999</v>
      </c>
      <c r="N43" s="226"/>
      <c r="O43" s="192">
        <v>3245096</v>
      </c>
      <c r="P43" s="193">
        <v>45000</v>
      </c>
      <c r="Q43" s="230">
        <v>42275</v>
      </c>
    </row>
    <row r="44" spans="1:27" ht="15" x14ac:dyDescent="0.25">
      <c r="B44" s="74">
        <v>42300</v>
      </c>
      <c r="C44" s="126" t="s">
        <v>651</v>
      </c>
      <c r="D44" s="70">
        <v>20472.3</v>
      </c>
      <c r="E44" s="71">
        <v>42303</v>
      </c>
      <c r="F44" s="70">
        <v>20472.3</v>
      </c>
      <c r="G44" s="77">
        <f t="shared" si="0"/>
        <v>0</v>
      </c>
      <c r="L44" s="126"/>
      <c r="M44" s="343">
        <v>0</v>
      </c>
      <c r="N44" s="244"/>
      <c r="O44" s="192">
        <v>3245095</v>
      </c>
      <c r="P44" s="193">
        <v>32952</v>
      </c>
      <c r="Q44" s="230">
        <v>42275</v>
      </c>
    </row>
    <row r="45" spans="1:27" thickBot="1" x14ac:dyDescent="0.3">
      <c r="B45" s="74">
        <v>42301</v>
      </c>
      <c r="C45" s="126" t="s">
        <v>652</v>
      </c>
      <c r="D45" s="70">
        <v>184544.8</v>
      </c>
      <c r="E45" s="146" t="s">
        <v>657</v>
      </c>
      <c r="F45" s="70">
        <f>61407.23+123137.57</f>
        <v>184544.80000000002</v>
      </c>
      <c r="G45" s="77">
        <f t="shared" si="0"/>
        <v>0</v>
      </c>
      <c r="L45" s="121"/>
      <c r="M45" s="118">
        <v>0</v>
      </c>
      <c r="N45" s="121"/>
      <c r="O45" s="117" t="s">
        <v>470</v>
      </c>
      <c r="P45" s="118">
        <v>28081</v>
      </c>
      <c r="Q45" s="120">
        <v>42276</v>
      </c>
    </row>
    <row r="46" spans="1:27" ht="19.5" thickBot="1" x14ac:dyDescent="0.35">
      <c r="B46" s="74">
        <v>42301</v>
      </c>
      <c r="C46" s="126" t="s">
        <v>653</v>
      </c>
      <c r="D46" s="70">
        <v>19087.2</v>
      </c>
      <c r="E46" s="146">
        <v>42306</v>
      </c>
      <c r="F46" s="70">
        <v>19087.2</v>
      </c>
      <c r="G46" s="77">
        <f t="shared" si="0"/>
        <v>0</v>
      </c>
      <c r="L46" s="121"/>
      <c r="M46" s="118">
        <v>0</v>
      </c>
      <c r="N46" s="121"/>
      <c r="O46" s="117">
        <v>3245094</v>
      </c>
      <c r="P46" s="118">
        <v>49000</v>
      </c>
      <c r="Q46" s="120">
        <v>42276</v>
      </c>
      <c r="U46" s="491">
        <v>1</v>
      </c>
      <c r="V46" s="96" t="s">
        <v>124</v>
      </c>
      <c r="W46" s="96"/>
      <c r="X46" s="97"/>
      <c r="Y46" s="366">
        <v>42303</v>
      </c>
      <c r="Z46" s="229"/>
    </row>
    <row r="47" spans="1:27" ht="16.5" thickBot="1" x14ac:dyDescent="0.3">
      <c r="B47" s="74">
        <v>42302</v>
      </c>
      <c r="C47" s="126" t="s">
        <v>654</v>
      </c>
      <c r="D47" s="70">
        <v>13117</v>
      </c>
      <c r="E47" s="146">
        <v>42306</v>
      </c>
      <c r="F47" s="274">
        <v>13117</v>
      </c>
      <c r="G47" s="77">
        <f t="shared" si="0"/>
        <v>0</v>
      </c>
      <c r="L47" s="387"/>
      <c r="M47" s="414">
        <v>0</v>
      </c>
      <c r="N47" s="244"/>
      <c r="O47" s="192">
        <v>3245093</v>
      </c>
      <c r="P47" s="193">
        <v>22773</v>
      </c>
      <c r="Q47" s="230">
        <v>42276</v>
      </c>
      <c r="U47" s="492"/>
      <c r="V47" s="100"/>
      <c r="W47" s="100"/>
      <c r="X47" s="101"/>
      <c r="Y47" s="102"/>
      <c r="Z47" s="229"/>
    </row>
    <row r="48" spans="1:27" ht="16.5" thickBot="1" x14ac:dyDescent="0.3">
      <c r="B48" s="74">
        <v>42303</v>
      </c>
      <c r="C48" s="126" t="s">
        <v>656</v>
      </c>
      <c r="D48" s="70">
        <v>8877</v>
      </c>
      <c r="E48" s="146" t="s">
        <v>669</v>
      </c>
      <c r="F48" s="274">
        <f>5174.73+3702.27</f>
        <v>8877</v>
      </c>
      <c r="G48" s="77">
        <f t="shared" si="0"/>
        <v>0</v>
      </c>
      <c r="L48" s="121"/>
      <c r="M48" s="118">
        <v>0</v>
      </c>
      <c r="N48" s="121"/>
      <c r="O48" s="117">
        <v>3245092</v>
      </c>
      <c r="P48" s="118">
        <v>49000</v>
      </c>
      <c r="Q48" s="120">
        <v>42277</v>
      </c>
      <c r="U48" s="302" t="s">
        <v>126</v>
      </c>
      <c r="V48" s="302" t="s">
        <v>127</v>
      </c>
      <c r="W48" s="302"/>
      <c r="X48" s="395" t="s">
        <v>128</v>
      </c>
      <c r="Y48" s="396" t="s">
        <v>129</v>
      </c>
      <c r="Z48" s="397"/>
    </row>
    <row r="49" spans="1:26" ht="17.25" thickTop="1" thickBot="1" x14ac:dyDescent="0.3">
      <c r="B49" s="74">
        <v>42305</v>
      </c>
      <c r="C49" s="126" t="s">
        <v>658</v>
      </c>
      <c r="D49" s="70">
        <v>12972.2</v>
      </c>
      <c r="E49" s="146">
        <v>42312</v>
      </c>
      <c r="F49" s="274">
        <v>12972.2</v>
      </c>
      <c r="G49" s="77">
        <f t="shared" si="0"/>
        <v>0</v>
      </c>
      <c r="L49" s="389"/>
      <c r="M49" s="389"/>
      <c r="N49" s="389"/>
      <c r="O49" s="390"/>
      <c r="P49" s="391">
        <v>0</v>
      </c>
      <c r="Q49" s="392"/>
      <c r="U49" s="394" t="s">
        <v>647</v>
      </c>
      <c r="V49" s="298">
        <v>1048.47</v>
      </c>
      <c r="W49" s="298"/>
      <c r="X49" s="424">
        <v>3280669</v>
      </c>
      <c r="Y49" s="425">
        <v>8490</v>
      </c>
      <c r="Z49" s="301">
        <v>42292</v>
      </c>
    </row>
    <row r="50" spans="1:26" ht="19.5" thickTop="1" x14ac:dyDescent="0.3">
      <c r="B50" s="74">
        <v>42306</v>
      </c>
      <c r="C50" s="126" t="s">
        <v>659</v>
      </c>
      <c r="D50" s="70">
        <v>54516.9</v>
      </c>
      <c r="E50" s="146">
        <v>42312</v>
      </c>
      <c r="F50" s="274">
        <v>54516.9</v>
      </c>
      <c r="G50" s="77">
        <f t="shared" si="0"/>
        <v>0</v>
      </c>
      <c r="L50" s="8"/>
      <c r="M50" s="290">
        <f>SUM(M31:M49)</f>
        <v>748674.50000000012</v>
      </c>
      <c r="N50" s="393"/>
      <c r="O50" s="393"/>
      <c r="P50" s="393">
        <f>SUM(P31:P49)</f>
        <v>748674.5</v>
      </c>
      <c r="Q50" s="388"/>
      <c r="U50" s="126" t="s">
        <v>650</v>
      </c>
      <c r="V50" s="70">
        <v>228805</v>
      </c>
      <c r="W50" s="111"/>
      <c r="X50" s="192">
        <v>3280384</v>
      </c>
      <c r="Y50" s="193">
        <v>90000</v>
      </c>
      <c r="Z50" s="230">
        <v>42292</v>
      </c>
    </row>
    <row r="51" spans="1:26" x14ac:dyDescent="0.25">
      <c r="B51" s="74">
        <v>42307</v>
      </c>
      <c r="C51" s="126" t="s">
        <v>660</v>
      </c>
      <c r="D51" s="70">
        <v>32998.949999999997</v>
      </c>
      <c r="E51" s="146">
        <v>42312</v>
      </c>
      <c r="F51" s="274">
        <v>32998.949999999997</v>
      </c>
      <c r="G51" s="77">
        <f t="shared" si="0"/>
        <v>0</v>
      </c>
      <c r="U51" s="126" t="s">
        <v>651</v>
      </c>
      <c r="V51" s="70">
        <v>20472.3</v>
      </c>
      <c r="W51" s="111"/>
      <c r="X51" s="186" t="s">
        <v>470</v>
      </c>
      <c r="Y51" s="187">
        <v>8228</v>
      </c>
      <c r="Z51" s="230">
        <v>42293</v>
      </c>
    </row>
    <row r="52" spans="1:26" x14ac:dyDescent="0.25">
      <c r="B52" s="74">
        <v>42307</v>
      </c>
      <c r="C52" s="126" t="s">
        <v>661</v>
      </c>
      <c r="D52" s="70">
        <v>56748.3</v>
      </c>
      <c r="E52" s="146">
        <v>42312</v>
      </c>
      <c r="F52" s="274">
        <v>56748.3</v>
      </c>
      <c r="G52" s="77">
        <f t="shared" si="0"/>
        <v>0</v>
      </c>
      <c r="U52" s="126" t="s">
        <v>652</v>
      </c>
      <c r="V52" s="70">
        <v>61407.23</v>
      </c>
      <c r="W52" s="111" t="s">
        <v>165</v>
      </c>
      <c r="X52" s="186">
        <v>3280382</v>
      </c>
      <c r="Y52" s="187">
        <v>68000</v>
      </c>
      <c r="Z52" s="230">
        <v>42293</v>
      </c>
    </row>
    <row r="53" spans="1:26" ht="16.5" thickBot="1" x14ac:dyDescent="0.3">
      <c r="B53" s="74">
        <v>42308</v>
      </c>
      <c r="C53" s="126" t="s">
        <v>662</v>
      </c>
      <c r="D53" s="70">
        <v>16295.4</v>
      </c>
      <c r="E53" s="146">
        <v>42312</v>
      </c>
      <c r="F53" s="274">
        <v>16295.4</v>
      </c>
      <c r="G53" s="77">
        <f t="shared" si="0"/>
        <v>0</v>
      </c>
      <c r="U53" s="126"/>
      <c r="V53" s="70"/>
      <c r="W53" s="111"/>
      <c r="X53" s="186">
        <v>3280380</v>
      </c>
      <c r="Y53" s="187">
        <v>33175</v>
      </c>
      <c r="Z53" s="230">
        <v>42293</v>
      </c>
    </row>
    <row r="54" spans="1:26" ht="19.5" thickBot="1" x14ac:dyDescent="0.35">
      <c r="B54" s="74">
        <v>42308</v>
      </c>
      <c r="C54" s="126" t="s">
        <v>667</v>
      </c>
      <c r="D54" s="70">
        <v>8339.4</v>
      </c>
      <c r="E54" s="146">
        <v>42318</v>
      </c>
      <c r="F54" s="274">
        <v>8339.4</v>
      </c>
      <c r="G54" s="77">
        <f t="shared" si="0"/>
        <v>0</v>
      </c>
      <c r="L54" s="491">
        <v>1</v>
      </c>
      <c r="M54" s="96" t="s">
        <v>124</v>
      </c>
      <c r="N54" s="96"/>
      <c r="O54" s="97"/>
      <c r="P54" s="399">
        <v>42293</v>
      </c>
      <c r="Q54" s="229"/>
      <c r="U54" s="126"/>
      <c r="V54" s="70"/>
      <c r="W54" s="190"/>
      <c r="X54" s="186">
        <v>3280379</v>
      </c>
      <c r="Y54" s="187">
        <v>48000</v>
      </c>
      <c r="Z54" s="230">
        <v>42294</v>
      </c>
    </row>
    <row r="55" spans="1:26" ht="16.5" thickBot="1" x14ac:dyDescent="0.3">
      <c r="A55" s="431" t="s">
        <v>670</v>
      </c>
      <c r="B55" s="74">
        <v>42308</v>
      </c>
      <c r="C55" s="126" t="s">
        <v>668</v>
      </c>
      <c r="D55" s="70">
        <v>266010</v>
      </c>
      <c r="E55" s="146">
        <v>42318</v>
      </c>
      <c r="F55" s="274">
        <v>266010</v>
      </c>
      <c r="G55" s="77">
        <f t="shared" si="0"/>
        <v>0</v>
      </c>
      <c r="L55" s="492"/>
      <c r="M55" s="100"/>
      <c r="N55" s="100"/>
      <c r="O55" s="101"/>
      <c r="P55" s="102"/>
      <c r="Q55" s="229"/>
      <c r="U55" s="126"/>
      <c r="V55" s="343"/>
      <c r="W55" s="226"/>
      <c r="X55" s="186">
        <v>3280378</v>
      </c>
      <c r="Y55" s="187">
        <v>31000</v>
      </c>
      <c r="Z55" s="230">
        <v>42294</v>
      </c>
    </row>
    <row r="56" spans="1:26" ht="16.5" thickBot="1" x14ac:dyDescent="0.3">
      <c r="B56" s="74"/>
      <c r="C56" s="126"/>
      <c r="D56" s="70"/>
      <c r="E56" s="146"/>
      <c r="F56" s="274"/>
      <c r="G56" s="77">
        <f t="shared" si="0"/>
        <v>0</v>
      </c>
      <c r="L56" s="302" t="s">
        <v>126</v>
      </c>
      <c r="M56" s="302" t="s">
        <v>127</v>
      </c>
      <c r="N56" s="302"/>
      <c r="O56" s="395" t="s">
        <v>128</v>
      </c>
      <c r="P56" s="396" t="s">
        <v>129</v>
      </c>
      <c r="Q56" s="397"/>
      <c r="U56" s="126"/>
      <c r="V56" s="343"/>
      <c r="W56" s="111"/>
      <c r="X56" s="186">
        <v>32845253</v>
      </c>
      <c r="Y56" s="187">
        <v>24840</v>
      </c>
      <c r="Z56" s="230">
        <v>42294</v>
      </c>
    </row>
    <row r="57" spans="1:26" ht="16.5" thickTop="1" x14ac:dyDescent="0.25">
      <c r="B57" s="74"/>
      <c r="C57" s="126"/>
      <c r="D57" s="70"/>
      <c r="E57" s="146"/>
      <c r="F57" s="275"/>
      <c r="G57" s="77">
        <f t="shared" si="0"/>
        <v>0</v>
      </c>
      <c r="L57" s="126" t="s">
        <v>626</v>
      </c>
      <c r="M57" s="129">
        <v>355014.12</v>
      </c>
      <c r="N57" s="298"/>
      <c r="O57" s="299">
        <v>3245091</v>
      </c>
      <c r="P57" s="300">
        <v>30000</v>
      </c>
      <c r="Q57" s="301">
        <v>42277</v>
      </c>
      <c r="U57" s="126"/>
      <c r="V57" s="343"/>
      <c r="W57" s="111"/>
      <c r="X57" s="186"/>
      <c r="Y57" s="187"/>
      <c r="Z57" s="230"/>
    </row>
    <row r="58" spans="1:26" x14ac:dyDescent="0.25">
      <c r="B58" s="74"/>
      <c r="C58" s="126"/>
      <c r="D58" s="70"/>
      <c r="E58" s="146"/>
      <c r="F58" s="246"/>
      <c r="G58" s="77">
        <f t="shared" si="0"/>
        <v>0</v>
      </c>
      <c r="L58" s="126" t="s">
        <v>616</v>
      </c>
      <c r="M58" s="70">
        <v>5376.6</v>
      </c>
      <c r="N58" s="111"/>
      <c r="O58" s="186">
        <v>3245090</v>
      </c>
      <c r="P58" s="187">
        <v>23880</v>
      </c>
      <c r="Q58" s="230">
        <v>42277</v>
      </c>
      <c r="U58" s="126"/>
      <c r="V58" s="343"/>
      <c r="W58" s="111"/>
      <c r="X58" s="192"/>
      <c r="Y58" s="193"/>
      <c r="Z58" s="230"/>
    </row>
    <row r="59" spans="1:26" x14ac:dyDescent="0.25">
      <c r="B59" s="74"/>
      <c r="C59" s="126"/>
      <c r="D59" s="70"/>
      <c r="E59" s="71"/>
      <c r="F59" s="213"/>
      <c r="G59" s="77">
        <f t="shared" si="0"/>
        <v>0</v>
      </c>
      <c r="L59" s="126" t="s">
        <v>617</v>
      </c>
      <c r="M59" s="70">
        <v>88483.199999999997</v>
      </c>
      <c r="N59" s="111"/>
      <c r="O59" s="186">
        <v>3245261</v>
      </c>
      <c r="P59" s="187">
        <v>43751</v>
      </c>
      <c r="Q59" s="230">
        <v>42275</v>
      </c>
      <c r="R59" s="82">
        <v>42278</v>
      </c>
      <c r="U59" s="126"/>
      <c r="V59" s="343"/>
      <c r="W59" s="111"/>
      <c r="X59" s="192"/>
      <c r="Y59" s="193"/>
      <c r="Z59" s="230"/>
    </row>
    <row r="60" spans="1:26" ht="16.5" thickBot="1" x14ac:dyDescent="0.3">
      <c r="B60" s="74"/>
      <c r="C60" s="126"/>
      <c r="D60" s="70"/>
      <c r="E60" s="131"/>
      <c r="F60" s="85"/>
      <c r="G60" s="77">
        <f t="shared" si="0"/>
        <v>0</v>
      </c>
      <c r="L60" s="126" t="s">
        <v>614</v>
      </c>
      <c r="M60" s="343">
        <v>13806.4</v>
      </c>
      <c r="N60" s="111"/>
      <c r="O60" s="186">
        <v>3245089</v>
      </c>
      <c r="P60" s="187">
        <v>68000</v>
      </c>
      <c r="Q60" s="230">
        <v>42278</v>
      </c>
      <c r="U60" s="373"/>
      <c r="V60" s="427">
        <v>0</v>
      </c>
      <c r="W60" s="375"/>
      <c r="X60" s="406"/>
      <c r="Y60" s="377">
        <v>0</v>
      </c>
      <c r="Z60" s="378"/>
    </row>
    <row r="61" spans="1:26" ht="16.5" thickTop="1" x14ac:dyDescent="0.25">
      <c r="B61" s="74"/>
      <c r="C61" s="126"/>
      <c r="D61" s="70"/>
      <c r="E61" s="131"/>
      <c r="F61" s="85"/>
      <c r="G61" s="77">
        <f t="shared" si="0"/>
        <v>0</v>
      </c>
      <c r="L61" s="126" t="s">
        <v>613</v>
      </c>
      <c r="M61" s="70">
        <v>7114.8</v>
      </c>
      <c r="N61" s="111"/>
      <c r="O61" s="186">
        <v>3245088</v>
      </c>
      <c r="P61" s="187">
        <v>70000</v>
      </c>
      <c r="Q61" s="230">
        <v>42278</v>
      </c>
      <c r="U61" s="350"/>
      <c r="V61" s="426">
        <f>SUM(V49:V60)</f>
        <v>311733</v>
      </c>
      <c r="W61" s="145"/>
      <c r="X61" s="204"/>
      <c r="Y61" s="89">
        <f>SUM(Y49:Y60)</f>
        <v>311733</v>
      </c>
      <c r="Z61" s="233"/>
    </row>
    <row r="62" spans="1:26" x14ac:dyDescent="0.25">
      <c r="B62" s="74"/>
      <c r="C62" s="126"/>
      <c r="D62" s="70"/>
      <c r="E62" s="131"/>
      <c r="F62" s="85"/>
      <c r="G62" s="77">
        <f t="shared" si="0"/>
        <v>0</v>
      </c>
      <c r="L62" s="126" t="s">
        <v>618</v>
      </c>
      <c r="M62" s="70">
        <v>29188.25</v>
      </c>
      <c r="N62" s="190"/>
      <c r="O62" s="186">
        <v>3245087</v>
      </c>
      <c r="P62" s="187">
        <v>22172.5</v>
      </c>
      <c r="Q62" s="230">
        <v>42278</v>
      </c>
    </row>
    <row r="63" spans="1:26" ht="16.5" thickBot="1" x14ac:dyDescent="0.3">
      <c r="B63" s="74"/>
      <c r="C63" s="126"/>
      <c r="D63" s="70"/>
      <c r="E63" s="131"/>
      <c r="F63" s="85"/>
      <c r="G63" s="77">
        <f t="shared" si="0"/>
        <v>0</v>
      </c>
      <c r="L63" s="126" t="s">
        <v>619</v>
      </c>
      <c r="M63" s="70">
        <v>57609.5</v>
      </c>
      <c r="N63" s="226"/>
      <c r="O63" s="186" t="s">
        <v>631</v>
      </c>
      <c r="P63" s="187">
        <v>24895</v>
      </c>
      <c r="Q63" s="230">
        <v>42282</v>
      </c>
      <c r="R63" s="82">
        <v>42279</v>
      </c>
    </row>
    <row r="64" spans="1:26" ht="19.5" customHeight="1" thickBot="1" x14ac:dyDescent="0.35">
      <c r="B64" s="74"/>
      <c r="C64" s="126"/>
      <c r="D64" s="70"/>
      <c r="E64" s="131"/>
      <c r="F64" s="85"/>
      <c r="G64" s="77">
        <f t="shared" si="0"/>
        <v>0</v>
      </c>
      <c r="L64" s="126" t="s">
        <v>620</v>
      </c>
      <c r="M64" s="70">
        <v>14851.5</v>
      </c>
      <c r="N64" s="111"/>
      <c r="O64" s="192">
        <v>3245086</v>
      </c>
      <c r="P64" s="193">
        <v>30000</v>
      </c>
      <c r="Q64" s="230">
        <v>42279</v>
      </c>
      <c r="U64" s="491">
        <v>1</v>
      </c>
      <c r="V64" s="96" t="s">
        <v>124</v>
      </c>
      <c r="W64" s="96"/>
      <c r="X64" s="97"/>
      <c r="Y64" s="429">
        <v>42306</v>
      </c>
      <c r="Z64" s="229"/>
    </row>
    <row r="65" spans="2:26" ht="16.5" customHeight="1" thickBot="1" x14ac:dyDescent="0.3">
      <c r="B65" s="74"/>
      <c r="C65" s="126"/>
      <c r="D65" s="70"/>
      <c r="E65" s="131"/>
      <c r="F65" s="85"/>
      <c r="G65" s="77">
        <f t="shared" si="0"/>
        <v>0</v>
      </c>
      <c r="L65" s="126" t="s">
        <v>621</v>
      </c>
      <c r="M65" s="70">
        <v>5552.88</v>
      </c>
      <c r="N65" s="111"/>
      <c r="O65" s="192">
        <v>3245085</v>
      </c>
      <c r="P65" s="193">
        <v>35000</v>
      </c>
      <c r="Q65" s="230">
        <v>42279</v>
      </c>
      <c r="U65" s="492"/>
      <c r="V65" s="100"/>
      <c r="W65" s="100"/>
      <c r="X65" s="101"/>
      <c r="Y65" s="102"/>
      <c r="Z65" s="229"/>
    </row>
    <row r="66" spans="2:26" ht="16.5" thickBot="1" x14ac:dyDescent="0.3">
      <c r="B66" s="74"/>
      <c r="C66" s="126"/>
      <c r="D66" s="70"/>
      <c r="E66" s="131"/>
      <c r="F66" s="85"/>
      <c r="G66" s="77">
        <f t="shared" ref="G66:G68" si="2">D66-F66</f>
        <v>0</v>
      </c>
      <c r="L66" s="126" t="s">
        <v>622</v>
      </c>
      <c r="M66" s="70">
        <v>10816.2</v>
      </c>
      <c r="N66" s="111"/>
      <c r="O66" s="192">
        <v>3245084</v>
      </c>
      <c r="P66" s="193">
        <v>35000</v>
      </c>
      <c r="Q66" s="230">
        <v>42279</v>
      </c>
      <c r="U66" s="302" t="s">
        <v>126</v>
      </c>
      <c r="V66" s="302" t="s">
        <v>127</v>
      </c>
      <c r="W66" s="302"/>
      <c r="X66" s="395" t="s">
        <v>128</v>
      </c>
      <c r="Y66" s="396" t="s">
        <v>129</v>
      </c>
      <c r="Z66" s="397"/>
    </row>
    <row r="67" spans="2:26" ht="16.5" thickTop="1" x14ac:dyDescent="0.25">
      <c r="B67" s="74"/>
      <c r="C67" s="126"/>
      <c r="D67" s="70"/>
      <c r="E67" s="131"/>
      <c r="F67" s="85"/>
      <c r="G67" s="77">
        <f t="shared" si="2"/>
        <v>0</v>
      </c>
      <c r="L67" s="126" t="s">
        <v>627</v>
      </c>
      <c r="M67" s="70">
        <v>302183.69</v>
      </c>
      <c r="N67" s="111"/>
      <c r="O67" s="192">
        <v>3245081</v>
      </c>
      <c r="P67" s="193">
        <v>50000</v>
      </c>
      <c r="Q67" s="230">
        <v>42279</v>
      </c>
      <c r="U67" s="394" t="s">
        <v>652</v>
      </c>
      <c r="V67" s="298">
        <v>123137.57</v>
      </c>
      <c r="W67" s="298"/>
      <c r="X67" s="424">
        <v>3280376</v>
      </c>
      <c r="Y67" s="425">
        <v>30506</v>
      </c>
      <c r="Z67" s="301">
        <v>42294</v>
      </c>
    </row>
    <row r="68" spans="2:26" thickBot="1" x14ac:dyDescent="0.3">
      <c r="B68" s="23"/>
      <c r="C68" s="142"/>
      <c r="D68" s="133"/>
      <c r="E68" s="142"/>
      <c r="F68" s="143"/>
      <c r="G68" s="134">
        <f t="shared" si="2"/>
        <v>0</v>
      </c>
      <c r="L68" s="126" t="s">
        <v>623</v>
      </c>
      <c r="M68" s="70">
        <v>13565.4</v>
      </c>
      <c r="N68" s="226"/>
      <c r="O68" s="192" t="s">
        <v>470</v>
      </c>
      <c r="P68" s="193">
        <v>56934</v>
      </c>
      <c r="Q68" s="230">
        <v>42279</v>
      </c>
      <c r="R68" s="82">
        <v>42280</v>
      </c>
      <c r="U68" s="126" t="s">
        <v>653</v>
      </c>
      <c r="V68" s="70">
        <v>19087.2</v>
      </c>
      <c r="W68" s="111"/>
      <c r="X68" s="192">
        <v>3280377</v>
      </c>
      <c r="Y68" s="193">
        <v>50000</v>
      </c>
      <c r="Z68" s="230">
        <v>42294</v>
      </c>
    </row>
    <row r="69" spans="2:26" ht="16.5" thickTop="1" x14ac:dyDescent="0.25">
      <c r="B69"/>
      <c r="C69"/>
      <c r="D69" s="132">
        <f>SUM(D4:D68)</f>
        <v>3864342.92</v>
      </c>
      <c r="E69" s="132"/>
      <c r="F69" s="144">
        <f t="shared" ref="F69" si="3">SUM(F4:F68)</f>
        <v>3864342.92</v>
      </c>
      <c r="G69" s="144">
        <f>SUM(G4:G68)</f>
        <v>0</v>
      </c>
      <c r="L69" s="126" t="s">
        <v>628</v>
      </c>
      <c r="M69" s="70">
        <v>12198</v>
      </c>
      <c r="N69" s="226"/>
      <c r="O69" s="192">
        <v>3280503</v>
      </c>
      <c r="P69" s="193">
        <v>11393</v>
      </c>
      <c r="Q69" s="230">
        <v>42280</v>
      </c>
      <c r="U69" s="126" t="s">
        <v>654</v>
      </c>
      <c r="V69" s="70">
        <v>13117</v>
      </c>
      <c r="W69" s="111"/>
      <c r="X69" s="186">
        <v>3280375</v>
      </c>
      <c r="Y69" s="187">
        <v>70000</v>
      </c>
      <c r="Z69" s="230">
        <v>42295</v>
      </c>
    </row>
    <row r="70" spans="2:26" x14ac:dyDescent="0.25">
      <c r="B70" s="8"/>
      <c r="C70" s="8"/>
      <c r="E70" s="8"/>
      <c r="F70" s="145"/>
      <c r="G70" s="145"/>
      <c r="H70" s="8"/>
      <c r="L70" s="126" t="s">
        <v>629</v>
      </c>
      <c r="M70" s="70">
        <v>149782.91</v>
      </c>
      <c r="N70" s="244"/>
      <c r="O70" s="192">
        <v>3245078</v>
      </c>
      <c r="P70" s="193">
        <v>40000</v>
      </c>
      <c r="Q70" s="230">
        <v>42280</v>
      </c>
      <c r="U70" s="126" t="s">
        <v>656</v>
      </c>
      <c r="V70" s="70">
        <v>5174.7299999999996</v>
      </c>
      <c r="W70" s="111"/>
      <c r="X70" s="186">
        <v>3280368</v>
      </c>
      <c r="Y70" s="187">
        <v>10010.5</v>
      </c>
      <c r="Z70" s="230">
        <v>42297</v>
      </c>
    </row>
    <row r="71" spans="2:26" x14ac:dyDescent="0.25">
      <c r="L71" s="126" t="s">
        <v>630</v>
      </c>
      <c r="M71" s="70">
        <v>24431.55</v>
      </c>
      <c r="N71" s="121"/>
      <c r="O71" s="117">
        <v>3245082</v>
      </c>
      <c r="P71" s="118">
        <v>39000</v>
      </c>
      <c r="Q71" s="120">
        <v>42280</v>
      </c>
      <c r="U71" s="126"/>
      <c r="V71" s="70">
        <v>0</v>
      </c>
      <c r="W71" s="111"/>
      <c r="X71" s="186"/>
      <c r="Y71" s="187">
        <v>0</v>
      </c>
      <c r="Z71" s="230"/>
    </row>
    <row r="72" spans="2:26" x14ac:dyDescent="0.25">
      <c r="L72" s="121"/>
      <c r="M72" s="118">
        <v>0</v>
      </c>
      <c r="N72" s="121"/>
      <c r="O72" s="117">
        <v>3245083</v>
      </c>
      <c r="P72" s="118">
        <v>35000</v>
      </c>
      <c r="Q72" s="120">
        <v>42280</v>
      </c>
      <c r="U72" s="126"/>
      <c r="V72" s="70">
        <v>0</v>
      </c>
      <c r="W72" s="190"/>
      <c r="X72" s="186"/>
      <c r="Y72" s="187">
        <v>0</v>
      </c>
      <c r="Z72" s="230"/>
    </row>
    <row r="73" spans="2:26" ht="16.5" thickBot="1" x14ac:dyDescent="0.3">
      <c r="L73" s="387"/>
      <c r="M73" s="414">
        <v>0</v>
      </c>
      <c r="N73" s="244"/>
      <c r="O73" s="192">
        <v>3245079</v>
      </c>
      <c r="P73" s="193">
        <v>27296.5</v>
      </c>
      <c r="Q73" s="230">
        <v>42280</v>
      </c>
      <c r="U73" s="373"/>
      <c r="V73" s="427">
        <f>SUM(V67:V72)</f>
        <v>160516.50000000003</v>
      </c>
      <c r="W73" s="375"/>
      <c r="X73" s="400"/>
      <c r="Y73" s="401">
        <v>0</v>
      </c>
      <c r="Z73" s="378"/>
    </row>
    <row r="74" spans="2:26" ht="16.5" thickTop="1" x14ac:dyDescent="0.25">
      <c r="L74" s="121"/>
      <c r="M74" s="118">
        <v>0</v>
      </c>
      <c r="N74" s="121"/>
      <c r="O74" s="117">
        <v>3245077</v>
      </c>
      <c r="P74" s="118">
        <v>61579</v>
      </c>
      <c r="Q74" s="120">
        <v>42281</v>
      </c>
      <c r="U74" s="350"/>
      <c r="V74" s="426"/>
      <c r="W74" s="203"/>
      <c r="X74" s="214"/>
      <c r="Y74" s="379">
        <f>SUM(Y67:Y73)</f>
        <v>160516.5</v>
      </c>
      <c r="Z74" s="233"/>
    </row>
    <row r="75" spans="2:26" x14ac:dyDescent="0.25">
      <c r="L75" s="121"/>
      <c r="M75" s="118">
        <v>0</v>
      </c>
      <c r="N75" s="121"/>
      <c r="O75" s="117">
        <v>3245068</v>
      </c>
      <c r="P75" s="118">
        <v>67000</v>
      </c>
      <c r="Q75" s="120">
        <v>42284</v>
      </c>
      <c r="U75" s="350"/>
      <c r="V75" s="426"/>
      <c r="W75" s="203"/>
      <c r="X75" s="214"/>
      <c r="Y75" s="215"/>
      <c r="Z75" s="233"/>
    </row>
    <row r="76" spans="2:26" x14ac:dyDescent="0.25">
      <c r="L76" s="121"/>
      <c r="M76" s="118">
        <v>0</v>
      </c>
      <c r="N76" s="121"/>
      <c r="O76" s="117">
        <v>3245067</v>
      </c>
      <c r="P76" s="118">
        <v>14300</v>
      </c>
      <c r="Q76" s="120">
        <v>42284</v>
      </c>
      <c r="U76" s="350"/>
      <c r="V76" s="426"/>
      <c r="W76" s="203"/>
      <c r="X76" s="204"/>
      <c r="Y76" s="205"/>
      <c r="Z76" s="233"/>
    </row>
    <row r="77" spans="2:26" ht="15" x14ac:dyDescent="0.25">
      <c r="B77"/>
      <c r="C77"/>
      <c r="E77"/>
      <c r="F77" s="23"/>
      <c r="L77" s="121"/>
      <c r="M77" s="118">
        <v>0</v>
      </c>
      <c r="N77" s="121"/>
      <c r="O77" s="117" t="s">
        <v>470</v>
      </c>
      <c r="P77" s="118">
        <v>6497</v>
      </c>
      <c r="Q77" s="120">
        <v>42278</v>
      </c>
      <c r="R77" s="82">
        <v>42283</v>
      </c>
      <c r="U77" s="350"/>
      <c r="V77" s="426"/>
      <c r="W77" s="203"/>
      <c r="X77" s="204"/>
      <c r="Y77" s="205"/>
      <c r="Z77" s="233"/>
    </row>
    <row r="78" spans="2:26" ht="15" x14ac:dyDescent="0.25">
      <c r="B78"/>
      <c r="C78"/>
      <c r="E78"/>
      <c r="F78" s="23"/>
      <c r="L78" s="121"/>
      <c r="M78" s="118">
        <v>0</v>
      </c>
      <c r="N78" s="121"/>
      <c r="O78" s="117">
        <v>3245069</v>
      </c>
      <c r="P78" s="118">
        <v>20000</v>
      </c>
      <c r="Q78" s="120">
        <v>42283</v>
      </c>
      <c r="U78" s="350"/>
      <c r="V78" s="426"/>
      <c r="W78" s="145"/>
      <c r="X78" s="204"/>
      <c r="Y78" s="205"/>
      <c r="Z78" s="233"/>
    </row>
    <row r="79" spans="2:26" ht="19.5" customHeight="1" x14ac:dyDescent="0.25">
      <c r="B79"/>
      <c r="C79"/>
      <c r="E79"/>
      <c r="F79" s="23"/>
      <c r="L79" s="121"/>
      <c r="M79" s="118">
        <v>0</v>
      </c>
      <c r="N79" s="121"/>
      <c r="O79" s="117">
        <v>3245070</v>
      </c>
      <c r="P79" s="118">
        <v>25467.5</v>
      </c>
      <c r="Q79" s="120">
        <v>42283</v>
      </c>
      <c r="U79" s="350"/>
      <c r="V79" s="426"/>
      <c r="W79" s="145"/>
      <c r="X79" s="204"/>
      <c r="Y79" s="89"/>
      <c r="Z79" s="233"/>
    </row>
    <row r="80" spans="2:26" ht="16.5" customHeight="1" x14ac:dyDescent="0.25">
      <c r="B80"/>
      <c r="C80"/>
      <c r="E80"/>
      <c r="F80" s="23"/>
      <c r="L80" s="121"/>
      <c r="M80" s="118"/>
      <c r="N80" s="121"/>
      <c r="O80" s="121" t="s">
        <v>470</v>
      </c>
      <c r="P80" s="118">
        <v>6655</v>
      </c>
      <c r="Q80" s="120">
        <v>42282</v>
      </c>
      <c r="U80" s="8"/>
      <c r="V80" s="8"/>
      <c r="W80" s="8"/>
      <c r="X80" s="8"/>
      <c r="Y80" s="8"/>
      <c r="Z80" s="8"/>
    </row>
    <row r="81" spans="2:17" ht="15" x14ac:dyDescent="0.25">
      <c r="B81"/>
      <c r="C81"/>
      <c r="E81"/>
      <c r="F81" s="23"/>
      <c r="L81" s="121"/>
      <c r="M81" s="118"/>
      <c r="N81" s="121"/>
      <c r="O81" s="117">
        <v>3245076</v>
      </c>
      <c r="P81" s="118">
        <v>40000</v>
      </c>
      <c r="Q81" s="120">
        <v>42282</v>
      </c>
    </row>
    <row r="82" spans="2:17" ht="15" x14ac:dyDescent="0.25">
      <c r="B82"/>
      <c r="C82"/>
      <c r="E82"/>
      <c r="F82" s="23"/>
      <c r="L82" s="121"/>
      <c r="M82" s="118"/>
      <c r="N82" s="121"/>
      <c r="O82" s="117">
        <v>3245075</v>
      </c>
      <c r="P82" s="118">
        <v>56500</v>
      </c>
      <c r="Q82" s="120">
        <v>42282</v>
      </c>
    </row>
    <row r="83" spans="2:17" ht="15" x14ac:dyDescent="0.25">
      <c r="B83"/>
      <c r="C83"/>
      <c r="E83"/>
      <c r="F83" s="23"/>
      <c r="L83" s="121"/>
      <c r="M83" s="118"/>
      <c r="N83" s="121"/>
      <c r="O83" s="117">
        <v>3245074</v>
      </c>
      <c r="P83" s="118">
        <v>55000</v>
      </c>
      <c r="Q83" s="120">
        <v>42282</v>
      </c>
    </row>
    <row r="84" spans="2:17" ht="15" x14ac:dyDescent="0.25">
      <c r="B84"/>
      <c r="C84"/>
      <c r="E84"/>
      <c r="F84" s="23"/>
      <c r="L84" s="121"/>
      <c r="M84" s="118"/>
      <c r="N84" s="121"/>
      <c r="O84" s="117">
        <v>3245073</v>
      </c>
      <c r="P84" s="118">
        <v>30000</v>
      </c>
      <c r="Q84" s="120">
        <v>42282</v>
      </c>
    </row>
    <row r="85" spans="2:17" ht="15" x14ac:dyDescent="0.25">
      <c r="B85"/>
      <c r="C85"/>
      <c r="E85"/>
      <c r="F85" s="23"/>
      <c r="L85" s="121"/>
      <c r="M85" s="118"/>
      <c r="N85" s="121"/>
      <c r="O85" s="117">
        <v>3245072</v>
      </c>
      <c r="P85" s="118">
        <v>13809</v>
      </c>
      <c r="Q85" s="120">
        <v>42282</v>
      </c>
    </row>
    <row r="86" spans="2:17" ht="15" x14ac:dyDescent="0.25">
      <c r="B86"/>
      <c r="C86"/>
      <c r="E86"/>
      <c r="F86" s="23"/>
      <c r="L86" s="121"/>
      <c r="M86" s="118"/>
      <c r="N86" s="121"/>
      <c r="O86" s="117">
        <v>3280485</v>
      </c>
      <c r="P86" s="118">
        <v>9484</v>
      </c>
      <c r="Q86" s="120">
        <v>42283</v>
      </c>
    </row>
    <row r="87" spans="2:17" ht="15" x14ac:dyDescent="0.25">
      <c r="B87"/>
      <c r="C87"/>
      <c r="E87"/>
      <c r="F87" s="23"/>
      <c r="L87" s="417"/>
      <c r="M87" s="418">
        <v>0</v>
      </c>
      <c r="N87" s="417"/>
      <c r="O87" s="419">
        <v>3280487</v>
      </c>
      <c r="P87" s="418">
        <v>6361.5</v>
      </c>
      <c r="Q87" s="420">
        <v>42283</v>
      </c>
    </row>
    <row r="88" spans="2:17" ht="15" x14ac:dyDescent="0.25">
      <c r="B88"/>
      <c r="C88"/>
      <c r="E88"/>
      <c r="F88" s="23"/>
      <c r="L88" s="121"/>
      <c r="M88" s="121"/>
      <c r="N88" s="121"/>
      <c r="O88" s="117">
        <v>3245065</v>
      </c>
      <c r="P88" s="118">
        <v>35000</v>
      </c>
      <c r="Q88" s="416">
        <v>42285</v>
      </c>
    </row>
    <row r="89" spans="2:17" ht="15" x14ac:dyDescent="0.25">
      <c r="B89"/>
      <c r="C89"/>
      <c r="E89"/>
      <c r="F89" s="23"/>
      <c r="L89" s="121"/>
      <c r="M89" s="121"/>
      <c r="N89" s="121"/>
      <c r="O89" s="121"/>
      <c r="P89" s="118"/>
      <c r="Q89" s="121"/>
    </row>
    <row r="90" spans="2:17" thickBot="1" x14ac:dyDescent="0.3">
      <c r="B90"/>
      <c r="C90"/>
      <c r="E90"/>
      <c r="F90" s="23"/>
      <c r="L90" s="389"/>
      <c r="M90" s="389"/>
      <c r="N90" s="389"/>
      <c r="O90" s="389"/>
      <c r="P90" s="391"/>
      <c r="Q90" s="389"/>
    </row>
    <row r="91" spans="2:17" ht="19.5" thickTop="1" x14ac:dyDescent="0.3">
      <c r="B91"/>
      <c r="C91"/>
      <c r="E91"/>
      <c r="F91" s="23"/>
      <c r="L91" s="8"/>
      <c r="M91" s="415">
        <f>SUM(M57:M87)</f>
        <v>1089975</v>
      </c>
      <c r="N91" s="393"/>
      <c r="O91" s="393"/>
      <c r="P91" s="393">
        <f>SUM(P57:P89)</f>
        <v>1089975</v>
      </c>
      <c r="Q91" s="388"/>
    </row>
    <row r="92" spans="2:17" ht="15" x14ac:dyDescent="0.25">
      <c r="B92"/>
      <c r="C92"/>
      <c r="E92"/>
      <c r="F92" s="23"/>
    </row>
    <row r="93" spans="2:17" ht="15" x14ac:dyDescent="0.25">
      <c r="B93"/>
      <c r="C93"/>
      <c r="E93"/>
      <c r="F93" s="23"/>
    </row>
    <row r="94" spans="2:17" ht="19.5" customHeight="1" x14ac:dyDescent="0.25">
      <c r="B94"/>
      <c r="C94"/>
      <c r="E94"/>
      <c r="F94" s="23"/>
    </row>
    <row r="95" spans="2:17" ht="16.5" customHeight="1" x14ac:dyDescent="0.25">
      <c r="B95"/>
      <c r="C95"/>
      <c r="E95"/>
      <c r="F95" s="23"/>
    </row>
    <row r="96" spans="2:17" ht="15" x14ac:dyDescent="0.25">
      <c r="B96"/>
      <c r="C96"/>
      <c r="E96"/>
      <c r="F96" s="23"/>
    </row>
    <row r="97" spans="6:6" customFormat="1" ht="15" x14ac:dyDescent="0.25">
      <c r="F97" s="23"/>
    </row>
    <row r="98" spans="6:6" customFormat="1" ht="15" x14ac:dyDescent="0.25">
      <c r="F98" s="23"/>
    </row>
    <row r="99" spans="6:6" customFormat="1" ht="15" x14ac:dyDescent="0.25">
      <c r="F99" s="23"/>
    </row>
    <row r="100" spans="6:6" customFormat="1" ht="15" x14ac:dyDescent="0.25">
      <c r="F100" s="23"/>
    </row>
    <row r="101" spans="6:6" customFormat="1" ht="15" x14ac:dyDescent="0.25">
      <c r="F101" s="23"/>
    </row>
    <row r="102" spans="6:6" customFormat="1" ht="15" x14ac:dyDescent="0.25">
      <c r="F102" s="23"/>
    </row>
    <row r="103" spans="6:6" customFormat="1" ht="15" x14ac:dyDescent="0.25">
      <c r="F103" s="23"/>
    </row>
    <row r="104" spans="6:6" customFormat="1" ht="15" x14ac:dyDescent="0.25">
      <c r="F104" s="23"/>
    </row>
    <row r="105" spans="6:6" customFormat="1" ht="15" x14ac:dyDescent="0.25">
      <c r="F105" s="23"/>
    </row>
    <row r="106" spans="6:6" customFormat="1" ht="15" x14ac:dyDescent="0.25">
      <c r="F106" s="23"/>
    </row>
    <row r="107" spans="6:6" customFormat="1" ht="15" x14ac:dyDescent="0.25">
      <c r="F107" s="23"/>
    </row>
    <row r="108" spans="6:6" customFormat="1" ht="15" x14ac:dyDescent="0.25">
      <c r="F108" s="23"/>
    </row>
    <row r="109" spans="6:6" customFormat="1" ht="15" x14ac:dyDescent="0.25">
      <c r="F109" s="23"/>
    </row>
  </sheetData>
  <sortState ref="X4:AA13">
    <sortCondition ref="AA4:AA13"/>
  </sortState>
  <mergeCells count="7">
    <mergeCell ref="U64:U65"/>
    <mergeCell ref="L1:L2"/>
    <mergeCell ref="L28:L29"/>
    <mergeCell ref="L54:L55"/>
    <mergeCell ref="U1:U2"/>
    <mergeCell ref="U20:U21"/>
    <mergeCell ref="U46:U4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E111"/>
  <sheetViews>
    <sheetView tabSelected="1" topLeftCell="A22" workbookViewId="0">
      <selection activeCell="L25" sqref="L25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5" max="15" width="8.140625" customWidth="1"/>
    <col min="16" max="16" width="10.7109375" style="4" customWidth="1"/>
    <col min="17" max="17" width="16.28515625" style="67" customWidth="1"/>
    <col min="18" max="18" width="12.42578125" customWidth="1"/>
    <col min="19" max="19" width="11.42578125" style="4"/>
    <col min="20" max="20" width="17.85546875" style="4" bestFit="1" customWidth="1"/>
    <col min="21" max="21" width="4.85546875" customWidth="1"/>
    <col min="22" max="22" width="11.42578125" style="4"/>
    <col min="23" max="23" width="14.140625" style="4" customWidth="1"/>
    <col min="24" max="24" width="11.42578125" style="4"/>
    <col min="25" max="25" width="14.140625" style="4" bestFit="1" customWidth="1"/>
    <col min="26" max="26" width="14.140625" style="67" bestFit="1" customWidth="1"/>
    <col min="27" max="27" width="14.140625" style="67" customWidth="1"/>
    <col min="29" max="29" width="8.140625" customWidth="1"/>
    <col min="30" max="30" width="10.7109375" style="4" customWidth="1"/>
    <col min="31" max="31" width="16.28515625" style="67" customWidth="1"/>
    <col min="32" max="32" width="12.42578125" customWidth="1"/>
    <col min="33" max="33" width="11.42578125" style="4"/>
    <col min="34" max="34" width="17.85546875" style="4" bestFit="1" customWidth="1"/>
    <col min="35" max="35" width="4.85546875" customWidth="1"/>
    <col min="36" max="36" width="11.42578125" style="4"/>
    <col min="37" max="37" width="14.140625" style="4" customWidth="1"/>
    <col min="38" max="38" width="11.42578125" style="4"/>
    <col min="39" max="39" width="14.140625" style="4" bestFit="1" customWidth="1"/>
    <col min="40" max="40" width="14.140625" style="67" bestFit="1" customWidth="1"/>
    <col min="41" max="41" width="14.140625" style="67" customWidth="1"/>
    <col min="43" max="43" width="8.140625" customWidth="1"/>
    <col min="44" max="44" width="10.7109375" style="4" customWidth="1"/>
    <col min="45" max="45" width="16.28515625" style="67" customWidth="1"/>
    <col min="46" max="46" width="12.42578125" customWidth="1"/>
    <col min="47" max="47" width="11.42578125" style="4"/>
    <col min="48" max="48" width="17.85546875" style="4" bestFit="1" customWidth="1"/>
    <col min="49" max="49" width="4.85546875" customWidth="1"/>
    <col min="50" max="50" width="11.42578125" style="4"/>
    <col min="51" max="51" width="14.140625" style="4" customWidth="1"/>
    <col min="52" max="52" width="11.42578125" style="4"/>
    <col min="53" max="53" width="14.140625" style="4" bestFit="1" customWidth="1"/>
    <col min="54" max="54" width="14.140625" style="67" bestFit="1" customWidth="1"/>
    <col min="55" max="55" width="14.140625" style="67" customWidth="1"/>
  </cols>
  <sheetData>
    <row r="1" spans="1:57" ht="24" customHeight="1" thickBot="1" x14ac:dyDescent="0.4">
      <c r="C1" s="456" t="s">
        <v>663</v>
      </c>
      <c r="D1" s="456"/>
      <c r="E1" s="456"/>
      <c r="F1" s="456"/>
      <c r="G1" s="456"/>
      <c r="H1" s="456"/>
      <c r="I1" s="456"/>
      <c r="J1" s="456"/>
      <c r="Q1" s="456" t="s">
        <v>663</v>
      </c>
      <c r="R1" s="456"/>
      <c r="S1" s="456"/>
      <c r="T1" s="456"/>
      <c r="U1" s="456"/>
      <c r="V1" s="456"/>
      <c r="W1" s="456"/>
      <c r="X1" s="456"/>
      <c r="AE1" s="456" t="s">
        <v>663</v>
      </c>
      <c r="AF1" s="456"/>
      <c r="AG1" s="456"/>
      <c r="AH1" s="456"/>
      <c r="AI1" s="456"/>
      <c r="AJ1" s="456"/>
      <c r="AK1" s="456"/>
      <c r="AL1" s="456"/>
      <c r="AS1" s="456" t="s">
        <v>663</v>
      </c>
      <c r="AT1" s="456"/>
      <c r="AU1" s="456"/>
      <c r="AV1" s="456"/>
      <c r="AW1" s="456"/>
      <c r="AX1" s="456"/>
      <c r="AY1" s="456"/>
      <c r="AZ1" s="456"/>
    </row>
    <row r="2" spans="1:57" ht="19.5" customHeight="1" thickBot="1" x14ac:dyDescent="0.3">
      <c r="C2" s="174" t="s">
        <v>0</v>
      </c>
      <c r="E2" s="33"/>
      <c r="F2" s="33"/>
      <c r="Q2" s="174" t="s">
        <v>0</v>
      </c>
      <c r="S2" s="33"/>
      <c r="T2" s="33"/>
      <c r="AE2" s="174" t="s">
        <v>0</v>
      </c>
      <c r="AG2" s="33"/>
      <c r="AH2" s="33"/>
      <c r="AS2" s="174" t="s">
        <v>0</v>
      </c>
      <c r="AU2" s="33"/>
      <c r="AV2" s="33"/>
    </row>
    <row r="3" spans="1:57" ht="32.25" customHeight="1" thickTop="1" thickBot="1" x14ac:dyDescent="0.35">
      <c r="A3" s="9" t="s">
        <v>2</v>
      </c>
      <c r="B3" s="42"/>
      <c r="C3" s="175">
        <v>214694.88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M3" s="87"/>
      <c r="O3" s="9" t="s">
        <v>2</v>
      </c>
      <c r="P3" s="42"/>
      <c r="Q3" s="175">
        <v>214694.88</v>
      </c>
      <c r="R3" s="2"/>
      <c r="S3" s="465" t="s">
        <v>13</v>
      </c>
      <c r="T3" s="466"/>
      <c r="W3" s="467" t="s">
        <v>4</v>
      </c>
      <c r="X3" s="468"/>
      <c r="Y3" s="469"/>
      <c r="Z3" s="87" t="s">
        <v>112</v>
      </c>
      <c r="AA3" s="87"/>
      <c r="AC3" s="9" t="s">
        <v>2</v>
      </c>
      <c r="AD3" s="42"/>
      <c r="AE3" s="175">
        <v>214694.88</v>
      </c>
      <c r="AF3" s="2"/>
      <c r="AG3" s="465" t="s">
        <v>13</v>
      </c>
      <c r="AH3" s="466"/>
      <c r="AK3" s="467" t="s">
        <v>4</v>
      </c>
      <c r="AL3" s="468"/>
      <c r="AM3" s="469"/>
      <c r="AN3" s="87" t="s">
        <v>112</v>
      </c>
      <c r="AO3" s="87"/>
      <c r="AQ3" s="9" t="s">
        <v>2</v>
      </c>
      <c r="AR3" s="42"/>
      <c r="AS3" s="175">
        <v>214694.88</v>
      </c>
      <c r="AT3" s="2"/>
      <c r="AU3" s="465" t="s">
        <v>13</v>
      </c>
      <c r="AV3" s="466"/>
      <c r="AY3" s="467" t="s">
        <v>4</v>
      </c>
      <c r="AZ3" s="468"/>
      <c r="BA3" s="469"/>
      <c r="BB3" s="87" t="s">
        <v>112</v>
      </c>
      <c r="BC3" s="87"/>
    </row>
    <row r="4" spans="1:57" ht="15.75" thickTop="1" x14ac:dyDescent="0.25">
      <c r="B4" s="43">
        <v>42309</v>
      </c>
      <c r="C4" s="176">
        <v>322</v>
      </c>
      <c r="D4" s="83" t="s">
        <v>222</v>
      </c>
      <c r="E4" s="224">
        <v>42309</v>
      </c>
      <c r="F4" s="28">
        <v>208699.4</v>
      </c>
      <c r="G4" s="23"/>
      <c r="H4" s="46">
        <v>42309</v>
      </c>
      <c r="I4" s="29">
        <v>160</v>
      </c>
      <c r="J4" s="48"/>
      <c r="K4" s="49"/>
      <c r="L4" s="89">
        <f>90000+50000+65000+13730.5</f>
        <v>218730.5</v>
      </c>
      <c r="M4" s="89"/>
      <c r="P4" s="43">
        <v>42309</v>
      </c>
      <c r="Q4" s="176">
        <v>322</v>
      </c>
      <c r="R4" s="83" t="s">
        <v>222</v>
      </c>
      <c r="S4" s="224">
        <v>42309</v>
      </c>
      <c r="T4" s="28">
        <v>208699.4</v>
      </c>
      <c r="U4" s="23"/>
      <c r="V4" s="46">
        <v>42309</v>
      </c>
      <c r="W4" s="29">
        <v>160</v>
      </c>
      <c r="X4" s="48"/>
      <c r="Y4" s="49"/>
      <c r="Z4" s="89">
        <f>90000+50000+65000+13730.5</f>
        <v>218730.5</v>
      </c>
      <c r="AA4" s="89"/>
      <c r="AD4" s="43">
        <v>42309</v>
      </c>
      <c r="AE4" s="176">
        <v>322</v>
      </c>
      <c r="AF4" s="83" t="s">
        <v>222</v>
      </c>
      <c r="AG4" s="224">
        <v>42309</v>
      </c>
      <c r="AH4" s="28">
        <v>208699.4</v>
      </c>
      <c r="AI4" s="23"/>
      <c r="AJ4" s="46">
        <v>42309</v>
      </c>
      <c r="AK4" s="29">
        <v>160</v>
      </c>
      <c r="AL4" s="48"/>
      <c r="AM4" s="49"/>
      <c r="AN4" s="89">
        <f>90000+50000+65000+13730.5</f>
        <v>218730.5</v>
      </c>
      <c r="AO4" s="89"/>
      <c r="AR4" s="43">
        <v>42309</v>
      </c>
      <c r="AS4" s="176">
        <v>322</v>
      </c>
      <c r="AT4" s="83" t="s">
        <v>222</v>
      </c>
      <c r="AU4" s="224">
        <v>42309</v>
      </c>
      <c r="AV4" s="28">
        <v>208699.4</v>
      </c>
      <c r="AW4" s="23"/>
      <c r="AX4" s="46">
        <v>42309</v>
      </c>
      <c r="AY4" s="29">
        <v>160</v>
      </c>
      <c r="AZ4" s="48"/>
      <c r="BA4" s="49"/>
      <c r="BB4" s="89">
        <f>90000+50000+65000+13730.5</f>
        <v>218730.5</v>
      </c>
      <c r="BC4" s="89"/>
    </row>
    <row r="5" spans="1:57" x14ac:dyDescent="0.25">
      <c r="B5" s="43">
        <v>42310</v>
      </c>
      <c r="C5" s="176">
        <v>0</v>
      </c>
      <c r="D5" s="24"/>
      <c r="E5" s="225">
        <v>42310</v>
      </c>
      <c r="F5" s="28">
        <v>40413.5</v>
      </c>
      <c r="G5" s="20"/>
      <c r="H5" s="47">
        <v>42310</v>
      </c>
      <c r="I5" s="29">
        <v>0</v>
      </c>
      <c r="J5" s="50" t="s">
        <v>5</v>
      </c>
      <c r="K5" s="34">
        <v>1053</v>
      </c>
      <c r="L5" s="89">
        <f>5500+34913.5</f>
        <v>40413.5</v>
      </c>
      <c r="M5" s="89"/>
      <c r="P5" s="43">
        <v>42310</v>
      </c>
      <c r="Q5" s="176">
        <v>0</v>
      </c>
      <c r="R5" s="24"/>
      <c r="S5" s="225">
        <v>42310</v>
      </c>
      <c r="T5" s="28">
        <v>40413.5</v>
      </c>
      <c r="U5" s="20"/>
      <c r="V5" s="47">
        <v>42310</v>
      </c>
      <c r="W5" s="29">
        <v>0</v>
      </c>
      <c r="X5" s="50" t="s">
        <v>5</v>
      </c>
      <c r="Y5" s="34">
        <v>1053</v>
      </c>
      <c r="Z5" s="89">
        <f>5500+34913.5</f>
        <v>40413.5</v>
      </c>
      <c r="AA5" s="89"/>
      <c r="AD5" s="43">
        <v>42310</v>
      </c>
      <c r="AE5" s="176">
        <v>0</v>
      </c>
      <c r="AF5" s="24"/>
      <c r="AG5" s="225">
        <v>42310</v>
      </c>
      <c r="AH5" s="28">
        <v>40413.5</v>
      </c>
      <c r="AI5" s="20"/>
      <c r="AJ5" s="47">
        <v>42310</v>
      </c>
      <c r="AK5" s="29">
        <v>0</v>
      </c>
      <c r="AL5" s="50" t="s">
        <v>5</v>
      </c>
      <c r="AM5" s="34">
        <v>1053</v>
      </c>
      <c r="AN5" s="89">
        <f>5500+34913.5</f>
        <v>40413.5</v>
      </c>
      <c r="AO5" s="89"/>
      <c r="AR5" s="43">
        <v>42310</v>
      </c>
      <c r="AS5" s="176">
        <v>0</v>
      </c>
      <c r="AT5" s="24"/>
      <c r="AU5" s="225">
        <v>42310</v>
      </c>
      <c r="AV5" s="28">
        <v>40413.5</v>
      </c>
      <c r="AW5" s="20"/>
      <c r="AX5" s="47">
        <v>42310</v>
      </c>
      <c r="AY5" s="29">
        <v>0</v>
      </c>
      <c r="AZ5" s="50" t="s">
        <v>5</v>
      </c>
      <c r="BA5" s="34">
        <v>0</v>
      </c>
      <c r="BB5" s="89">
        <f>5500+34913.5</f>
        <v>40413.5</v>
      </c>
      <c r="BC5" s="89"/>
    </row>
    <row r="6" spans="1:57" x14ac:dyDescent="0.25">
      <c r="B6" s="43">
        <v>42311</v>
      </c>
      <c r="C6" s="176">
        <v>0</v>
      </c>
      <c r="D6" s="24"/>
      <c r="E6" s="225">
        <v>42311</v>
      </c>
      <c r="F6" s="28">
        <f>22488.5+29910</f>
        <v>52398.5</v>
      </c>
      <c r="G6" s="23"/>
      <c r="H6" s="47">
        <v>42311</v>
      </c>
      <c r="I6" s="29">
        <v>0</v>
      </c>
      <c r="J6" s="409" t="s">
        <v>704</v>
      </c>
      <c r="K6" s="34">
        <f>2500+2500+2500+2500</f>
        <v>10000</v>
      </c>
      <c r="L6" s="89">
        <f>47500+4898.5</f>
        <v>52398.5</v>
      </c>
      <c r="M6" s="89"/>
      <c r="P6" s="43">
        <v>42311</v>
      </c>
      <c r="Q6" s="176">
        <v>0</v>
      </c>
      <c r="R6" s="24"/>
      <c r="S6" s="225">
        <v>42311</v>
      </c>
      <c r="T6" s="28">
        <f>22488.5+29910</f>
        <v>52398.5</v>
      </c>
      <c r="U6" s="23"/>
      <c r="V6" s="47">
        <v>42311</v>
      </c>
      <c r="W6" s="29">
        <v>0</v>
      </c>
      <c r="X6" s="409" t="s">
        <v>704</v>
      </c>
      <c r="Y6" s="34">
        <v>7500</v>
      </c>
      <c r="Z6" s="89">
        <f>47500+4898.5</f>
        <v>52398.5</v>
      </c>
      <c r="AA6" s="89"/>
      <c r="AD6" s="43">
        <v>42311</v>
      </c>
      <c r="AE6" s="176">
        <v>0</v>
      </c>
      <c r="AF6" s="24"/>
      <c r="AG6" s="225">
        <v>42311</v>
      </c>
      <c r="AH6" s="28">
        <f>22488.5+29910</f>
        <v>52398.5</v>
      </c>
      <c r="AI6" s="23"/>
      <c r="AJ6" s="47">
        <v>42311</v>
      </c>
      <c r="AK6" s="29">
        <v>0</v>
      </c>
      <c r="AL6" s="409" t="s">
        <v>704</v>
      </c>
      <c r="AM6" s="34">
        <f>2500+2500</f>
        <v>5000</v>
      </c>
      <c r="AN6" s="89">
        <f>47500+4898.5</f>
        <v>52398.5</v>
      </c>
      <c r="AO6" s="89"/>
      <c r="AR6" s="43">
        <v>42311</v>
      </c>
      <c r="AS6" s="176">
        <v>0</v>
      </c>
      <c r="AT6" s="24"/>
      <c r="AU6" s="225">
        <v>42311</v>
      </c>
      <c r="AV6" s="28">
        <f>22488.5+29910</f>
        <v>52398.5</v>
      </c>
      <c r="AW6" s="23"/>
      <c r="AX6" s="47">
        <v>42311</v>
      </c>
      <c r="AY6" s="29">
        <v>0</v>
      </c>
      <c r="AZ6" s="409" t="s">
        <v>704</v>
      </c>
      <c r="BA6" s="34">
        <v>2500</v>
      </c>
      <c r="BB6" s="89">
        <f>47500+4898.5</f>
        <v>52398.5</v>
      </c>
      <c r="BC6" s="89"/>
    </row>
    <row r="7" spans="1:57" x14ac:dyDescent="0.25">
      <c r="B7" s="43">
        <v>42312</v>
      </c>
      <c r="C7" s="176">
        <v>6095</v>
      </c>
      <c r="D7" s="363" t="s">
        <v>685</v>
      </c>
      <c r="E7" s="225">
        <v>42312</v>
      </c>
      <c r="F7" s="28">
        <f>41360+29070</f>
        <v>70430</v>
      </c>
      <c r="G7" s="23"/>
      <c r="H7" s="47">
        <v>42312</v>
      </c>
      <c r="I7" s="29">
        <v>0</v>
      </c>
      <c r="J7" s="50" t="s">
        <v>6</v>
      </c>
      <c r="K7" s="34">
        <f>7187.5+7187.5+7187.5+7187.5</f>
        <v>28750</v>
      </c>
      <c r="L7" s="89">
        <f>28000+45114.5</f>
        <v>73114.5</v>
      </c>
      <c r="M7" s="89"/>
      <c r="P7" s="43">
        <v>42312</v>
      </c>
      <c r="Q7" s="176">
        <v>6095</v>
      </c>
      <c r="R7" s="363" t="s">
        <v>685</v>
      </c>
      <c r="S7" s="225">
        <v>42312</v>
      </c>
      <c r="T7" s="28">
        <f>41360+29070</f>
        <v>70430</v>
      </c>
      <c r="U7" s="23"/>
      <c r="V7" s="47">
        <v>42312</v>
      </c>
      <c r="W7" s="29">
        <v>0</v>
      </c>
      <c r="X7" s="50" t="s">
        <v>6</v>
      </c>
      <c r="Y7" s="34">
        <v>21562.5</v>
      </c>
      <c r="Z7" s="89">
        <f>28000+45114.5</f>
        <v>73114.5</v>
      </c>
      <c r="AA7" s="89"/>
      <c r="AD7" s="43">
        <v>42312</v>
      </c>
      <c r="AE7" s="176">
        <v>6095</v>
      </c>
      <c r="AF7" s="363" t="s">
        <v>685</v>
      </c>
      <c r="AG7" s="225">
        <v>42312</v>
      </c>
      <c r="AH7" s="28">
        <f>41360+29070</f>
        <v>70430</v>
      </c>
      <c r="AI7" s="23"/>
      <c r="AJ7" s="47">
        <v>42312</v>
      </c>
      <c r="AK7" s="29">
        <v>0</v>
      </c>
      <c r="AL7" s="50" t="s">
        <v>6</v>
      </c>
      <c r="AM7" s="34">
        <f>7187.5+7187.5</f>
        <v>14375</v>
      </c>
      <c r="AN7" s="89">
        <f>28000+45114.5</f>
        <v>73114.5</v>
      </c>
      <c r="AO7" s="89"/>
      <c r="AR7" s="43">
        <v>42312</v>
      </c>
      <c r="AS7" s="176">
        <v>6095</v>
      </c>
      <c r="AT7" s="363" t="s">
        <v>685</v>
      </c>
      <c r="AU7" s="225">
        <v>42312</v>
      </c>
      <c r="AV7" s="28">
        <f>41360+29070</f>
        <v>70430</v>
      </c>
      <c r="AW7" s="23"/>
      <c r="AX7" s="47">
        <v>42312</v>
      </c>
      <c r="AY7" s="29">
        <v>0</v>
      </c>
      <c r="AZ7" s="50" t="s">
        <v>6</v>
      </c>
      <c r="BA7" s="34">
        <v>7187.5</v>
      </c>
      <c r="BB7" s="89">
        <f>28000+45114.5</f>
        <v>73114.5</v>
      </c>
      <c r="BC7" s="89"/>
    </row>
    <row r="8" spans="1:57" x14ac:dyDescent="0.25">
      <c r="B8" s="43">
        <v>42313</v>
      </c>
      <c r="C8" s="176">
        <v>1282</v>
      </c>
      <c r="D8" s="363" t="s">
        <v>686</v>
      </c>
      <c r="E8" s="225">
        <v>42313</v>
      </c>
      <c r="F8" s="28">
        <f>30705+12803+30090</f>
        <v>73598</v>
      </c>
      <c r="G8" s="23"/>
      <c r="H8" s="47">
        <v>42313</v>
      </c>
      <c r="I8" s="29">
        <v>0</v>
      </c>
      <c r="J8" s="50" t="s">
        <v>49</v>
      </c>
      <c r="K8" s="28">
        <v>6911.22</v>
      </c>
      <c r="L8" s="89">
        <f>18500+54016</f>
        <v>72516</v>
      </c>
      <c r="M8" s="89" t="s">
        <v>706</v>
      </c>
      <c r="P8" s="43">
        <v>42313</v>
      </c>
      <c r="Q8" s="176">
        <v>1282</v>
      </c>
      <c r="R8" s="363" t="s">
        <v>686</v>
      </c>
      <c r="S8" s="225">
        <v>42313</v>
      </c>
      <c r="T8" s="28">
        <f>30705+12803+30090</f>
        <v>73598</v>
      </c>
      <c r="U8" s="23"/>
      <c r="V8" s="47">
        <v>42313</v>
      </c>
      <c r="W8" s="29">
        <v>0</v>
      </c>
      <c r="X8" s="50" t="s">
        <v>49</v>
      </c>
      <c r="Y8" s="28">
        <v>6911.22</v>
      </c>
      <c r="Z8" s="89">
        <f>18500+54016</f>
        <v>72516</v>
      </c>
      <c r="AA8" s="89" t="s">
        <v>706</v>
      </c>
      <c r="AD8" s="43">
        <v>42313</v>
      </c>
      <c r="AE8" s="176">
        <v>1282</v>
      </c>
      <c r="AF8" s="363" t="s">
        <v>686</v>
      </c>
      <c r="AG8" s="225">
        <v>42313</v>
      </c>
      <c r="AH8" s="28">
        <f>30705+12803+30090</f>
        <v>73598</v>
      </c>
      <c r="AI8" s="23"/>
      <c r="AJ8" s="47">
        <v>42313</v>
      </c>
      <c r="AK8" s="29">
        <v>0</v>
      </c>
      <c r="AL8" s="50" t="s">
        <v>49</v>
      </c>
      <c r="AM8" s="28">
        <v>6911.22</v>
      </c>
      <c r="AN8" s="89">
        <f>18500+54016</f>
        <v>72516</v>
      </c>
      <c r="AO8" s="89" t="s">
        <v>706</v>
      </c>
      <c r="AR8" s="43">
        <v>42313</v>
      </c>
      <c r="AS8" s="176">
        <v>1282</v>
      </c>
      <c r="AT8" s="363" t="s">
        <v>686</v>
      </c>
      <c r="AU8" s="225">
        <v>42313</v>
      </c>
      <c r="AV8" s="28">
        <f>30705+12803+30090</f>
        <v>73598</v>
      </c>
      <c r="AW8" s="23"/>
      <c r="AX8" s="47">
        <v>42313</v>
      </c>
      <c r="AY8" s="29">
        <v>0</v>
      </c>
      <c r="AZ8" s="50" t="s">
        <v>49</v>
      </c>
      <c r="BA8" s="28">
        <v>6911.22</v>
      </c>
      <c r="BB8" s="89">
        <f>18500+54016</f>
        <v>72516</v>
      </c>
      <c r="BC8" s="89" t="s">
        <v>706</v>
      </c>
    </row>
    <row r="9" spans="1:57" x14ac:dyDescent="0.25">
      <c r="B9" s="43">
        <v>42314</v>
      </c>
      <c r="C9" s="176">
        <v>1052</v>
      </c>
      <c r="D9" s="363" t="s">
        <v>214</v>
      </c>
      <c r="E9" s="225">
        <v>42314</v>
      </c>
      <c r="F9" s="28">
        <v>84007.5</v>
      </c>
      <c r="G9" s="23"/>
      <c r="H9" s="47">
        <v>42314</v>
      </c>
      <c r="I9" s="29">
        <v>160</v>
      </c>
      <c r="J9" s="50" t="s">
        <v>687</v>
      </c>
      <c r="K9" s="28">
        <v>8053.98</v>
      </c>
      <c r="L9" s="89">
        <f>50000+32695.5</f>
        <v>82695.5</v>
      </c>
      <c r="M9" s="89" t="s">
        <v>705</v>
      </c>
      <c r="P9" s="43">
        <v>42314</v>
      </c>
      <c r="Q9" s="176">
        <v>1052</v>
      </c>
      <c r="R9" s="363" t="s">
        <v>214</v>
      </c>
      <c r="S9" s="225">
        <v>42314</v>
      </c>
      <c r="T9" s="28">
        <v>84007.5</v>
      </c>
      <c r="U9" s="23"/>
      <c r="V9" s="47">
        <v>42314</v>
      </c>
      <c r="W9" s="29">
        <v>160</v>
      </c>
      <c r="X9" s="50" t="s">
        <v>687</v>
      </c>
      <c r="Y9" s="28">
        <v>8053.98</v>
      </c>
      <c r="Z9" s="89">
        <f>50000+32695.5</f>
        <v>82695.5</v>
      </c>
      <c r="AA9" s="89" t="s">
        <v>705</v>
      </c>
      <c r="AD9" s="43">
        <v>42314</v>
      </c>
      <c r="AE9" s="176">
        <v>1052</v>
      </c>
      <c r="AF9" s="363" t="s">
        <v>214</v>
      </c>
      <c r="AG9" s="225">
        <v>42314</v>
      </c>
      <c r="AH9" s="28">
        <v>84007.5</v>
      </c>
      <c r="AI9" s="23"/>
      <c r="AJ9" s="47">
        <v>42314</v>
      </c>
      <c r="AK9" s="29">
        <v>160</v>
      </c>
      <c r="AL9" s="50" t="s">
        <v>687</v>
      </c>
      <c r="AM9" s="28">
        <v>8053.98</v>
      </c>
      <c r="AN9" s="89">
        <f>50000+32695.5</f>
        <v>82695.5</v>
      </c>
      <c r="AO9" s="89" t="s">
        <v>705</v>
      </c>
      <c r="AR9" s="43">
        <v>42314</v>
      </c>
      <c r="AS9" s="176">
        <v>1052</v>
      </c>
      <c r="AT9" s="363" t="s">
        <v>214</v>
      </c>
      <c r="AU9" s="225">
        <v>42314</v>
      </c>
      <c r="AV9" s="28">
        <v>84007.5</v>
      </c>
      <c r="AW9" s="23"/>
      <c r="AX9" s="47">
        <v>42314</v>
      </c>
      <c r="AY9" s="29">
        <v>160</v>
      </c>
      <c r="AZ9" s="50" t="s">
        <v>687</v>
      </c>
      <c r="BA9" s="28">
        <v>0</v>
      </c>
      <c r="BB9" s="89">
        <f>50000+32695.5</f>
        <v>82695.5</v>
      </c>
      <c r="BC9" s="89" t="s">
        <v>705</v>
      </c>
    </row>
    <row r="10" spans="1:57" x14ac:dyDescent="0.25">
      <c r="A10" s="21"/>
      <c r="B10" s="43">
        <v>42315</v>
      </c>
      <c r="C10" s="176">
        <v>0</v>
      </c>
      <c r="D10" s="363"/>
      <c r="E10" s="225">
        <v>42315</v>
      </c>
      <c r="F10" s="28">
        <f>55904+76879+9542</f>
        <v>142325</v>
      </c>
      <c r="G10" s="23"/>
      <c r="H10" s="47">
        <v>42315</v>
      </c>
      <c r="I10" s="29">
        <v>0</v>
      </c>
      <c r="J10" s="50" t="s">
        <v>688</v>
      </c>
      <c r="K10" s="28">
        <v>8777.7800000000007</v>
      </c>
      <c r="L10" s="89">
        <f>77000+42000+22525</f>
        <v>141525</v>
      </c>
      <c r="M10" s="89"/>
      <c r="O10" s="21"/>
      <c r="P10" s="43">
        <v>42315</v>
      </c>
      <c r="Q10" s="176">
        <v>0</v>
      </c>
      <c r="R10" s="363"/>
      <c r="S10" s="225">
        <v>42315</v>
      </c>
      <c r="T10" s="28">
        <f>55904+76879+9542</f>
        <v>142325</v>
      </c>
      <c r="U10" s="23"/>
      <c r="V10" s="47">
        <v>42315</v>
      </c>
      <c r="W10" s="29">
        <v>0</v>
      </c>
      <c r="X10" s="50" t="s">
        <v>688</v>
      </c>
      <c r="Y10" s="28">
        <v>8777.7800000000007</v>
      </c>
      <c r="Z10" s="89">
        <f>77000+42000+22525</f>
        <v>141525</v>
      </c>
      <c r="AA10" s="89"/>
      <c r="AC10" s="21"/>
      <c r="AD10" s="43">
        <v>42315</v>
      </c>
      <c r="AE10" s="176">
        <v>0</v>
      </c>
      <c r="AF10" s="363"/>
      <c r="AG10" s="225">
        <v>42315</v>
      </c>
      <c r="AH10" s="28">
        <f>55904+76879+9542</f>
        <v>142325</v>
      </c>
      <c r="AI10" s="23"/>
      <c r="AJ10" s="47">
        <v>42315</v>
      </c>
      <c r="AK10" s="29">
        <v>0</v>
      </c>
      <c r="AL10" s="50" t="s">
        <v>688</v>
      </c>
      <c r="AM10" s="28">
        <v>0</v>
      </c>
      <c r="AN10" s="89">
        <f>77000+42000+22525</f>
        <v>141525</v>
      </c>
      <c r="AO10" s="89"/>
      <c r="AQ10" s="21"/>
      <c r="AR10" s="43">
        <v>42315</v>
      </c>
      <c r="AS10" s="176">
        <v>0</v>
      </c>
      <c r="AT10" s="363"/>
      <c r="AU10" s="225">
        <v>42315</v>
      </c>
      <c r="AV10" s="28">
        <f>55904+76879+9542</f>
        <v>142325</v>
      </c>
      <c r="AW10" s="23"/>
      <c r="AX10" s="47">
        <v>42315</v>
      </c>
      <c r="AY10" s="29">
        <v>0</v>
      </c>
      <c r="AZ10" s="50" t="s">
        <v>688</v>
      </c>
      <c r="BA10" s="28">
        <v>0</v>
      </c>
      <c r="BB10" s="89">
        <f>77000+42000+22525</f>
        <v>141525</v>
      </c>
      <c r="BC10" s="89"/>
    </row>
    <row r="11" spans="1:57" x14ac:dyDescent="0.25">
      <c r="B11" s="43">
        <v>42316</v>
      </c>
      <c r="C11" s="176">
        <v>365</v>
      </c>
      <c r="D11" s="363" t="s">
        <v>689</v>
      </c>
      <c r="E11" s="225">
        <v>42316</v>
      </c>
      <c r="F11" s="28">
        <f>27032.5+26151+36602.5</f>
        <v>89786</v>
      </c>
      <c r="G11" s="23"/>
      <c r="H11" s="47">
        <v>42316</v>
      </c>
      <c r="I11" s="29">
        <v>0</v>
      </c>
      <c r="J11" s="50" t="s">
        <v>52</v>
      </c>
      <c r="K11" s="28">
        <v>6692.18</v>
      </c>
      <c r="L11" s="89">
        <f>47000+42421.5</f>
        <v>89421.5</v>
      </c>
      <c r="M11" s="89"/>
      <c r="P11" s="43">
        <v>42316</v>
      </c>
      <c r="Q11" s="176">
        <v>365</v>
      </c>
      <c r="R11" s="363" t="s">
        <v>689</v>
      </c>
      <c r="S11" s="225">
        <v>42316</v>
      </c>
      <c r="T11" s="28">
        <f>27032.5+26151+36602.5</f>
        <v>89786</v>
      </c>
      <c r="U11" s="23"/>
      <c r="V11" s="47">
        <v>42316</v>
      </c>
      <c r="W11" s="29">
        <v>0</v>
      </c>
      <c r="X11" s="50" t="s">
        <v>52</v>
      </c>
      <c r="Y11" s="28">
        <v>0</v>
      </c>
      <c r="Z11" s="89">
        <f>47000+42421.5</f>
        <v>89421.5</v>
      </c>
      <c r="AA11" s="89"/>
      <c r="AD11" s="43">
        <v>42316</v>
      </c>
      <c r="AE11" s="176">
        <v>365</v>
      </c>
      <c r="AF11" s="363" t="s">
        <v>689</v>
      </c>
      <c r="AG11" s="225">
        <v>42316</v>
      </c>
      <c r="AH11" s="28">
        <f>27032.5+26151+36602.5</f>
        <v>89786</v>
      </c>
      <c r="AI11" s="23"/>
      <c r="AJ11" s="47">
        <v>42316</v>
      </c>
      <c r="AK11" s="29">
        <v>0</v>
      </c>
      <c r="AL11" s="50" t="s">
        <v>52</v>
      </c>
      <c r="AM11" s="28">
        <v>0</v>
      </c>
      <c r="AN11" s="89">
        <f>47000+42421.5</f>
        <v>89421.5</v>
      </c>
      <c r="AO11" s="89"/>
      <c r="AR11" s="43">
        <v>42316</v>
      </c>
      <c r="AS11" s="176">
        <v>365</v>
      </c>
      <c r="AT11" s="363" t="s">
        <v>689</v>
      </c>
      <c r="AU11" s="225">
        <v>42316</v>
      </c>
      <c r="AV11" s="28">
        <f>27032.5+26151+36602.5</f>
        <v>89786</v>
      </c>
      <c r="AW11" s="23"/>
      <c r="AX11" s="47">
        <v>42316</v>
      </c>
      <c r="AY11" s="29">
        <v>0</v>
      </c>
      <c r="AZ11" s="50" t="s">
        <v>52</v>
      </c>
      <c r="BA11" s="28">
        <v>0</v>
      </c>
      <c r="BB11" s="89">
        <f>47000+42421.5</f>
        <v>89421.5</v>
      </c>
      <c r="BC11" s="89"/>
      <c r="BE11" s="70">
        <v>9866.7999999999993</v>
      </c>
    </row>
    <row r="12" spans="1:57" x14ac:dyDescent="0.25">
      <c r="A12" s="13"/>
      <c r="B12" s="43">
        <v>42317</v>
      </c>
      <c r="C12" s="176">
        <v>635</v>
      </c>
      <c r="D12" s="24" t="s">
        <v>502</v>
      </c>
      <c r="E12" s="225">
        <v>42317</v>
      </c>
      <c r="F12" s="28">
        <f>37701+24781+714+27120.5</f>
        <v>90316.5</v>
      </c>
      <c r="G12" s="23"/>
      <c r="H12" s="47">
        <v>42317</v>
      </c>
      <c r="I12" s="29">
        <v>0</v>
      </c>
      <c r="J12" s="50" t="s">
        <v>61</v>
      </c>
      <c r="K12" s="28">
        <v>0</v>
      </c>
      <c r="L12" s="89">
        <f>35000+33972.5+20709</f>
        <v>89681.5</v>
      </c>
      <c r="M12" s="89"/>
      <c r="O12" s="13"/>
      <c r="P12" s="43">
        <v>42317</v>
      </c>
      <c r="Q12" s="176">
        <v>635</v>
      </c>
      <c r="R12" s="24" t="s">
        <v>502</v>
      </c>
      <c r="S12" s="225">
        <v>42317</v>
      </c>
      <c r="T12" s="28">
        <f>37701+24781+714+27120.5</f>
        <v>90316.5</v>
      </c>
      <c r="U12" s="23"/>
      <c r="V12" s="47">
        <v>42317</v>
      </c>
      <c r="W12" s="29">
        <v>0</v>
      </c>
      <c r="X12" s="50" t="s">
        <v>61</v>
      </c>
      <c r="Y12" s="28">
        <v>0</v>
      </c>
      <c r="Z12" s="89">
        <f>35000+33972.5+20709</f>
        <v>89681.5</v>
      </c>
      <c r="AA12" s="89"/>
      <c r="AC12" s="13"/>
      <c r="AD12" s="43">
        <v>42317</v>
      </c>
      <c r="AE12" s="176">
        <v>635</v>
      </c>
      <c r="AF12" s="24" t="s">
        <v>502</v>
      </c>
      <c r="AG12" s="225">
        <v>42317</v>
      </c>
      <c r="AH12" s="28">
        <f>37701+24781+714+27120.5</f>
        <v>90316.5</v>
      </c>
      <c r="AI12" s="23"/>
      <c r="AJ12" s="47">
        <v>42317</v>
      </c>
      <c r="AK12" s="29">
        <v>0</v>
      </c>
      <c r="AL12" s="50" t="s">
        <v>61</v>
      </c>
      <c r="AM12" s="28">
        <v>0</v>
      </c>
      <c r="AN12" s="89">
        <f>35000+33972.5+20709</f>
        <v>89681.5</v>
      </c>
      <c r="AO12" s="89"/>
      <c r="AQ12" s="13"/>
      <c r="AR12" s="43">
        <v>42317</v>
      </c>
      <c r="AS12" s="176">
        <v>635</v>
      </c>
      <c r="AT12" s="24" t="s">
        <v>502</v>
      </c>
      <c r="AU12" s="225">
        <v>42317</v>
      </c>
      <c r="AV12" s="28">
        <f>37701+24781+714+27120.5</f>
        <v>90316.5</v>
      </c>
      <c r="AW12" s="23"/>
      <c r="AX12" s="47">
        <v>42317</v>
      </c>
      <c r="AY12" s="29">
        <v>0</v>
      </c>
      <c r="AZ12" s="50" t="s">
        <v>61</v>
      </c>
      <c r="BA12" s="28">
        <v>0</v>
      </c>
      <c r="BB12" s="89">
        <f>35000+33972.5+20709</f>
        <v>89681.5</v>
      </c>
      <c r="BC12" s="349">
        <f>33972.5+20709</f>
        <v>54681.5</v>
      </c>
      <c r="BE12" s="70">
        <v>145470</v>
      </c>
    </row>
    <row r="13" spans="1:57" x14ac:dyDescent="0.25">
      <c r="A13" s="13"/>
      <c r="B13" s="43">
        <v>42318</v>
      </c>
      <c r="C13" s="176">
        <v>1508</v>
      </c>
      <c r="D13" s="84" t="s">
        <v>690</v>
      </c>
      <c r="E13" s="225">
        <v>42318</v>
      </c>
      <c r="F13" s="28">
        <f>38816+21885</f>
        <v>60701</v>
      </c>
      <c r="G13" s="23"/>
      <c r="H13" s="47">
        <v>42318</v>
      </c>
      <c r="I13" s="29">
        <v>0</v>
      </c>
      <c r="J13" s="51" t="s">
        <v>292</v>
      </c>
      <c r="K13" s="28">
        <v>800</v>
      </c>
      <c r="L13" s="89">
        <f>49250+9943</f>
        <v>59193</v>
      </c>
      <c r="M13" s="89"/>
      <c r="O13" s="13"/>
      <c r="P13" s="43">
        <v>42318</v>
      </c>
      <c r="Q13" s="176">
        <v>1508</v>
      </c>
      <c r="R13" s="84" t="s">
        <v>690</v>
      </c>
      <c r="S13" s="225">
        <v>42318</v>
      </c>
      <c r="T13" s="28">
        <f>38816+21885</f>
        <v>60701</v>
      </c>
      <c r="U13" s="23"/>
      <c r="V13" s="47">
        <v>42318</v>
      </c>
      <c r="W13" s="29">
        <v>0</v>
      </c>
      <c r="X13" s="51" t="s">
        <v>292</v>
      </c>
      <c r="Y13" s="28">
        <v>800</v>
      </c>
      <c r="Z13" s="89">
        <f>49250+9943</f>
        <v>59193</v>
      </c>
      <c r="AA13" s="89"/>
      <c r="AC13" s="13"/>
      <c r="AD13" s="43">
        <v>42318</v>
      </c>
      <c r="AE13" s="176">
        <v>1508</v>
      </c>
      <c r="AF13" s="84" t="s">
        <v>690</v>
      </c>
      <c r="AG13" s="225">
        <v>42318</v>
      </c>
      <c r="AH13" s="28">
        <f>38816+21885</f>
        <v>60701</v>
      </c>
      <c r="AI13" s="23"/>
      <c r="AJ13" s="47">
        <v>42318</v>
      </c>
      <c r="AK13" s="29">
        <v>0</v>
      </c>
      <c r="AL13" s="51" t="s">
        <v>292</v>
      </c>
      <c r="AM13" s="28">
        <v>800</v>
      </c>
      <c r="AN13" s="89">
        <f>49250+9943</f>
        <v>59193</v>
      </c>
      <c r="AO13" s="89"/>
      <c r="AQ13" s="13"/>
      <c r="AR13" s="43">
        <v>42318</v>
      </c>
      <c r="AS13" s="176">
        <v>1508</v>
      </c>
      <c r="AT13" s="84" t="s">
        <v>690</v>
      </c>
      <c r="AU13" s="225">
        <v>42318</v>
      </c>
      <c r="AV13" s="28">
        <f>38816+21885</f>
        <v>60701</v>
      </c>
      <c r="AW13" s="23"/>
      <c r="AX13" s="47">
        <v>42318</v>
      </c>
      <c r="AY13" s="29">
        <v>0</v>
      </c>
      <c r="AZ13" s="51" t="s">
        <v>292</v>
      </c>
      <c r="BA13" s="28">
        <v>800</v>
      </c>
      <c r="BB13" s="89">
        <f>49250+9943</f>
        <v>59193</v>
      </c>
      <c r="BC13" s="89"/>
      <c r="BE13" s="70">
        <v>54517.2</v>
      </c>
    </row>
    <row r="14" spans="1:57" x14ac:dyDescent="0.25">
      <c r="B14" s="43">
        <v>42319</v>
      </c>
      <c r="C14" s="176">
        <v>0</v>
      </c>
      <c r="D14" s="24"/>
      <c r="E14" s="225">
        <v>42319</v>
      </c>
      <c r="F14" s="28">
        <v>69520</v>
      </c>
      <c r="G14" s="23"/>
      <c r="H14" s="47">
        <v>42319</v>
      </c>
      <c r="I14" s="29">
        <v>2668</v>
      </c>
      <c r="J14" s="335">
        <v>42315</v>
      </c>
      <c r="K14" s="28">
        <v>0</v>
      </c>
      <c r="L14" s="89">
        <v>66852</v>
      </c>
      <c r="M14" s="89"/>
      <c r="P14" s="43">
        <v>42319</v>
      </c>
      <c r="Q14" s="176">
        <v>0</v>
      </c>
      <c r="R14" s="24"/>
      <c r="S14" s="225">
        <v>42319</v>
      </c>
      <c r="T14" s="28">
        <v>69520</v>
      </c>
      <c r="U14" s="23"/>
      <c r="V14" s="47">
        <v>42319</v>
      </c>
      <c r="W14" s="29">
        <v>2668</v>
      </c>
      <c r="X14" s="335">
        <v>42315</v>
      </c>
      <c r="Y14" s="28">
        <v>0</v>
      </c>
      <c r="Z14" s="89">
        <v>66852</v>
      </c>
      <c r="AA14" s="89"/>
      <c r="AD14" s="43">
        <v>42319</v>
      </c>
      <c r="AE14" s="176">
        <v>0</v>
      </c>
      <c r="AF14" s="24"/>
      <c r="AG14" s="225">
        <v>42319</v>
      </c>
      <c r="AH14" s="28">
        <v>69520</v>
      </c>
      <c r="AI14" s="23"/>
      <c r="AJ14" s="47">
        <v>42319</v>
      </c>
      <c r="AK14" s="29">
        <v>2668</v>
      </c>
      <c r="AL14" s="335">
        <v>42315</v>
      </c>
      <c r="AM14" s="28">
        <v>0</v>
      </c>
      <c r="AN14" s="89">
        <v>66852</v>
      </c>
      <c r="AO14" s="89"/>
      <c r="AR14" s="43">
        <v>42319</v>
      </c>
      <c r="AS14" s="176">
        <v>0</v>
      </c>
      <c r="AT14" s="24"/>
      <c r="AU14" s="225">
        <v>42319</v>
      </c>
      <c r="AV14" s="28">
        <v>69520</v>
      </c>
      <c r="AW14" s="23"/>
      <c r="AX14" s="47">
        <v>42319</v>
      </c>
      <c r="AY14" s="29">
        <v>2668</v>
      </c>
      <c r="AZ14" s="335">
        <v>42315</v>
      </c>
      <c r="BA14" s="28">
        <v>0</v>
      </c>
      <c r="BB14" s="89">
        <v>66852</v>
      </c>
      <c r="BC14" s="89"/>
      <c r="BE14" s="70">
        <v>81325.03</v>
      </c>
    </row>
    <row r="15" spans="1:57" x14ac:dyDescent="0.25">
      <c r="A15" s="13"/>
      <c r="B15" s="43">
        <v>42320</v>
      </c>
      <c r="C15" s="176">
        <v>0</v>
      </c>
      <c r="D15" s="24"/>
      <c r="E15" s="225">
        <v>42320</v>
      </c>
      <c r="F15" s="28">
        <v>41790.5</v>
      </c>
      <c r="G15" s="23"/>
      <c r="H15" s="47">
        <v>42320</v>
      </c>
      <c r="I15" s="29">
        <v>60</v>
      </c>
      <c r="J15" s="57" t="s">
        <v>633</v>
      </c>
      <c r="K15" s="28">
        <v>0</v>
      </c>
      <c r="L15" s="89">
        <v>41730.5</v>
      </c>
      <c r="M15" s="89"/>
      <c r="O15" s="13"/>
      <c r="P15" s="43">
        <v>42320</v>
      </c>
      <c r="Q15" s="176">
        <v>0</v>
      </c>
      <c r="R15" s="24"/>
      <c r="S15" s="225">
        <v>42320</v>
      </c>
      <c r="T15" s="28">
        <v>41790.5</v>
      </c>
      <c r="U15" s="23"/>
      <c r="V15" s="47">
        <v>42320</v>
      </c>
      <c r="W15" s="29">
        <v>60</v>
      </c>
      <c r="X15" s="57" t="s">
        <v>633</v>
      </c>
      <c r="Y15" s="28">
        <v>0</v>
      </c>
      <c r="Z15" s="89">
        <v>41730.5</v>
      </c>
      <c r="AA15" s="89"/>
      <c r="AC15" s="13"/>
      <c r="AD15" s="43">
        <v>42320</v>
      </c>
      <c r="AE15" s="176">
        <v>0</v>
      </c>
      <c r="AF15" s="24"/>
      <c r="AG15" s="225">
        <v>42320</v>
      </c>
      <c r="AH15" s="28">
        <v>41790.5</v>
      </c>
      <c r="AI15" s="23"/>
      <c r="AJ15" s="47">
        <v>42320</v>
      </c>
      <c r="AK15" s="29">
        <v>60</v>
      </c>
      <c r="AL15" s="57" t="s">
        <v>633</v>
      </c>
      <c r="AM15" s="28">
        <v>0</v>
      </c>
      <c r="AN15" s="89">
        <v>41730.5</v>
      </c>
      <c r="AO15" s="89"/>
      <c r="AQ15" s="13"/>
      <c r="AR15" s="43">
        <v>42320</v>
      </c>
      <c r="AS15" s="176">
        <v>0</v>
      </c>
      <c r="AT15" s="24"/>
      <c r="AU15" s="225">
        <v>42320</v>
      </c>
      <c r="AV15" s="28"/>
      <c r="AW15" s="23"/>
      <c r="AX15" s="47">
        <v>42320</v>
      </c>
      <c r="AY15" s="29">
        <v>0</v>
      </c>
      <c r="AZ15" s="57" t="s">
        <v>633</v>
      </c>
      <c r="BA15" s="28">
        <v>0</v>
      </c>
      <c r="BB15" s="89"/>
      <c r="BC15" s="89"/>
      <c r="BE15" s="70">
        <v>17075.5</v>
      </c>
    </row>
    <row r="16" spans="1:57" x14ac:dyDescent="0.25">
      <c r="A16" s="13"/>
      <c r="B16" s="43">
        <v>42321</v>
      </c>
      <c r="C16" s="176">
        <v>0</v>
      </c>
      <c r="D16" s="24"/>
      <c r="E16" s="225">
        <v>42321</v>
      </c>
      <c r="F16" s="28">
        <v>121675.5</v>
      </c>
      <c r="G16" s="23"/>
      <c r="H16" s="47">
        <v>42321</v>
      </c>
      <c r="I16" s="29">
        <v>60</v>
      </c>
      <c r="J16" s="319"/>
      <c r="K16" s="28">
        <v>0</v>
      </c>
      <c r="L16" s="89">
        <v>111615.5</v>
      </c>
      <c r="M16" s="89"/>
      <c r="O16" s="13"/>
      <c r="P16" s="43">
        <v>42321</v>
      </c>
      <c r="Q16" s="176">
        <v>0</v>
      </c>
      <c r="R16" s="24"/>
      <c r="S16" s="225">
        <v>42321</v>
      </c>
      <c r="T16" s="28">
        <v>121675.5</v>
      </c>
      <c r="U16" s="23"/>
      <c r="V16" s="47">
        <v>42321</v>
      </c>
      <c r="W16" s="29">
        <v>60</v>
      </c>
      <c r="X16" s="319"/>
      <c r="Y16" s="28">
        <v>0</v>
      </c>
      <c r="Z16" s="89">
        <v>111615.5</v>
      </c>
      <c r="AA16" s="89"/>
      <c r="AC16" s="13"/>
      <c r="AD16" s="43">
        <v>42321</v>
      </c>
      <c r="AE16" s="176">
        <v>0</v>
      </c>
      <c r="AF16" s="24"/>
      <c r="AG16" s="225">
        <v>42321</v>
      </c>
      <c r="AH16" s="28">
        <v>121675.5</v>
      </c>
      <c r="AI16" s="23"/>
      <c r="AJ16" s="47">
        <v>42321</v>
      </c>
      <c r="AK16" s="29">
        <v>60</v>
      </c>
      <c r="AL16" s="319"/>
      <c r="AM16" s="28">
        <v>0</v>
      </c>
      <c r="AN16" s="89">
        <v>111615.5</v>
      </c>
      <c r="AO16" s="89"/>
      <c r="AQ16" s="13"/>
      <c r="AR16" s="43">
        <v>42321</v>
      </c>
      <c r="AS16" s="176">
        <v>0</v>
      </c>
      <c r="AT16" s="24"/>
      <c r="AU16" s="225">
        <v>42321</v>
      </c>
      <c r="AV16" s="28"/>
      <c r="AW16" s="23"/>
      <c r="AX16" s="47">
        <v>42321</v>
      </c>
      <c r="AY16" s="29">
        <v>0</v>
      </c>
      <c r="AZ16" s="319"/>
      <c r="BA16" s="28">
        <v>0</v>
      </c>
      <c r="BB16" s="89"/>
      <c r="BC16" s="89"/>
      <c r="BE16" s="70">
        <v>15644.5</v>
      </c>
    </row>
    <row r="17" spans="1:57" x14ac:dyDescent="0.25">
      <c r="A17" s="13"/>
      <c r="B17" s="43">
        <v>42322</v>
      </c>
      <c r="C17" s="176">
        <v>15338.5</v>
      </c>
      <c r="D17" s="24" t="s">
        <v>726</v>
      </c>
      <c r="E17" s="225">
        <v>42322</v>
      </c>
      <c r="F17" s="28">
        <v>126706</v>
      </c>
      <c r="G17" s="23"/>
      <c r="H17" s="47">
        <v>42322</v>
      </c>
      <c r="I17" s="29">
        <v>0</v>
      </c>
      <c r="J17" s="421" t="s">
        <v>634</v>
      </c>
      <c r="K17" s="28">
        <v>0</v>
      </c>
      <c r="L17" s="89">
        <f>25000+50000+22391.5+16811</f>
        <v>114202.5</v>
      </c>
      <c r="M17" s="89"/>
      <c r="O17" s="13"/>
      <c r="P17" s="43">
        <v>42322</v>
      </c>
      <c r="Q17" s="176">
        <v>15338.5</v>
      </c>
      <c r="R17" s="24" t="s">
        <v>726</v>
      </c>
      <c r="S17" s="225">
        <v>42322</v>
      </c>
      <c r="T17" s="28">
        <v>126706</v>
      </c>
      <c r="U17" s="23"/>
      <c r="V17" s="47">
        <v>42322</v>
      </c>
      <c r="W17" s="29">
        <v>0</v>
      </c>
      <c r="X17" s="421" t="s">
        <v>634</v>
      </c>
      <c r="Y17" s="28">
        <v>0</v>
      </c>
      <c r="Z17" s="89">
        <f>25000+50000+22391.5+16811</f>
        <v>114202.5</v>
      </c>
      <c r="AA17" s="89"/>
      <c r="AC17" s="13"/>
      <c r="AD17" s="43">
        <v>42322</v>
      </c>
      <c r="AE17" s="176">
        <v>15338.5</v>
      </c>
      <c r="AF17" s="24" t="s">
        <v>726</v>
      </c>
      <c r="AG17" s="225">
        <v>42322</v>
      </c>
      <c r="AH17" s="28">
        <v>126706</v>
      </c>
      <c r="AI17" s="23"/>
      <c r="AJ17" s="47">
        <v>42322</v>
      </c>
      <c r="AK17" s="29">
        <v>0</v>
      </c>
      <c r="AL17" s="421" t="s">
        <v>634</v>
      </c>
      <c r="AM17" s="28">
        <v>0</v>
      </c>
      <c r="AN17" s="89">
        <f>25000+50000+22391.5+16811</f>
        <v>114202.5</v>
      </c>
      <c r="AO17" s="89"/>
      <c r="AQ17" s="13"/>
      <c r="AR17" s="43">
        <v>42322</v>
      </c>
      <c r="AS17" s="176"/>
      <c r="AT17" s="24"/>
      <c r="AU17" s="225">
        <v>42322</v>
      </c>
      <c r="AV17" s="28"/>
      <c r="AW17" s="23"/>
      <c r="AX17" s="47">
        <v>42322</v>
      </c>
      <c r="AY17" s="29"/>
      <c r="AZ17" s="421" t="s">
        <v>634</v>
      </c>
      <c r="BA17" s="28">
        <v>0</v>
      </c>
      <c r="BB17" s="89"/>
      <c r="BC17" s="89"/>
      <c r="BE17" s="129">
        <v>130475.85</v>
      </c>
    </row>
    <row r="18" spans="1:57" x14ac:dyDescent="0.25">
      <c r="B18" s="43">
        <v>42323</v>
      </c>
      <c r="C18" s="176">
        <v>0</v>
      </c>
      <c r="D18" s="24"/>
      <c r="E18" s="225">
        <v>42323</v>
      </c>
      <c r="F18" s="28">
        <v>105514</v>
      </c>
      <c r="G18" s="23"/>
      <c r="H18" s="47">
        <v>42323</v>
      </c>
      <c r="I18" s="29">
        <v>100</v>
      </c>
      <c r="J18" s="422"/>
      <c r="K18" s="34">
        <v>0</v>
      </c>
      <c r="L18" s="89">
        <f>50000+40000+15414</f>
        <v>105414</v>
      </c>
      <c r="M18" s="89"/>
      <c r="P18" s="43">
        <v>42323</v>
      </c>
      <c r="Q18" s="176">
        <v>0</v>
      </c>
      <c r="R18" s="24"/>
      <c r="S18" s="225">
        <v>42323</v>
      </c>
      <c r="T18" s="28">
        <v>105514</v>
      </c>
      <c r="U18" s="23"/>
      <c r="V18" s="47">
        <v>42323</v>
      </c>
      <c r="W18" s="29">
        <v>100</v>
      </c>
      <c r="X18" s="422"/>
      <c r="Y18" s="34">
        <v>0</v>
      </c>
      <c r="Z18" s="89">
        <f>50000+40000+15414</f>
        <v>105414</v>
      </c>
      <c r="AA18" s="89"/>
      <c r="AD18" s="43">
        <v>42323</v>
      </c>
      <c r="AE18" s="176">
        <v>0</v>
      </c>
      <c r="AF18" s="24"/>
      <c r="AG18" s="225">
        <v>42323</v>
      </c>
      <c r="AH18" s="28">
        <v>105514</v>
      </c>
      <c r="AI18" s="23"/>
      <c r="AJ18" s="47">
        <v>42323</v>
      </c>
      <c r="AK18" s="29">
        <v>100</v>
      </c>
      <c r="AL18" s="422"/>
      <c r="AM18" s="34">
        <v>0</v>
      </c>
      <c r="AN18" s="89">
        <f>50000+40000+15414</f>
        <v>105414</v>
      </c>
      <c r="AO18" s="89"/>
      <c r="AR18" s="43">
        <v>42323</v>
      </c>
      <c r="AS18" s="176"/>
      <c r="AT18" s="24"/>
      <c r="AU18" s="225">
        <v>42323</v>
      </c>
      <c r="AV18" s="28"/>
      <c r="AW18" s="23"/>
      <c r="AX18" s="47">
        <v>42323</v>
      </c>
      <c r="AY18" s="29"/>
      <c r="AZ18" s="422"/>
      <c r="BA18" s="34">
        <v>0</v>
      </c>
      <c r="BB18" s="89"/>
      <c r="BC18" s="89"/>
      <c r="BE18" s="70">
        <v>197599.05</v>
      </c>
    </row>
    <row r="19" spans="1:57" x14ac:dyDescent="0.25">
      <c r="A19" s="13"/>
      <c r="B19" s="43">
        <v>42324</v>
      </c>
      <c r="C19" s="176">
        <v>1006</v>
      </c>
      <c r="D19" s="24" t="s">
        <v>727</v>
      </c>
      <c r="E19" s="225">
        <v>42324</v>
      </c>
      <c r="F19" s="28">
        <v>126551</v>
      </c>
      <c r="G19" s="23"/>
      <c r="H19" s="47">
        <v>42324</v>
      </c>
      <c r="I19" s="29">
        <v>0</v>
      </c>
      <c r="J19" s="334"/>
      <c r="K19" s="28">
        <v>0</v>
      </c>
      <c r="L19" s="89">
        <f>60000+55000+9647+898</f>
        <v>125545</v>
      </c>
      <c r="M19" s="89"/>
      <c r="O19" s="13"/>
      <c r="P19" s="43">
        <v>42324</v>
      </c>
      <c r="Q19" s="176">
        <v>1006</v>
      </c>
      <c r="R19" s="24" t="s">
        <v>727</v>
      </c>
      <c r="S19" s="225">
        <v>42324</v>
      </c>
      <c r="T19" s="28">
        <v>126551</v>
      </c>
      <c r="U19" s="23"/>
      <c r="V19" s="47">
        <v>42324</v>
      </c>
      <c r="W19" s="29">
        <v>0</v>
      </c>
      <c r="X19" s="334"/>
      <c r="Y19" s="28">
        <v>0</v>
      </c>
      <c r="Z19" s="89">
        <f>60000+55000+9647+898</f>
        <v>125545</v>
      </c>
      <c r="AA19" s="89"/>
      <c r="AC19" s="13"/>
      <c r="AD19" s="43">
        <v>42324</v>
      </c>
      <c r="AE19" s="176">
        <v>1006</v>
      </c>
      <c r="AF19" s="24" t="s">
        <v>727</v>
      </c>
      <c r="AG19" s="225">
        <v>42324</v>
      </c>
      <c r="AH19" s="28">
        <v>126551</v>
      </c>
      <c r="AI19" s="23"/>
      <c r="AJ19" s="47">
        <v>42324</v>
      </c>
      <c r="AK19" s="29">
        <v>0</v>
      </c>
      <c r="AL19" s="334"/>
      <c r="AM19" s="28">
        <v>0</v>
      </c>
      <c r="AN19" s="89">
        <f>60000+55000+9647+898</f>
        <v>125545</v>
      </c>
      <c r="AO19" s="89"/>
      <c r="AQ19" s="13"/>
      <c r="AR19" s="43">
        <v>42324</v>
      </c>
      <c r="AS19" s="176"/>
      <c r="AT19" s="24"/>
      <c r="AU19" s="225">
        <v>42324</v>
      </c>
      <c r="AV19" s="28"/>
      <c r="AW19" s="23"/>
      <c r="AX19" s="47">
        <v>42324</v>
      </c>
      <c r="AY19" s="29"/>
      <c r="AZ19" s="334" t="s">
        <v>283</v>
      </c>
      <c r="BA19" s="28">
        <v>0</v>
      </c>
      <c r="BB19" s="89"/>
      <c r="BC19" s="89"/>
      <c r="BE19" s="70">
        <v>8528</v>
      </c>
    </row>
    <row r="20" spans="1:57" ht="15.75" customHeight="1" x14ac:dyDescent="0.25">
      <c r="B20" s="43">
        <v>42325</v>
      </c>
      <c r="C20" s="176">
        <v>2489</v>
      </c>
      <c r="D20" s="24" t="s">
        <v>728</v>
      </c>
      <c r="E20" s="225">
        <v>42325</v>
      </c>
      <c r="F20" s="28">
        <v>35569</v>
      </c>
      <c r="G20" s="23"/>
      <c r="H20" s="47">
        <v>42325</v>
      </c>
      <c r="I20" s="127">
        <v>0</v>
      </c>
      <c r="J20" s="498" t="s">
        <v>729</v>
      </c>
      <c r="K20" s="430">
        <v>8217</v>
      </c>
      <c r="L20" s="89">
        <v>24863</v>
      </c>
      <c r="M20" s="89"/>
      <c r="P20" s="43">
        <v>42325</v>
      </c>
      <c r="Q20" s="176">
        <v>2489</v>
      </c>
      <c r="R20" s="24" t="s">
        <v>728</v>
      </c>
      <c r="S20" s="225">
        <v>42325</v>
      </c>
      <c r="T20" s="28">
        <v>35569</v>
      </c>
      <c r="U20" s="23"/>
      <c r="V20" s="47">
        <v>42325</v>
      </c>
      <c r="W20" s="127">
        <v>0</v>
      </c>
      <c r="X20" s="498" t="s">
        <v>729</v>
      </c>
      <c r="Y20" s="430">
        <v>8217</v>
      </c>
      <c r="Z20" s="89">
        <v>24863</v>
      </c>
      <c r="AA20" s="89"/>
      <c r="AD20" s="43">
        <v>42325</v>
      </c>
      <c r="AE20" s="176">
        <v>2489</v>
      </c>
      <c r="AF20" s="24" t="s">
        <v>728</v>
      </c>
      <c r="AG20" s="225">
        <v>42325</v>
      </c>
      <c r="AH20" s="28">
        <v>35569</v>
      </c>
      <c r="AI20" s="23"/>
      <c r="AJ20" s="47">
        <v>42325</v>
      </c>
      <c r="AK20" s="127">
        <v>0</v>
      </c>
      <c r="AL20" s="498" t="s">
        <v>729</v>
      </c>
      <c r="AM20" s="430">
        <v>8217</v>
      </c>
      <c r="AN20" s="89">
        <v>24863</v>
      </c>
      <c r="AO20" s="89"/>
      <c r="AR20" s="43">
        <v>42325</v>
      </c>
      <c r="AS20" s="176"/>
      <c r="AT20" s="24"/>
      <c r="AU20" s="225">
        <v>42325</v>
      </c>
      <c r="AV20" s="28"/>
      <c r="AW20" s="23"/>
      <c r="AX20" s="47">
        <v>42325</v>
      </c>
      <c r="AY20" s="29"/>
      <c r="AZ20" s="334"/>
      <c r="BA20" s="28">
        <v>0</v>
      </c>
      <c r="BB20" s="89"/>
      <c r="BC20" s="89"/>
      <c r="BE20" s="70">
        <v>53199.34</v>
      </c>
    </row>
    <row r="21" spans="1:57" ht="18" customHeight="1" x14ac:dyDescent="0.25">
      <c r="B21" s="43">
        <v>42326</v>
      </c>
      <c r="C21" s="176">
        <v>0</v>
      </c>
      <c r="D21" s="59"/>
      <c r="E21" s="225">
        <v>42326</v>
      </c>
      <c r="F21" s="28">
        <v>121870.5</v>
      </c>
      <c r="G21" s="23"/>
      <c r="H21" s="47">
        <v>42326</v>
      </c>
      <c r="I21" s="127">
        <v>0</v>
      </c>
      <c r="J21" s="499"/>
      <c r="K21" s="34">
        <v>0</v>
      </c>
      <c r="L21" s="89">
        <f>55000+45000+21870.5</f>
        <v>121870.5</v>
      </c>
      <c r="M21" s="89"/>
      <c r="P21" s="43">
        <v>42326</v>
      </c>
      <c r="Q21" s="176">
        <v>0</v>
      </c>
      <c r="R21" s="59"/>
      <c r="S21" s="225">
        <v>42326</v>
      </c>
      <c r="T21" s="28">
        <v>121870.5</v>
      </c>
      <c r="U21" s="23"/>
      <c r="V21" s="47">
        <v>42326</v>
      </c>
      <c r="W21" s="127">
        <v>0</v>
      </c>
      <c r="X21" s="499"/>
      <c r="Y21" s="34">
        <v>0</v>
      </c>
      <c r="Z21" s="89">
        <f>55000+45000+21870.5</f>
        <v>121870.5</v>
      </c>
      <c r="AA21" s="89"/>
      <c r="AD21" s="43">
        <v>42326</v>
      </c>
      <c r="AE21" s="176"/>
      <c r="AF21" s="59"/>
      <c r="AG21" s="225">
        <v>42326</v>
      </c>
      <c r="AH21" s="28"/>
      <c r="AI21" s="23"/>
      <c r="AJ21" s="47">
        <v>42326</v>
      </c>
      <c r="AK21" s="127">
        <v>0</v>
      </c>
      <c r="AL21" s="499"/>
      <c r="AM21" s="34">
        <v>0</v>
      </c>
      <c r="AN21" s="89"/>
      <c r="AO21" s="89"/>
      <c r="AP21" s="23"/>
      <c r="AR21" s="43">
        <v>42326</v>
      </c>
      <c r="AS21" s="176"/>
      <c r="AT21" s="59"/>
      <c r="AU21" s="225">
        <v>42326</v>
      </c>
      <c r="AV21" s="28"/>
      <c r="AW21" s="23"/>
      <c r="AX21" s="47">
        <v>42326</v>
      </c>
      <c r="AY21" s="29"/>
      <c r="AZ21" s="50"/>
      <c r="BA21" s="34">
        <v>0</v>
      </c>
      <c r="BB21" s="89"/>
      <c r="BC21" s="89"/>
      <c r="BE21" s="1">
        <f>SUM(BE11:BE20)</f>
        <v>713701.2699999999</v>
      </c>
    </row>
    <row r="22" spans="1:57" x14ac:dyDescent="0.25">
      <c r="B22" s="43">
        <v>42327</v>
      </c>
      <c r="C22" s="176">
        <v>604</v>
      </c>
      <c r="D22" s="59" t="s">
        <v>502</v>
      </c>
      <c r="E22" s="225">
        <v>42327</v>
      </c>
      <c r="F22" s="28">
        <v>78141.5</v>
      </c>
      <c r="G22" s="20"/>
      <c r="H22" s="47">
        <v>42327</v>
      </c>
      <c r="I22" s="29">
        <v>0</v>
      </c>
      <c r="J22" s="50"/>
      <c r="K22" s="34">
        <v>0</v>
      </c>
      <c r="L22" s="89">
        <f>40000+37537.5</f>
        <v>77537.5</v>
      </c>
      <c r="M22" s="89"/>
      <c r="P22" s="43">
        <v>42327</v>
      </c>
      <c r="Q22" s="176">
        <v>604</v>
      </c>
      <c r="R22" s="59" t="s">
        <v>502</v>
      </c>
      <c r="S22" s="225">
        <v>42327</v>
      </c>
      <c r="T22" s="28">
        <v>78141.5</v>
      </c>
      <c r="U22" s="20"/>
      <c r="V22" s="47">
        <v>42327</v>
      </c>
      <c r="W22" s="29">
        <v>0</v>
      </c>
      <c r="X22" s="50"/>
      <c r="Y22" s="34">
        <v>0</v>
      </c>
      <c r="Z22" s="89">
        <f>40000+37537.5</f>
        <v>77537.5</v>
      </c>
      <c r="AA22" s="89"/>
      <c r="AD22" s="43">
        <v>42327</v>
      </c>
      <c r="AE22" s="176"/>
      <c r="AF22" s="59"/>
      <c r="AG22" s="225">
        <v>42327</v>
      </c>
      <c r="AH22" s="28"/>
      <c r="AI22" s="20"/>
      <c r="AJ22" s="47">
        <v>42327</v>
      </c>
      <c r="AK22" s="29">
        <v>0</v>
      </c>
      <c r="AL22" s="50"/>
      <c r="AM22" s="34">
        <v>0</v>
      </c>
      <c r="AN22" s="89"/>
      <c r="AO22" s="89"/>
      <c r="AP22" s="23"/>
      <c r="AR22" s="43">
        <v>42327</v>
      </c>
      <c r="AS22" s="176"/>
      <c r="AT22" s="59"/>
      <c r="AU22" s="225">
        <v>42327</v>
      </c>
      <c r="AV22" s="28"/>
      <c r="AW22" s="20"/>
      <c r="AX22" s="47">
        <v>42327</v>
      </c>
      <c r="AY22" s="29"/>
      <c r="AZ22" s="50"/>
      <c r="BA22" s="34">
        <v>0</v>
      </c>
      <c r="BB22" s="89"/>
      <c r="BC22" s="89"/>
    </row>
    <row r="23" spans="1:57" ht="19.5" customHeight="1" x14ac:dyDescent="0.25">
      <c r="A23" s="13"/>
      <c r="B23" s="43">
        <v>42328</v>
      </c>
      <c r="C23" s="176">
        <v>0</v>
      </c>
      <c r="D23" s="59"/>
      <c r="E23" s="225">
        <v>42328</v>
      </c>
      <c r="F23" s="28">
        <v>117002.5</v>
      </c>
      <c r="G23" s="23"/>
      <c r="H23" s="47">
        <v>42328</v>
      </c>
      <c r="I23" s="29">
        <v>0</v>
      </c>
      <c r="J23" s="57"/>
      <c r="K23" s="28">
        <v>0</v>
      </c>
      <c r="L23" s="89">
        <f>45000+40000+32002.5</f>
        <v>117002.5</v>
      </c>
      <c r="M23" s="85"/>
      <c r="O23" s="13"/>
      <c r="P23" s="43">
        <v>42328</v>
      </c>
      <c r="Q23" s="176">
        <v>0</v>
      </c>
      <c r="R23" s="59"/>
      <c r="S23" s="225">
        <v>42328</v>
      </c>
      <c r="T23" s="28">
        <v>117002.5</v>
      </c>
      <c r="U23" s="23"/>
      <c r="V23" s="47">
        <v>42328</v>
      </c>
      <c r="W23" s="29">
        <v>0</v>
      </c>
      <c r="X23" s="57"/>
      <c r="Y23" s="28">
        <v>0</v>
      </c>
      <c r="Z23" s="89">
        <f>45000+40000+32002.5</f>
        <v>117002.5</v>
      </c>
      <c r="AA23" s="85"/>
      <c r="AC23" s="13"/>
      <c r="AD23" s="43">
        <v>42328</v>
      </c>
      <c r="AE23" s="176"/>
      <c r="AF23" s="59"/>
      <c r="AG23" s="225">
        <v>42328</v>
      </c>
      <c r="AH23" s="28"/>
      <c r="AI23" s="23"/>
      <c r="AJ23" s="47">
        <v>42328</v>
      </c>
      <c r="AK23" s="29">
        <v>0</v>
      </c>
      <c r="AL23" s="57"/>
      <c r="AM23" s="28">
        <v>0</v>
      </c>
      <c r="AN23" s="89"/>
      <c r="AO23" s="85"/>
      <c r="AP23" s="23"/>
      <c r="AQ23" s="13"/>
      <c r="AR23" s="43">
        <v>42328</v>
      </c>
      <c r="AS23" s="176"/>
      <c r="AT23" s="59"/>
      <c r="AU23" s="225">
        <v>42328</v>
      </c>
      <c r="AV23" s="28"/>
      <c r="AW23" s="23"/>
      <c r="AX23" s="47">
        <v>42328</v>
      </c>
      <c r="AY23" s="29"/>
      <c r="AZ23" s="57"/>
      <c r="BA23" s="28">
        <v>0</v>
      </c>
      <c r="BB23" s="89"/>
      <c r="BC23" s="85"/>
    </row>
    <row r="24" spans="1:57" ht="16.5" customHeight="1" x14ac:dyDescent="0.25">
      <c r="A24" s="13"/>
      <c r="B24" s="43">
        <v>42329</v>
      </c>
      <c r="C24" s="176">
        <v>3518</v>
      </c>
      <c r="D24" s="59" t="s">
        <v>730</v>
      </c>
      <c r="E24" s="225">
        <v>42329</v>
      </c>
      <c r="F24" s="28">
        <v>118686</v>
      </c>
      <c r="G24" s="23"/>
      <c r="H24" s="47">
        <v>42329</v>
      </c>
      <c r="I24" s="29">
        <v>0</v>
      </c>
      <c r="J24" s="319"/>
      <c r="K24" s="34"/>
      <c r="L24" s="89">
        <f>85000+30168</f>
        <v>115168</v>
      </c>
      <c r="M24" s="85"/>
      <c r="O24" s="13"/>
      <c r="P24" s="43">
        <v>42329</v>
      </c>
      <c r="Q24" s="176">
        <v>3518</v>
      </c>
      <c r="R24" s="59" t="s">
        <v>730</v>
      </c>
      <c r="S24" s="225">
        <v>42329</v>
      </c>
      <c r="T24" s="28">
        <v>118686</v>
      </c>
      <c r="U24" s="23"/>
      <c r="V24" s="47">
        <v>42329</v>
      </c>
      <c r="W24" s="29">
        <v>0</v>
      </c>
      <c r="X24" s="319"/>
      <c r="Y24" s="34"/>
      <c r="Z24" s="89">
        <f>85000+30168</f>
        <v>115168</v>
      </c>
      <c r="AA24" s="85"/>
      <c r="AC24" s="13"/>
      <c r="AD24" s="43">
        <v>42329</v>
      </c>
      <c r="AE24" s="176"/>
      <c r="AF24" s="59"/>
      <c r="AG24" s="225">
        <v>42329</v>
      </c>
      <c r="AH24" s="28"/>
      <c r="AI24" s="23"/>
      <c r="AJ24" s="47">
        <v>42329</v>
      </c>
      <c r="AK24" s="29">
        <v>0</v>
      </c>
      <c r="AL24" s="319"/>
      <c r="AM24" s="34"/>
      <c r="AN24" s="89"/>
      <c r="AO24" s="85"/>
      <c r="AP24" s="23"/>
      <c r="AQ24" s="13"/>
      <c r="AR24" s="43">
        <v>42329</v>
      </c>
      <c r="AS24" s="176"/>
      <c r="AT24" s="59"/>
      <c r="AU24" s="225">
        <v>42329</v>
      </c>
      <c r="AV24" s="28"/>
      <c r="AW24" s="23"/>
      <c r="AX24" s="47">
        <v>42329</v>
      </c>
      <c r="AY24" s="29"/>
      <c r="AZ24" s="319"/>
      <c r="BA24" s="34"/>
      <c r="BB24" s="89"/>
      <c r="BC24" s="85"/>
    </row>
    <row r="25" spans="1:57" x14ac:dyDescent="0.25">
      <c r="B25" s="43">
        <v>42330</v>
      </c>
      <c r="C25" s="176">
        <v>2844</v>
      </c>
      <c r="D25" s="24" t="s">
        <v>731</v>
      </c>
      <c r="E25" s="225">
        <v>42330</v>
      </c>
      <c r="F25" s="28">
        <v>89355.5</v>
      </c>
      <c r="G25" s="23"/>
      <c r="H25" s="47">
        <v>42330</v>
      </c>
      <c r="I25" s="29">
        <v>0</v>
      </c>
      <c r="J25" s="50"/>
      <c r="K25" s="34"/>
      <c r="L25" s="89">
        <f>42000+44511.5</f>
        <v>86511.5</v>
      </c>
      <c r="M25" s="85"/>
      <c r="P25" s="43">
        <v>42330</v>
      </c>
      <c r="Q25" s="176">
        <v>2844</v>
      </c>
      <c r="R25" s="24" t="s">
        <v>731</v>
      </c>
      <c r="S25" s="225">
        <v>42330</v>
      </c>
      <c r="T25" s="28">
        <v>89355.5</v>
      </c>
      <c r="U25" s="23"/>
      <c r="V25" s="47">
        <v>42330</v>
      </c>
      <c r="W25" s="29">
        <v>0</v>
      </c>
      <c r="X25" s="50"/>
      <c r="Y25" s="34"/>
      <c r="Z25" s="89">
        <f>42000+44511.5</f>
        <v>86511.5</v>
      </c>
      <c r="AA25" s="449">
        <v>42000</v>
      </c>
      <c r="AD25" s="43">
        <v>42330</v>
      </c>
      <c r="AE25" s="176"/>
      <c r="AF25" s="24"/>
      <c r="AG25" s="225">
        <v>42330</v>
      </c>
      <c r="AH25" s="28"/>
      <c r="AI25" s="23"/>
      <c r="AJ25" s="47">
        <v>42330</v>
      </c>
      <c r="AK25" s="29">
        <v>0</v>
      </c>
      <c r="AL25" s="50"/>
      <c r="AM25" s="34"/>
      <c r="AN25" s="89"/>
      <c r="AO25" s="85"/>
      <c r="AP25" s="23"/>
      <c r="AR25" s="43">
        <v>42330</v>
      </c>
      <c r="AS25" s="176"/>
      <c r="AT25" s="24"/>
      <c r="AU25" s="225">
        <v>42330</v>
      </c>
      <c r="AV25" s="28"/>
      <c r="AW25" s="23"/>
      <c r="AX25" s="47">
        <v>42330</v>
      </c>
      <c r="AY25" s="29"/>
      <c r="AZ25" s="50"/>
      <c r="BA25" s="34"/>
      <c r="BB25" s="89"/>
      <c r="BC25" s="85"/>
    </row>
    <row r="26" spans="1:57" x14ac:dyDescent="0.25">
      <c r="B26" s="43">
        <v>42331</v>
      </c>
      <c r="C26" s="176">
        <v>0</v>
      </c>
      <c r="D26" s="24"/>
      <c r="E26" s="225">
        <v>42331</v>
      </c>
      <c r="F26" s="28">
        <v>167022</v>
      </c>
      <c r="G26" s="23"/>
      <c r="H26" s="47">
        <v>42331</v>
      </c>
      <c r="I26" s="29">
        <v>100</v>
      </c>
      <c r="J26" s="50"/>
      <c r="K26" s="34"/>
      <c r="L26" s="89">
        <f>105000+10746+7597+6764+6271+30544</f>
        <v>166922</v>
      </c>
      <c r="M26" s="85"/>
      <c r="P26" s="43">
        <v>42331</v>
      </c>
      <c r="Q26" s="176">
        <v>0</v>
      </c>
      <c r="R26" s="24"/>
      <c r="S26" s="225">
        <v>42331</v>
      </c>
      <c r="T26" s="28">
        <v>167022</v>
      </c>
      <c r="U26" s="23"/>
      <c r="V26" s="47">
        <v>42331</v>
      </c>
      <c r="W26" s="29">
        <v>100</v>
      </c>
      <c r="X26" s="50"/>
      <c r="Y26" s="34"/>
      <c r="Z26" s="89">
        <f>105000+10746+7597+6764+6271+30544</f>
        <v>166922</v>
      </c>
      <c r="AA26" s="85"/>
      <c r="AD26" s="43">
        <v>42331</v>
      </c>
      <c r="AE26" s="176"/>
      <c r="AF26" s="24"/>
      <c r="AG26" s="225">
        <v>42331</v>
      </c>
      <c r="AH26" s="28"/>
      <c r="AI26" s="23"/>
      <c r="AJ26" s="47">
        <v>42331</v>
      </c>
      <c r="AK26" s="29">
        <v>0</v>
      </c>
      <c r="AL26" s="50"/>
      <c r="AM26" s="34"/>
      <c r="AN26" s="89"/>
      <c r="AO26" s="85"/>
      <c r="AP26" s="23"/>
      <c r="AR26" s="43">
        <v>42331</v>
      </c>
      <c r="AS26" s="176"/>
      <c r="AT26" s="24"/>
      <c r="AU26" s="225">
        <v>42331</v>
      </c>
      <c r="AV26" s="28"/>
      <c r="AW26" s="23"/>
      <c r="AX26" s="47">
        <v>42331</v>
      </c>
      <c r="AY26" s="29"/>
      <c r="AZ26" s="50"/>
      <c r="BA26" s="34"/>
      <c r="BB26" s="89"/>
      <c r="BC26" s="85"/>
    </row>
    <row r="27" spans="1:57" x14ac:dyDescent="0.25">
      <c r="B27" s="43">
        <v>42332</v>
      </c>
      <c r="C27" s="176">
        <v>0</v>
      </c>
      <c r="D27" s="24"/>
      <c r="E27" s="225">
        <v>42332</v>
      </c>
      <c r="F27" s="28">
        <v>26504</v>
      </c>
      <c r="G27" s="23"/>
      <c r="H27" s="47">
        <v>42332</v>
      </c>
      <c r="I27" s="29">
        <v>0</v>
      </c>
      <c r="J27" s="50"/>
      <c r="K27" s="34"/>
      <c r="L27" s="89">
        <v>26504</v>
      </c>
      <c r="M27" s="85"/>
      <c r="P27" s="43">
        <v>42332</v>
      </c>
      <c r="Q27" s="176"/>
      <c r="R27" s="24"/>
      <c r="S27" s="225">
        <v>42332</v>
      </c>
      <c r="T27" s="28"/>
      <c r="U27" s="23"/>
      <c r="V27" s="47">
        <v>42332</v>
      </c>
      <c r="W27" s="29">
        <v>0</v>
      </c>
      <c r="X27" s="50"/>
      <c r="Y27" s="34"/>
      <c r="Z27" s="89"/>
      <c r="AA27" s="85"/>
      <c r="AB27" s="23"/>
      <c r="AD27" s="43">
        <v>42332</v>
      </c>
      <c r="AE27" s="176"/>
      <c r="AF27" s="24"/>
      <c r="AG27" s="225">
        <v>42332</v>
      </c>
      <c r="AH27" s="28"/>
      <c r="AI27" s="23"/>
      <c r="AJ27" s="47">
        <v>42332</v>
      </c>
      <c r="AK27" s="29">
        <v>0</v>
      </c>
      <c r="AL27" s="50"/>
      <c r="AM27" s="34"/>
      <c r="AN27" s="89"/>
      <c r="AO27" s="85"/>
      <c r="AP27" s="23"/>
      <c r="AR27" s="43">
        <v>42332</v>
      </c>
      <c r="AS27" s="176"/>
      <c r="AT27" s="24"/>
      <c r="AU27" s="225">
        <v>42332</v>
      </c>
      <c r="AV27" s="28"/>
      <c r="AW27" s="23"/>
      <c r="AX27" s="47">
        <v>42332</v>
      </c>
      <c r="AY27" s="29"/>
      <c r="AZ27" s="50"/>
      <c r="BA27" s="34"/>
      <c r="BB27" s="89"/>
      <c r="BC27" s="85"/>
    </row>
    <row r="28" spans="1:57" x14ac:dyDescent="0.25">
      <c r="B28" s="43">
        <v>42333</v>
      </c>
      <c r="C28" s="176">
        <v>5682</v>
      </c>
      <c r="D28" s="24" t="s">
        <v>739</v>
      </c>
      <c r="E28" s="225">
        <v>42333</v>
      </c>
      <c r="F28" s="28">
        <v>97660.5</v>
      </c>
      <c r="G28" s="23"/>
      <c r="H28" s="47">
        <v>42333</v>
      </c>
      <c r="I28" s="29">
        <v>60</v>
      </c>
      <c r="J28" s="50"/>
      <c r="K28" s="34"/>
      <c r="L28" s="89">
        <f>20000+71918.5</f>
        <v>91918.5</v>
      </c>
      <c r="M28" s="127"/>
      <c r="P28" s="43">
        <v>42333</v>
      </c>
      <c r="Q28" s="176"/>
      <c r="R28" s="24"/>
      <c r="S28" s="225">
        <v>42333</v>
      </c>
      <c r="T28" s="28"/>
      <c r="U28" s="23"/>
      <c r="V28" s="47">
        <v>42333</v>
      </c>
      <c r="W28" s="29">
        <v>0</v>
      </c>
      <c r="X28" s="50"/>
      <c r="Y28" s="34"/>
      <c r="Z28" s="89"/>
      <c r="AA28" s="85"/>
      <c r="AB28" s="23"/>
      <c r="AD28" s="43">
        <v>42333</v>
      </c>
      <c r="AE28" s="176"/>
      <c r="AF28" s="24"/>
      <c r="AG28" s="225">
        <v>42333</v>
      </c>
      <c r="AH28" s="28"/>
      <c r="AI28" s="23"/>
      <c r="AJ28" s="47">
        <v>42333</v>
      </c>
      <c r="AK28" s="29">
        <v>0</v>
      </c>
      <c r="AL28" s="50"/>
      <c r="AM28" s="34"/>
      <c r="AN28" s="89"/>
      <c r="AO28" s="127"/>
      <c r="AP28" s="23"/>
      <c r="AR28" s="43">
        <v>42333</v>
      </c>
      <c r="AS28" s="176"/>
      <c r="AT28" s="24"/>
      <c r="AU28" s="225">
        <v>42333</v>
      </c>
      <c r="AV28" s="28"/>
      <c r="AW28" s="23"/>
      <c r="AX28" s="47">
        <v>42333</v>
      </c>
      <c r="AY28" s="29"/>
      <c r="AZ28" s="50"/>
      <c r="BA28" s="34"/>
      <c r="BB28" s="89"/>
      <c r="BC28" s="127"/>
    </row>
    <row r="29" spans="1:57" ht="19.5" customHeight="1" x14ac:dyDescent="0.25">
      <c r="B29" s="43">
        <v>42334</v>
      </c>
      <c r="C29" s="176">
        <v>5136</v>
      </c>
      <c r="D29" s="24" t="s">
        <v>59</v>
      </c>
      <c r="E29" s="225">
        <v>42334</v>
      </c>
      <c r="F29" s="28">
        <v>77073</v>
      </c>
      <c r="G29" s="23"/>
      <c r="H29" s="47">
        <v>42334</v>
      </c>
      <c r="I29" s="29">
        <v>0</v>
      </c>
      <c r="J29" s="50"/>
      <c r="K29" s="34"/>
      <c r="L29" s="89">
        <f>46000+25937</f>
        <v>71937</v>
      </c>
      <c r="M29" s="85"/>
      <c r="P29" s="43">
        <v>42334</v>
      </c>
      <c r="Q29" s="176"/>
      <c r="R29" s="24"/>
      <c r="S29" s="225">
        <v>42334</v>
      </c>
      <c r="T29" s="28"/>
      <c r="U29" s="23"/>
      <c r="V29" s="47">
        <v>42334</v>
      </c>
      <c r="W29" s="29">
        <v>0</v>
      </c>
      <c r="X29" s="50"/>
      <c r="Y29" s="34"/>
      <c r="Z29" s="89"/>
      <c r="AA29" s="85"/>
      <c r="AB29" s="23"/>
      <c r="AD29" s="43">
        <v>42334</v>
      </c>
      <c r="AE29" s="176"/>
      <c r="AF29" s="24"/>
      <c r="AG29" s="225">
        <v>42334</v>
      </c>
      <c r="AH29" s="28"/>
      <c r="AI29" s="23"/>
      <c r="AJ29" s="47">
        <v>42334</v>
      </c>
      <c r="AK29" s="29">
        <v>0</v>
      </c>
      <c r="AL29" s="50"/>
      <c r="AM29" s="34"/>
      <c r="AN29" s="89"/>
      <c r="AO29" s="85"/>
      <c r="AP29" s="23"/>
      <c r="AR29" s="43">
        <v>42334</v>
      </c>
      <c r="AS29" s="176"/>
      <c r="AT29" s="24"/>
      <c r="AU29" s="225">
        <v>42334</v>
      </c>
      <c r="AV29" s="28"/>
      <c r="AW29" s="23"/>
      <c r="AX29" s="47">
        <v>42334</v>
      </c>
      <c r="AY29" s="29"/>
      <c r="AZ29" s="50"/>
      <c r="BA29" s="34"/>
      <c r="BB29" s="89"/>
      <c r="BC29" s="85"/>
    </row>
    <row r="30" spans="1:57" ht="16.5" customHeight="1" x14ac:dyDescent="0.25">
      <c r="B30" s="43">
        <v>42335</v>
      </c>
      <c r="C30" s="176">
        <v>0</v>
      </c>
      <c r="D30" s="24"/>
      <c r="E30" s="225">
        <v>42335</v>
      </c>
      <c r="F30" s="28">
        <v>134128</v>
      </c>
      <c r="G30" s="23"/>
      <c r="H30" s="47">
        <v>42335</v>
      </c>
      <c r="I30" s="29">
        <v>30</v>
      </c>
      <c r="J30" s="50"/>
      <c r="K30" s="34"/>
      <c r="L30" s="89">
        <f>80000+35000+19098.5</f>
        <v>134098.5</v>
      </c>
      <c r="M30" s="85"/>
      <c r="P30" s="43">
        <v>42335</v>
      </c>
      <c r="Q30" s="176"/>
      <c r="R30" s="24"/>
      <c r="S30" s="225">
        <v>42335</v>
      </c>
      <c r="T30" s="28"/>
      <c r="U30" s="23"/>
      <c r="V30" s="47">
        <v>42335</v>
      </c>
      <c r="W30" s="29">
        <v>0</v>
      </c>
      <c r="X30" s="50"/>
      <c r="Y30" s="34"/>
      <c r="Z30" s="89"/>
      <c r="AA30" s="85"/>
      <c r="AB30" s="23"/>
      <c r="AD30" s="43">
        <v>42335</v>
      </c>
      <c r="AE30" s="176"/>
      <c r="AF30" s="24"/>
      <c r="AG30" s="225">
        <v>42335</v>
      </c>
      <c r="AH30" s="28"/>
      <c r="AI30" s="23"/>
      <c r="AJ30" s="47">
        <v>42335</v>
      </c>
      <c r="AK30" s="29">
        <v>0</v>
      </c>
      <c r="AL30" s="50"/>
      <c r="AM30" s="34"/>
      <c r="AN30" s="89"/>
      <c r="AO30" s="85"/>
      <c r="AP30" s="23"/>
      <c r="AR30" s="43">
        <v>42335</v>
      </c>
      <c r="AS30" s="176"/>
      <c r="AT30" s="24"/>
      <c r="AU30" s="225">
        <v>42335</v>
      </c>
      <c r="AV30" s="28"/>
      <c r="AW30" s="23"/>
      <c r="AX30" s="47">
        <v>42335</v>
      </c>
      <c r="AY30" s="29"/>
      <c r="AZ30" s="50"/>
      <c r="BA30" s="34"/>
      <c r="BB30" s="89"/>
      <c r="BC30" s="85"/>
    </row>
    <row r="31" spans="1:57" x14ac:dyDescent="0.25">
      <c r="B31" s="43">
        <v>42336</v>
      </c>
      <c r="C31" s="176">
        <v>5431</v>
      </c>
      <c r="D31" s="24" t="s">
        <v>59</v>
      </c>
      <c r="E31" s="225">
        <v>42336</v>
      </c>
      <c r="F31" s="28">
        <v>141902</v>
      </c>
      <c r="G31" s="23"/>
      <c r="H31" s="47">
        <v>42336</v>
      </c>
      <c r="I31" s="29">
        <v>0</v>
      </c>
      <c r="J31" s="50"/>
      <c r="K31" s="34"/>
      <c r="L31" s="349">
        <f>75000+40000+21471</f>
        <v>136471</v>
      </c>
      <c r="M31" s="85"/>
      <c r="P31" s="43">
        <v>42336</v>
      </c>
      <c r="Q31" s="176"/>
      <c r="R31" s="24"/>
      <c r="S31" s="225">
        <v>42336</v>
      </c>
      <c r="T31" s="28"/>
      <c r="U31" s="23"/>
      <c r="V31" s="47">
        <v>42336</v>
      </c>
      <c r="W31" s="29">
        <v>0</v>
      </c>
      <c r="X31" s="50"/>
      <c r="Y31" s="34"/>
      <c r="Z31" s="89"/>
      <c r="AA31" s="85"/>
      <c r="AB31" s="23"/>
      <c r="AD31" s="43">
        <v>42336</v>
      </c>
      <c r="AE31" s="176"/>
      <c r="AF31" s="24"/>
      <c r="AG31" s="225">
        <v>42336</v>
      </c>
      <c r="AH31" s="28"/>
      <c r="AI31" s="23"/>
      <c r="AJ31" s="47">
        <v>42336</v>
      </c>
      <c r="AK31" s="29">
        <v>0</v>
      </c>
      <c r="AL31" s="50"/>
      <c r="AM31" s="34"/>
      <c r="AN31" s="89"/>
      <c r="AO31" s="85"/>
      <c r="AP31" s="23"/>
      <c r="AR31" s="43">
        <v>42336</v>
      </c>
      <c r="AS31" s="176"/>
      <c r="AT31" s="24"/>
      <c r="AU31" s="225">
        <v>42336</v>
      </c>
      <c r="AV31" s="28"/>
      <c r="AW31" s="23"/>
      <c r="AX31" s="47">
        <v>42336</v>
      </c>
      <c r="AY31" s="29"/>
      <c r="AZ31" s="50"/>
      <c r="BA31" s="34"/>
      <c r="BB31" s="89"/>
      <c r="BC31" s="85"/>
    </row>
    <row r="32" spans="1:57" x14ac:dyDescent="0.25">
      <c r="B32" s="43">
        <v>42337</v>
      </c>
      <c r="C32" s="176">
        <v>1877</v>
      </c>
      <c r="D32" s="25" t="s">
        <v>59</v>
      </c>
      <c r="E32" s="225">
        <v>42337</v>
      </c>
      <c r="F32" s="28">
        <v>95828.5</v>
      </c>
      <c r="G32" s="23"/>
      <c r="H32" s="47">
        <v>42337</v>
      </c>
      <c r="I32" s="29">
        <v>100</v>
      </c>
      <c r="J32" s="50"/>
      <c r="K32" s="34"/>
      <c r="L32" s="349">
        <f>30000+29500+31351.5</f>
        <v>90851.5</v>
      </c>
      <c r="M32" s="453" t="s">
        <v>740</v>
      </c>
      <c r="P32" s="43">
        <v>42337</v>
      </c>
      <c r="Q32" s="176"/>
      <c r="R32" s="25"/>
      <c r="S32" s="225">
        <v>42337</v>
      </c>
      <c r="T32" s="28"/>
      <c r="U32" s="23"/>
      <c r="V32" s="47">
        <v>42337</v>
      </c>
      <c r="W32" s="29">
        <v>0</v>
      </c>
      <c r="X32" s="50"/>
      <c r="Y32" s="34"/>
      <c r="Z32" s="89"/>
      <c r="AA32" s="85"/>
      <c r="AB32" s="23"/>
      <c r="AD32" s="43">
        <v>42337</v>
      </c>
      <c r="AE32" s="176"/>
      <c r="AF32" s="25"/>
      <c r="AG32" s="225">
        <v>42337</v>
      </c>
      <c r="AH32" s="28"/>
      <c r="AI32" s="23"/>
      <c r="AJ32" s="47">
        <v>42337</v>
      </c>
      <c r="AK32" s="29">
        <v>0</v>
      </c>
      <c r="AL32" s="50"/>
      <c r="AM32" s="34"/>
      <c r="AN32" s="89"/>
      <c r="AO32" s="85"/>
      <c r="AP32" s="23"/>
      <c r="AR32" s="43">
        <v>42337</v>
      </c>
      <c r="AS32" s="176"/>
      <c r="AT32" s="25"/>
      <c r="AU32" s="225">
        <v>42337</v>
      </c>
      <c r="AV32" s="28"/>
      <c r="AW32" s="23"/>
      <c r="AX32" s="47">
        <v>42337</v>
      </c>
      <c r="AY32" s="29"/>
      <c r="AZ32" s="50"/>
      <c r="BA32" s="34"/>
      <c r="BB32" s="89"/>
      <c r="BC32" s="85"/>
    </row>
    <row r="33" spans="1:55" x14ac:dyDescent="0.25">
      <c r="B33" s="43">
        <v>42338</v>
      </c>
      <c r="C33" s="176">
        <v>0</v>
      </c>
      <c r="D33" s="24"/>
      <c r="E33" s="225">
        <v>42338</v>
      </c>
      <c r="F33" s="28">
        <v>53770</v>
      </c>
      <c r="G33" s="23"/>
      <c r="H33" s="47">
        <v>42338</v>
      </c>
      <c r="I33" s="29">
        <v>290</v>
      </c>
      <c r="J33" s="50"/>
      <c r="K33" s="34"/>
      <c r="L33" s="89">
        <f>4352+7243+12776+29109</f>
        <v>53480</v>
      </c>
      <c r="M33" s="449">
        <v>29109</v>
      </c>
      <c r="P33" s="43">
        <v>42338</v>
      </c>
      <c r="Q33" s="176">
        <v>0</v>
      </c>
      <c r="R33" s="24"/>
      <c r="S33" s="225">
        <v>42338</v>
      </c>
      <c r="T33" s="28"/>
      <c r="U33" s="23"/>
      <c r="V33" s="47">
        <v>42338</v>
      </c>
      <c r="W33" s="29">
        <v>0</v>
      </c>
      <c r="X33" s="50"/>
      <c r="Y33" s="34"/>
      <c r="Z33" s="89"/>
      <c r="AA33" s="127"/>
      <c r="AB33" s="23"/>
      <c r="AD33" s="43">
        <v>42338</v>
      </c>
      <c r="AE33" s="176">
        <v>0</v>
      </c>
      <c r="AF33" s="24"/>
      <c r="AG33" s="225">
        <v>42338</v>
      </c>
      <c r="AH33" s="28"/>
      <c r="AI33" s="23"/>
      <c r="AJ33" s="47">
        <v>42338</v>
      </c>
      <c r="AK33" s="29">
        <v>0</v>
      </c>
      <c r="AL33" s="50"/>
      <c r="AM33" s="34"/>
      <c r="AN33" s="89"/>
      <c r="AO33" s="85"/>
      <c r="AP33" s="23"/>
      <c r="AR33" s="43">
        <v>42338</v>
      </c>
      <c r="AS33" s="176"/>
      <c r="AT33" s="24"/>
      <c r="AU33" s="225">
        <v>42338</v>
      </c>
      <c r="AV33" s="28"/>
      <c r="AW33" s="23"/>
      <c r="AX33" s="47">
        <v>42338</v>
      </c>
      <c r="AY33" s="29"/>
      <c r="AZ33" s="50"/>
      <c r="BA33" s="34"/>
      <c r="BB33" s="89"/>
      <c r="BC33" s="85"/>
    </row>
    <row r="34" spans="1:55" ht="15.75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M34" s="85"/>
      <c r="O34" s="13"/>
      <c r="P34" s="43"/>
      <c r="Q34" s="176"/>
      <c r="R34" s="24"/>
      <c r="S34" s="225"/>
      <c r="T34" s="28"/>
      <c r="U34" s="23"/>
      <c r="V34" s="47"/>
      <c r="W34" s="29"/>
      <c r="X34" s="50"/>
      <c r="Y34" s="34"/>
      <c r="Z34" s="89"/>
      <c r="AA34" s="85"/>
      <c r="AC34" s="13"/>
      <c r="AD34" s="43"/>
      <c r="AE34" s="176"/>
      <c r="AF34" s="24"/>
      <c r="AG34" s="225"/>
      <c r="AH34" s="28"/>
      <c r="AI34" s="23"/>
      <c r="AJ34" s="47"/>
      <c r="AK34" s="29"/>
      <c r="AL34" s="50"/>
      <c r="AM34" s="34"/>
      <c r="AN34" s="89"/>
      <c r="AO34" s="85"/>
      <c r="AQ34" s="13"/>
      <c r="AR34" s="43"/>
      <c r="AS34" s="176"/>
      <c r="AT34" s="24"/>
      <c r="AU34" s="225"/>
      <c r="AV34" s="28"/>
      <c r="AW34" s="23"/>
      <c r="AX34" s="47"/>
      <c r="AY34" s="29"/>
      <c r="AZ34" s="50"/>
      <c r="BA34" s="34"/>
      <c r="BB34" s="89"/>
      <c r="BC34" s="85"/>
    </row>
    <row r="35" spans="1:55" ht="15.7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5"/>
      <c r="O35" s="26"/>
      <c r="P35" s="44"/>
      <c r="Q35" s="177">
        <v>0</v>
      </c>
      <c r="R35" s="1"/>
      <c r="S35" s="54"/>
      <c r="T35" s="34">
        <v>0</v>
      </c>
      <c r="V35" s="10"/>
      <c r="W35" s="40"/>
      <c r="X35" s="50"/>
      <c r="Y35" s="34"/>
      <c r="Z35" s="88">
        <v>0</v>
      </c>
      <c r="AA35" s="85"/>
      <c r="AC35" s="26"/>
      <c r="AD35" s="44"/>
      <c r="AE35" s="177">
        <v>0</v>
      </c>
      <c r="AF35" s="1"/>
      <c r="AG35" s="54"/>
      <c r="AH35" s="34">
        <v>0</v>
      </c>
      <c r="AJ35" s="10"/>
      <c r="AK35" s="40"/>
      <c r="AL35" s="50"/>
      <c r="AM35" s="34"/>
      <c r="AN35" s="88">
        <v>0</v>
      </c>
      <c r="AO35" s="85"/>
      <c r="AQ35" s="26"/>
      <c r="AR35" s="44"/>
      <c r="AS35" s="177">
        <v>0</v>
      </c>
      <c r="AT35" s="1"/>
      <c r="AU35" s="54"/>
      <c r="AV35" s="34">
        <v>0</v>
      </c>
      <c r="AX35" s="10"/>
      <c r="AY35" s="40"/>
      <c r="AZ35" s="50"/>
      <c r="BA35" s="34"/>
      <c r="BB35" s="88">
        <v>0</v>
      </c>
      <c r="BC35" s="85"/>
    </row>
    <row r="36" spans="1:55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5"/>
      <c r="O36" s="60"/>
      <c r="P36" s="45" t="s">
        <v>0</v>
      </c>
      <c r="Q36" s="178">
        <v>0</v>
      </c>
      <c r="R36" s="1"/>
      <c r="S36" s="55"/>
      <c r="T36" s="35">
        <v>0</v>
      </c>
      <c r="V36" s="11"/>
      <c r="W36" s="41">
        <v>0</v>
      </c>
      <c r="X36" s="52"/>
      <c r="Y36" s="35"/>
      <c r="Z36" s="141">
        <v>0</v>
      </c>
      <c r="AA36" s="85"/>
      <c r="AC36" s="60"/>
      <c r="AD36" s="45" t="s">
        <v>0</v>
      </c>
      <c r="AE36" s="178">
        <v>0</v>
      </c>
      <c r="AF36" s="1"/>
      <c r="AG36" s="55"/>
      <c r="AH36" s="35">
        <v>0</v>
      </c>
      <c r="AJ36" s="11"/>
      <c r="AK36" s="41">
        <v>0</v>
      </c>
      <c r="AL36" s="52"/>
      <c r="AM36" s="35"/>
      <c r="AN36" s="141">
        <v>0</v>
      </c>
      <c r="AO36" s="85"/>
      <c r="AQ36" s="60"/>
      <c r="AR36" s="45" t="s">
        <v>0</v>
      </c>
      <c r="AS36" s="178">
        <v>0</v>
      </c>
      <c r="AT36" s="1"/>
      <c r="AU36" s="55"/>
      <c r="AV36" s="35">
        <v>0</v>
      </c>
      <c r="AX36" s="11"/>
      <c r="AY36" s="41">
        <v>0</v>
      </c>
      <c r="AZ36" s="52"/>
      <c r="BA36" s="35"/>
      <c r="BB36" s="141">
        <v>0</v>
      </c>
      <c r="BC36" s="85"/>
    </row>
    <row r="37" spans="1:55" x14ac:dyDescent="0.25">
      <c r="B37" s="5" t="s">
        <v>1</v>
      </c>
      <c r="C37" s="179">
        <f>SUM(C4:C36)</f>
        <v>55184.5</v>
      </c>
      <c r="D37" s="1"/>
      <c r="E37" s="452" t="s">
        <v>1</v>
      </c>
      <c r="F37" s="7">
        <f>SUM(F4:F36)</f>
        <v>2858945.4</v>
      </c>
      <c r="H37" s="4" t="s">
        <v>1</v>
      </c>
      <c r="I37" s="3">
        <f>SUM(I4:I36)</f>
        <v>3788</v>
      </c>
      <c r="J37" s="3"/>
      <c r="K37" s="3">
        <f t="shared" ref="K37" si="0">SUM(K4:K36)</f>
        <v>79255.16</v>
      </c>
      <c r="L37" s="67">
        <f>SUM(L4:L36)</f>
        <v>2800184.5</v>
      </c>
      <c r="M37" s="85"/>
      <c r="P37" s="5" t="s">
        <v>1</v>
      </c>
      <c r="Q37" s="179">
        <f>SUM(Q4:Q36)</f>
        <v>37058.5</v>
      </c>
      <c r="R37" s="1"/>
      <c r="S37" s="452" t="s">
        <v>1</v>
      </c>
      <c r="T37" s="7">
        <f>SUM(T4:T36)</f>
        <v>2232079.4</v>
      </c>
      <c r="V37" s="4" t="s">
        <v>1</v>
      </c>
      <c r="W37" s="3">
        <f>SUM(W4:W36)</f>
        <v>3308</v>
      </c>
      <c r="X37" s="3"/>
      <c r="Y37" s="3">
        <f t="shared" ref="Y37" si="1">SUM(Y4:Y36)</f>
        <v>62875.479999999996</v>
      </c>
      <c r="Z37" s="67">
        <f>SUM(Z4:Z36)</f>
        <v>2194924</v>
      </c>
      <c r="AA37" s="85"/>
      <c r="AD37" s="5" t="s">
        <v>1</v>
      </c>
      <c r="AE37" s="179">
        <f>SUM(AE4:AE36)</f>
        <v>30092.5</v>
      </c>
      <c r="AF37" s="1"/>
      <c r="AG37" s="442" t="s">
        <v>1</v>
      </c>
      <c r="AH37" s="7">
        <f>SUM(AH4:AH36)</f>
        <v>1540001.4</v>
      </c>
      <c r="AJ37" s="4" t="s">
        <v>1</v>
      </c>
      <c r="AK37" s="3">
        <f>SUM(AK4:AK36)</f>
        <v>3208</v>
      </c>
      <c r="AL37" s="3"/>
      <c r="AM37" s="3">
        <f t="shared" ref="AM37" si="2">SUM(AM4:AM36)</f>
        <v>44410.2</v>
      </c>
      <c r="AN37" s="67">
        <f>SUM(AN4:AN36)</f>
        <v>1509912</v>
      </c>
      <c r="AO37" s="85"/>
      <c r="AR37" s="5" t="s">
        <v>1</v>
      </c>
      <c r="AS37" s="179">
        <f>SUM(AS4:AS36)</f>
        <v>11259</v>
      </c>
      <c r="AT37" s="1"/>
      <c r="AU37" s="442" t="s">
        <v>1</v>
      </c>
      <c r="AV37" s="7">
        <f>SUM(AV4:AV36)</f>
        <v>982195.4</v>
      </c>
      <c r="AX37" s="4" t="s">
        <v>1</v>
      </c>
      <c r="AY37" s="3">
        <f>SUM(AY4:AY36)</f>
        <v>2988</v>
      </c>
      <c r="AZ37" s="3"/>
      <c r="BA37" s="3">
        <f t="shared" ref="BA37" si="3">SUM(BA4:BA36)</f>
        <v>17398.72</v>
      </c>
      <c r="BB37" s="67">
        <f>SUM(BB4:BB36)</f>
        <v>986541.5</v>
      </c>
      <c r="BC37" s="85"/>
    </row>
    <row r="38" spans="1:55" x14ac:dyDescent="0.25">
      <c r="A38" s="477"/>
      <c r="B38" s="477"/>
      <c r="C38" s="88"/>
      <c r="I38" s="3"/>
      <c r="K38" s="3"/>
      <c r="M38" s="85"/>
      <c r="O38" s="477"/>
      <c r="P38" s="477"/>
      <c r="Q38" s="88"/>
      <c r="W38" s="3"/>
      <c r="Y38" s="3"/>
      <c r="AA38" s="85"/>
      <c r="AC38" s="477"/>
      <c r="AD38" s="477"/>
      <c r="AE38" s="88"/>
      <c r="AK38" s="3"/>
      <c r="AM38" s="3"/>
      <c r="AO38" s="85"/>
      <c r="AQ38" s="477"/>
      <c r="AR38" s="477"/>
      <c r="AS38" s="88"/>
      <c r="AY38" s="3"/>
      <c r="BA38" s="3"/>
      <c r="BC38" s="85"/>
    </row>
    <row r="39" spans="1:55" ht="15.75" customHeight="1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83043.16</v>
      </c>
      <c r="K39" s="458"/>
      <c r="L39" s="90"/>
      <c r="M39" s="85"/>
      <c r="O39" s="150"/>
      <c r="P39" s="36"/>
      <c r="Q39" s="88"/>
      <c r="R39" s="8"/>
      <c r="S39" s="36"/>
      <c r="T39" s="36"/>
      <c r="V39" s="459" t="s">
        <v>7</v>
      </c>
      <c r="W39" s="460"/>
      <c r="X39" s="457">
        <f>W37+Y37</f>
        <v>66183.48</v>
      </c>
      <c r="Y39" s="458"/>
      <c r="Z39" s="90"/>
      <c r="AA39" s="85"/>
      <c r="AC39" s="150"/>
      <c r="AD39" s="36"/>
      <c r="AE39" s="88"/>
      <c r="AF39" s="8"/>
      <c r="AG39" s="36"/>
      <c r="AH39" s="36"/>
      <c r="AJ39" s="459" t="s">
        <v>7</v>
      </c>
      <c r="AK39" s="460"/>
      <c r="AL39" s="457">
        <f>AK37+AM37</f>
        <v>47618.2</v>
      </c>
      <c r="AM39" s="458"/>
      <c r="AN39" s="90"/>
      <c r="AO39" s="85"/>
      <c r="AQ39" s="150"/>
      <c r="AR39" s="36"/>
      <c r="AS39" s="88"/>
      <c r="AT39" s="8"/>
      <c r="AU39" s="36"/>
      <c r="AV39" s="36"/>
      <c r="AX39" s="459" t="s">
        <v>7</v>
      </c>
      <c r="AY39" s="460"/>
      <c r="AZ39" s="457">
        <f>AY37+BA37</f>
        <v>20386.72</v>
      </c>
      <c r="BA39" s="458"/>
      <c r="BB39" s="90"/>
      <c r="BC39" s="85"/>
    </row>
    <row r="40" spans="1:55" ht="16.5" customHeight="1" x14ac:dyDescent="0.25">
      <c r="A40" s="478"/>
      <c r="B40" s="478"/>
      <c r="C40" s="88"/>
      <c r="D40" s="464" t="s">
        <v>8</v>
      </c>
      <c r="E40" s="464"/>
      <c r="F40" s="17">
        <f>F37-J39-C37</f>
        <v>2720717.7399999998</v>
      </c>
      <c r="I40" s="14"/>
      <c r="M40" s="85"/>
      <c r="O40" s="478"/>
      <c r="P40" s="478"/>
      <c r="Q40" s="88"/>
      <c r="R40" s="464" t="s">
        <v>8</v>
      </c>
      <c r="S40" s="464"/>
      <c r="T40" s="17">
        <f>T37-X39-Q37</f>
        <v>2128837.42</v>
      </c>
      <c r="W40" s="14"/>
      <c r="AA40" s="85"/>
      <c r="AC40" s="478"/>
      <c r="AD40" s="478"/>
      <c r="AE40" s="88"/>
      <c r="AF40" s="464" t="s">
        <v>8</v>
      </c>
      <c r="AG40" s="464"/>
      <c r="AH40" s="17">
        <f>AH37-AL39-AE37</f>
        <v>1462290.7</v>
      </c>
      <c r="AK40" s="14"/>
      <c r="AO40" s="85"/>
      <c r="AQ40" s="478"/>
      <c r="AR40" s="478"/>
      <c r="AS40" s="88"/>
      <c r="AT40" s="464" t="s">
        <v>8</v>
      </c>
      <c r="AU40" s="464"/>
      <c r="AV40" s="17">
        <f>AV37-AZ39-AS37</f>
        <v>950549.68</v>
      </c>
      <c r="AY40" s="14"/>
      <c r="BC40" s="85"/>
    </row>
    <row r="41" spans="1:55" ht="19.5" customHeight="1" x14ac:dyDescent="0.25">
      <c r="A41" s="8"/>
      <c r="B41" s="36"/>
      <c r="C41" s="88"/>
      <c r="D41" s="8"/>
      <c r="E41" s="36"/>
      <c r="F41" s="17">
        <v>0</v>
      </c>
      <c r="M41" s="85"/>
      <c r="O41" s="8"/>
      <c r="P41" s="36"/>
      <c r="Q41" s="88"/>
      <c r="R41" s="8"/>
      <c r="S41" s="36"/>
      <c r="T41" s="17">
        <v>0</v>
      </c>
      <c r="AA41" s="85"/>
      <c r="AC41" s="8"/>
      <c r="AD41" s="36"/>
      <c r="AE41" s="88"/>
      <c r="AF41" s="8"/>
      <c r="AG41" s="36"/>
      <c r="AH41" s="17">
        <v>0</v>
      </c>
      <c r="AO41" s="85"/>
      <c r="AQ41" s="8"/>
      <c r="AR41" s="36"/>
      <c r="AS41" s="88"/>
      <c r="AT41" s="8"/>
      <c r="AU41" s="36"/>
      <c r="AV41" s="17">
        <v>0</v>
      </c>
      <c r="BC41" s="85"/>
    </row>
    <row r="42" spans="1:55" ht="16.5" customHeight="1" thickBot="1" x14ac:dyDescent="0.3">
      <c r="E42" s="259" t="s">
        <v>146</v>
      </c>
      <c r="F42" s="88">
        <v>-2471781.9500000002</v>
      </c>
      <c r="I42" s="19" t="s">
        <v>9</v>
      </c>
      <c r="J42" s="454"/>
      <c r="K42" s="455">
        <v>0</v>
      </c>
      <c r="M42" s="85"/>
      <c r="S42" s="259" t="s">
        <v>146</v>
      </c>
      <c r="T42" s="138">
        <v>-1787277.48</v>
      </c>
      <c r="W42" s="19" t="s">
        <v>9</v>
      </c>
      <c r="X42" s="56"/>
      <c r="Y42" s="15">
        <v>107246.35</v>
      </c>
      <c r="AA42" s="85"/>
      <c r="AG42" s="259" t="s">
        <v>146</v>
      </c>
      <c r="AH42" s="138">
        <v>-1164647.28</v>
      </c>
      <c r="AK42" s="19" t="s">
        <v>9</v>
      </c>
      <c r="AL42" s="56"/>
      <c r="AM42" s="15">
        <v>142387.14000000001</v>
      </c>
      <c r="AO42" s="85"/>
      <c r="AU42" s="259" t="s">
        <v>146</v>
      </c>
      <c r="AV42" s="138">
        <v>-713701.27</v>
      </c>
      <c r="AY42" s="19" t="s">
        <v>9</v>
      </c>
      <c r="AZ42" s="56"/>
      <c r="BA42" s="15">
        <v>266726.94</v>
      </c>
      <c r="BC42" s="85"/>
    </row>
    <row r="43" spans="1:55" ht="15.75" thickTop="1" x14ac:dyDescent="0.25">
      <c r="E43" s="4" t="s">
        <v>10</v>
      </c>
      <c r="F43" s="3">
        <f>SUM(F40:F42)</f>
        <v>248935.78999999957</v>
      </c>
      <c r="K43" s="3">
        <f>F45+K42</f>
        <v>383843.03999999957</v>
      </c>
      <c r="M43" s="85"/>
      <c r="S43" s="4" t="s">
        <v>10</v>
      </c>
      <c r="T43" s="3">
        <f>SUM(T40:T42)</f>
        <v>341559.93999999994</v>
      </c>
      <c r="Y43" s="3">
        <f>T45+Y42</f>
        <v>448806.28999999992</v>
      </c>
      <c r="AA43" s="85"/>
      <c r="AG43" s="4" t="s">
        <v>10</v>
      </c>
      <c r="AH43" s="3">
        <f>SUM(AH40:AH42)</f>
        <v>297643.41999999993</v>
      </c>
      <c r="AM43" s="3">
        <f>AH45+AM42</f>
        <v>440030.55999999994</v>
      </c>
      <c r="AO43" s="85"/>
      <c r="AU43" s="4" t="s">
        <v>10</v>
      </c>
      <c r="AV43" s="3">
        <f>SUM(AV40:AV42)</f>
        <v>236848.41000000003</v>
      </c>
      <c r="BA43" s="3">
        <f>AV45+BA42</f>
        <v>550082.10000000009</v>
      </c>
      <c r="BC43" s="85"/>
    </row>
    <row r="44" spans="1:55" ht="17.25" customHeight="1" thickBot="1" x14ac:dyDescent="0.3">
      <c r="D44" s="452" t="s">
        <v>31</v>
      </c>
      <c r="E44" s="452"/>
      <c r="F44" s="18">
        <v>134907.25</v>
      </c>
      <c r="I44" s="4" t="s">
        <v>2</v>
      </c>
      <c r="J44" s="327"/>
      <c r="K44" s="328">
        <v>-212472.37</v>
      </c>
      <c r="M44" s="85"/>
      <c r="R44" s="452" t="s">
        <v>31</v>
      </c>
      <c r="S44" s="452"/>
      <c r="T44" s="18">
        <v>0</v>
      </c>
      <c r="W44" s="4" t="s">
        <v>2</v>
      </c>
      <c r="X44" s="327"/>
      <c r="Y44" s="328">
        <v>-212472.37</v>
      </c>
      <c r="AA44" s="85"/>
      <c r="AF44" s="442" t="s">
        <v>31</v>
      </c>
      <c r="AG44" s="442"/>
      <c r="AH44" s="18">
        <v>0</v>
      </c>
      <c r="AK44" s="4" t="s">
        <v>2</v>
      </c>
      <c r="AL44" s="327"/>
      <c r="AM44" s="328">
        <v>-212472.37</v>
      </c>
      <c r="AO44" s="85"/>
      <c r="AT44" s="442" t="s">
        <v>31</v>
      </c>
      <c r="AU44" s="442"/>
      <c r="AV44" s="18">
        <v>46506.75</v>
      </c>
      <c r="AY44" s="4" t="s">
        <v>2</v>
      </c>
      <c r="AZ44" s="327"/>
      <c r="BA44" s="328">
        <v>-212472.37</v>
      </c>
      <c r="BC44" s="85"/>
    </row>
    <row r="45" spans="1:55" ht="20.25" customHeight="1" thickTop="1" thickBot="1" x14ac:dyDescent="0.35">
      <c r="E45" s="5" t="s">
        <v>11</v>
      </c>
      <c r="F45" s="6">
        <f>F44+F43</f>
        <v>383843.03999999957</v>
      </c>
      <c r="I45" s="461" t="s">
        <v>12</v>
      </c>
      <c r="J45" s="462"/>
      <c r="K45" s="93">
        <f>K43+K44</f>
        <v>171370.66999999958</v>
      </c>
      <c r="M45" s="85"/>
      <c r="S45" s="5" t="s">
        <v>11</v>
      </c>
      <c r="T45" s="6">
        <f>T44+T43</f>
        <v>341559.93999999994</v>
      </c>
      <c r="W45" s="461" t="s">
        <v>12</v>
      </c>
      <c r="X45" s="462"/>
      <c r="Y45" s="93">
        <f>Y43+Y44</f>
        <v>236333.91999999993</v>
      </c>
      <c r="AA45" s="85"/>
      <c r="AG45" s="5" t="s">
        <v>11</v>
      </c>
      <c r="AH45" s="6">
        <f>AH44+AH43</f>
        <v>297643.41999999993</v>
      </c>
      <c r="AK45" s="461" t="s">
        <v>713</v>
      </c>
      <c r="AL45" s="462"/>
      <c r="AM45" s="93">
        <f>AM43+AM44</f>
        <v>227558.18999999994</v>
      </c>
      <c r="AO45" s="85"/>
      <c r="AU45" s="5" t="s">
        <v>11</v>
      </c>
      <c r="AV45" s="6">
        <f>AV44+AV43</f>
        <v>283355.16000000003</v>
      </c>
      <c r="AY45" s="461" t="s">
        <v>713</v>
      </c>
      <c r="AZ45" s="462"/>
      <c r="BA45" s="93">
        <f>BA43+BA44</f>
        <v>337609.7300000001</v>
      </c>
      <c r="BC45" s="85"/>
    </row>
    <row r="46" spans="1:55" ht="17.25" customHeight="1" thickTop="1" x14ac:dyDescent="0.25">
      <c r="M46" s="85"/>
      <c r="AA46" s="85"/>
      <c r="AO46" s="127"/>
      <c r="BC46" s="85"/>
    </row>
    <row r="47" spans="1:55" x14ac:dyDescent="0.25">
      <c r="M47" s="85"/>
      <c r="AA47" s="127"/>
      <c r="AO47" s="85"/>
      <c r="BC47" s="85"/>
    </row>
    <row r="48" spans="1:55" x14ac:dyDescent="0.25">
      <c r="M48" s="85"/>
      <c r="AA48" s="85"/>
      <c r="AO48" s="85"/>
      <c r="BC48" s="85"/>
    </row>
    <row r="49" spans="2:55" ht="19.5" customHeight="1" x14ac:dyDescent="0.25">
      <c r="B49"/>
      <c r="C49"/>
      <c r="E49"/>
      <c r="F49"/>
      <c r="H49"/>
      <c r="I49"/>
      <c r="J49"/>
      <c r="K49"/>
      <c r="L49"/>
      <c r="M49" s="85"/>
      <c r="P49"/>
      <c r="Q49"/>
      <c r="S49"/>
      <c r="T49"/>
      <c r="V49"/>
      <c r="W49"/>
      <c r="X49"/>
      <c r="Y49"/>
      <c r="Z49"/>
      <c r="AA49" s="85"/>
      <c r="AD49"/>
      <c r="AE49"/>
      <c r="AG49"/>
      <c r="AH49"/>
      <c r="AJ49"/>
      <c r="AK49"/>
      <c r="AL49"/>
      <c r="AM49"/>
      <c r="AN49"/>
      <c r="AO49" s="85"/>
      <c r="AR49"/>
      <c r="AS49"/>
      <c r="AU49"/>
      <c r="AV49"/>
      <c r="AX49"/>
      <c r="AY49"/>
      <c r="AZ49"/>
      <c r="BA49"/>
      <c r="BB49"/>
      <c r="BC49" s="85"/>
    </row>
    <row r="50" spans="2:55" ht="16.5" customHeight="1" x14ac:dyDescent="0.25">
      <c r="B50"/>
      <c r="C50"/>
      <c r="E50"/>
      <c r="F50"/>
      <c r="H50"/>
      <c r="I50"/>
      <c r="J50"/>
      <c r="K50"/>
      <c r="L50"/>
      <c r="M50" s="85"/>
      <c r="P50"/>
      <c r="Q50"/>
      <c r="S50"/>
      <c r="T50"/>
      <c r="V50"/>
      <c r="W50"/>
      <c r="X50"/>
      <c r="Y50"/>
      <c r="Z50"/>
      <c r="AA50" s="85"/>
      <c r="AD50"/>
      <c r="AE50"/>
      <c r="AG50"/>
      <c r="AH50"/>
      <c r="AJ50"/>
      <c r="AK50"/>
      <c r="AL50"/>
      <c r="AM50"/>
      <c r="AN50"/>
      <c r="AO50" s="85"/>
      <c r="AR50"/>
      <c r="AS50"/>
      <c r="AU50"/>
      <c r="AV50"/>
      <c r="AX50"/>
      <c r="AY50"/>
      <c r="AZ50"/>
      <c r="BA50"/>
      <c r="BB50"/>
      <c r="BC50" s="85"/>
    </row>
    <row r="51" spans="2:55" x14ac:dyDescent="0.25">
      <c r="B51"/>
      <c r="C51"/>
      <c r="E51"/>
      <c r="F51"/>
      <c r="H51" s="493"/>
      <c r="I51" s="493"/>
      <c r="J51" s="329"/>
      <c r="K51" s="330"/>
      <c r="L51"/>
      <c r="M51" s="127"/>
      <c r="P51"/>
      <c r="Q51"/>
      <c r="S51"/>
      <c r="T51"/>
      <c r="V51" s="493"/>
      <c r="W51" s="493"/>
      <c r="X51" s="329"/>
      <c r="Y51" s="330"/>
      <c r="Z51"/>
      <c r="AA51" s="85"/>
      <c r="AD51"/>
      <c r="AE51"/>
      <c r="AG51"/>
      <c r="AH51"/>
      <c r="AJ51" s="493"/>
      <c r="AK51" s="493"/>
      <c r="AL51" s="329"/>
      <c r="AM51" s="330"/>
      <c r="AN51"/>
      <c r="AO51" s="85"/>
      <c r="AR51"/>
      <c r="AS51"/>
      <c r="AU51"/>
      <c r="AV51"/>
      <c r="AX51" s="493"/>
      <c r="AY51" s="493"/>
      <c r="AZ51" s="329"/>
      <c r="BA51" s="330"/>
      <c r="BB51"/>
      <c r="BC51" s="127"/>
    </row>
    <row r="52" spans="2:55" x14ac:dyDescent="0.25">
      <c r="B52"/>
      <c r="C52"/>
      <c r="E52"/>
      <c r="F52"/>
      <c r="H52"/>
      <c r="I52"/>
      <c r="J52"/>
      <c r="K52"/>
      <c r="L52"/>
      <c r="M52" s="85"/>
      <c r="P52"/>
      <c r="Q52"/>
      <c r="S52"/>
      <c r="T52"/>
      <c r="V52"/>
      <c r="W52"/>
      <c r="X52"/>
      <c r="Y52"/>
      <c r="Z52"/>
      <c r="AA52" s="85"/>
      <c r="AD52"/>
      <c r="AE52"/>
      <c r="AG52"/>
      <c r="AH52"/>
      <c r="AJ52"/>
      <c r="AK52"/>
      <c r="AL52"/>
      <c r="AM52"/>
      <c r="AN52"/>
      <c r="AO52" s="85"/>
      <c r="AR52"/>
      <c r="AS52"/>
      <c r="AU52"/>
      <c r="AV52"/>
      <c r="AX52"/>
      <c r="AY52"/>
      <c r="AZ52"/>
      <c r="BA52"/>
      <c r="BB52"/>
      <c r="BC52" s="85"/>
    </row>
    <row r="53" spans="2:55" x14ac:dyDescent="0.25">
      <c r="B53"/>
      <c r="C53"/>
      <c r="E53"/>
      <c r="F53"/>
      <c r="H53"/>
      <c r="I53"/>
      <c r="J53"/>
      <c r="K53"/>
      <c r="L53"/>
      <c r="M53" s="85"/>
      <c r="P53"/>
      <c r="Q53"/>
      <c r="S53"/>
      <c r="T53"/>
      <c r="V53"/>
      <c r="W53"/>
      <c r="X53"/>
      <c r="Y53"/>
      <c r="Z53"/>
      <c r="AA53" s="85"/>
      <c r="AD53"/>
      <c r="AE53"/>
      <c r="AG53"/>
      <c r="AH53"/>
      <c r="AJ53"/>
      <c r="AK53"/>
      <c r="AL53"/>
      <c r="AM53"/>
      <c r="AN53"/>
      <c r="AO53" s="85"/>
      <c r="AR53"/>
      <c r="AS53"/>
      <c r="AU53"/>
      <c r="AV53"/>
      <c r="AX53"/>
      <c r="AY53"/>
      <c r="AZ53"/>
      <c r="BA53"/>
      <c r="BB53"/>
      <c r="BC53" s="85"/>
    </row>
    <row r="54" spans="2:55" x14ac:dyDescent="0.25">
      <c r="B54"/>
      <c r="C54"/>
      <c r="E54"/>
      <c r="F54"/>
      <c r="H54"/>
      <c r="I54"/>
      <c r="J54"/>
      <c r="K54"/>
      <c r="L54"/>
      <c r="M54" s="85"/>
      <c r="P54"/>
      <c r="Q54"/>
      <c r="S54"/>
      <c r="T54"/>
      <c r="V54"/>
      <c r="W54"/>
      <c r="X54"/>
      <c r="Y54"/>
      <c r="Z54"/>
      <c r="AA54" s="85"/>
      <c r="AD54"/>
      <c r="AE54"/>
      <c r="AG54"/>
      <c r="AH54"/>
      <c r="AJ54"/>
      <c r="AK54"/>
      <c r="AL54"/>
      <c r="AM54"/>
      <c r="AN54"/>
      <c r="AO54" s="85"/>
      <c r="AR54"/>
      <c r="AS54"/>
      <c r="AU54"/>
      <c r="AV54"/>
      <c r="AX54"/>
      <c r="AY54"/>
      <c r="AZ54"/>
      <c r="BA54"/>
      <c r="BB54"/>
      <c r="BC54" s="85"/>
    </row>
    <row r="55" spans="2:55" x14ac:dyDescent="0.25">
      <c r="B55"/>
      <c r="C55"/>
      <c r="E55"/>
      <c r="F55"/>
      <c r="H55"/>
      <c r="I55"/>
      <c r="J55"/>
      <c r="K55"/>
      <c r="L55"/>
      <c r="M55" s="85"/>
      <c r="P55"/>
      <c r="Q55"/>
      <c r="S55"/>
      <c r="T55"/>
      <c r="V55"/>
      <c r="W55"/>
      <c r="X55"/>
      <c r="Y55"/>
      <c r="Z55"/>
      <c r="AA55" s="85"/>
      <c r="AD55"/>
      <c r="AE55"/>
      <c r="AG55"/>
      <c r="AH55"/>
      <c r="AJ55"/>
      <c r="AK55"/>
      <c r="AL55"/>
      <c r="AM55"/>
      <c r="AN55"/>
      <c r="AO55" s="85"/>
      <c r="AR55"/>
      <c r="AS55"/>
      <c r="AU55"/>
      <c r="AV55"/>
      <c r="AX55"/>
      <c r="AY55"/>
      <c r="AZ55"/>
      <c r="BA55"/>
      <c r="BB55"/>
      <c r="BC55" s="85"/>
    </row>
    <row r="56" spans="2:55" x14ac:dyDescent="0.25">
      <c r="B56"/>
      <c r="C56"/>
      <c r="E56"/>
      <c r="F56"/>
      <c r="H56"/>
      <c r="I56"/>
      <c r="J56"/>
      <c r="K56"/>
      <c r="L56"/>
      <c r="M56" s="85"/>
      <c r="P56"/>
      <c r="Q56"/>
      <c r="S56"/>
      <c r="T56"/>
      <c r="V56"/>
      <c r="W56"/>
      <c r="X56"/>
      <c r="Y56"/>
      <c r="Z56"/>
      <c r="AA56" s="85"/>
      <c r="AD56"/>
      <c r="AE56"/>
      <c r="AG56"/>
      <c r="AH56"/>
      <c r="AJ56"/>
      <c r="AK56"/>
      <c r="AL56"/>
      <c r="AM56"/>
      <c r="AN56"/>
      <c r="AO56" s="85"/>
      <c r="AR56"/>
      <c r="AS56"/>
      <c r="AU56"/>
      <c r="AV56"/>
      <c r="AX56"/>
      <c r="AY56"/>
      <c r="AZ56"/>
      <c r="BA56"/>
      <c r="BB56"/>
      <c r="BC56" s="85"/>
    </row>
    <row r="57" spans="2:55" x14ac:dyDescent="0.25">
      <c r="B57"/>
      <c r="C57"/>
      <c r="E57"/>
      <c r="F57"/>
      <c r="H57"/>
      <c r="I57"/>
      <c r="J57"/>
      <c r="K57"/>
      <c r="L57"/>
      <c r="M57" s="85"/>
      <c r="P57"/>
      <c r="Q57"/>
      <c r="S57"/>
      <c r="T57"/>
      <c r="V57"/>
      <c r="W57"/>
      <c r="X57"/>
      <c r="Y57"/>
      <c r="Z57"/>
      <c r="AA57" s="85"/>
      <c r="AD57"/>
      <c r="AE57"/>
      <c r="AG57"/>
      <c r="AH57"/>
      <c r="AJ57"/>
      <c r="AK57"/>
      <c r="AL57"/>
      <c r="AM57"/>
      <c r="AN57"/>
      <c r="AO57" s="85"/>
      <c r="AR57"/>
      <c r="AS57"/>
      <c r="AU57"/>
      <c r="AV57"/>
      <c r="AX57"/>
      <c r="AY57"/>
      <c r="AZ57"/>
      <c r="BA57"/>
      <c r="BB57"/>
      <c r="BC57" s="85"/>
    </row>
    <row r="58" spans="2:55" x14ac:dyDescent="0.25">
      <c r="B58"/>
      <c r="C58"/>
      <c r="E58"/>
      <c r="F58"/>
      <c r="H58"/>
      <c r="I58"/>
      <c r="J58"/>
      <c r="K58"/>
      <c r="L58"/>
      <c r="M58" s="85"/>
      <c r="P58"/>
      <c r="Q58"/>
      <c r="S58"/>
      <c r="T58"/>
      <c r="V58"/>
      <c r="W58"/>
      <c r="X58"/>
      <c r="Y58"/>
      <c r="Z58"/>
      <c r="AA58" s="85"/>
      <c r="AD58"/>
      <c r="AE58"/>
      <c r="AG58"/>
      <c r="AH58"/>
      <c r="AJ58"/>
      <c r="AK58"/>
      <c r="AL58"/>
      <c r="AM58"/>
      <c r="AN58"/>
      <c r="AO58" s="85"/>
      <c r="AR58"/>
      <c r="AS58"/>
      <c r="AU58"/>
      <c r="AV58"/>
      <c r="AX58"/>
      <c r="AY58"/>
      <c r="AZ58"/>
      <c r="BA58"/>
      <c r="BB58"/>
      <c r="BC58" s="85"/>
    </row>
    <row r="59" spans="2:55" x14ac:dyDescent="0.25">
      <c r="B59"/>
      <c r="C59"/>
      <c r="E59"/>
      <c r="F59"/>
      <c r="H59"/>
      <c r="I59"/>
      <c r="J59"/>
      <c r="K59"/>
      <c r="L59"/>
      <c r="M59" s="85"/>
      <c r="P59"/>
      <c r="Q59"/>
      <c r="S59"/>
      <c r="T59"/>
      <c r="V59"/>
      <c r="W59"/>
      <c r="X59"/>
      <c r="Y59"/>
      <c r="Z59"/>
      <c r="AA59" s="85"/>
      <c r="AD59"/>
      <c r="AE59"/>
      <c r="AG59"/>
      <c r="AH59"/>
      <c r="AJ59"/>
      <c r="AK59"/>
      <c r="AL59"/>
      <c r="AM59"/>
      <c r="AN59"/>
      <c r="AO59" s="85"/>
      <c r="AR59"/>
      <c r="AS59"/>
      <c r="AU59"/>
      <c r="AV59"/>
      <c r="AX59"/>
      <c r="AY59"/>
      <c r="AZ59"/>
      <c r="BA59"/>
      <c r="BB59"/>
      <c r="BC59" s="85"/>
    </row>
    <row r="60" spans="2:55" x14ac:dyDescent="0.25">
      <c r="B60"/>
      <c r="C60"/>
      <c r="E60"/>
      <c r="F60"/>
      <c r="H60"/>
      <c r="I60"/>
      <c r="J60"/>
      <c r="K60"/>
      <c r="L60"/>
      <c r="M60" s="428"/>
      <c r="P60"/>
      <c r="Q60"/>
      <c r="S60"/>
      <c r="T60"/>
      <c r="V60"/>
      <c r="W60"/>
      <c r="X60"/>
      <c r="Y60"/>
      <c r="Z60"/>
      <c r="AA60" s="85"/>
      <c r="AD60"/>
      <c r="AE60"/>
      <c r="AG60"/>
      <c r="AH60"/>
      <c r="AJ60"/>
      <c r="AK60"/>
      <c r="AL60"/>
      <c r="AM60"/>
      <c r="AN60"/>
      <c r="AO60" s="85"/>
      <c r="AR60"/>
      <c r="AS60"/>
      <c r="AU60"/>
      <c r="AV60"/>
      <c r="AX60"/>
      <c r="AY60"/>
      <c r="AZ60"/>
      <c r="BA60"/>
      <c r="BB60"/>
      <c r="BC60" s="428"/>
    </row>
    <row r="61" spans="2:55" x14ac:dyDescent="0.25">
      <c r="B61"/>
      <c r="C61"/>
      <c r="E61"/>
      <c r="F61"/>
      <c r="H61"/>
      <c r="I61"/>
      <c r="J61"/>
      <c r="K61"/>
      <c r="L61"/>
      <c r="M61" s="140"/>
      <c r="P61"/>
      <c r="Q61"/>
      <c r="S61"/>
      <c r="T61"/>
      <c r="V61"/>
      <c r="W61"/>
      <c r="X61"/>
      <c r="Y61"/>
      <c r="Z61"/>
      <c r="AA61" s="140"/>
      <c r="AD61"/>
      <c r="AE61"/>
      <c r="AG61"/>
      <c r="AH61"/>
      <c r="AJ61"/>
      <c r="AK61"/>
      <c r="AL61"/>
      <c r="AM61"/>
      <c r="AN61"/>
      <c r="AO61" s="20"/>
      <c r="AR61"/>
      <c r="AS61"/>
      <c r="AU61"/>
      <c r="AV61"/>
      <c r="AX61"/>
      <c r="AY61"/>
      <c r="AZ61"/>
      <c r="BA61"/>
      <c r="BB61"/>
      <c r="BC61" s="140"/>
    </row>
    <row r="62" spans="2:55" x14ac:dyDescent="0.25">
      <c r="B62"/>
      <c r="C62"/>
      <c r="E62"/>
      <c r="F62"/>
      <c r="H62"/>
      <c r="I62"/>
      <c r="J62"/>
      <c r="K62"/>
      <c r="L62"/>
      <c r="M62" s="8"/>
      <c r="P62"/>
      <c r="Q62"/>
      <c r="S62"/>
      <c r="T62"/>
      <c r="V62"/>
      <c r="W62"/>
      <c r="X62"/>
      <c r="Y62"/>
      <c r="Z62"/>
      <c r="AA62" s="8"/>
      <c r="AD62"/>
      <c r="AE62"/>
      <c r="AG62"/>
      <c r="AH62"/>
      <c r="AJ62"/>
      <c r="AK62"/>
      <c r="AL62"/>
      <c r="AM62"/>
      <c r="AN62"/>
      <c r="AO62" s="8"/>
      <c r="AR62"/>
      <c r="AS62"/>
      <c r="AU62"/>
      <c r="AV62"/>
      <c r="AX62"/>
      <c r="AY62"/>
      <c r="AZ62"/>
      <c r="BA62"/>
      <c r="BB62"/>
      <c r="BC62" s="8"/>
    </row>
    <row r="63" spans="2:55" x14ac:dyDescent="0.25">
      <c r="B63"/>
      <c r="C63"/>
      <c r="E63"/>
      <c r="F63"/>
      <c r="H63"/>
      <c r="I63"/>
      <c r="J63"/>
      <c r="K63"/>
      <c r="L63"/>
      <c r="M63"/>
      <c r="P63"/>
      <c r="Q63"/>
      <c r="S63"/>
      <c r="T63"/>
      <c r="V63"/>
      <c r="W63"/>
      <c r="X63"/>
      <c r="Y63"/>
      <c r="Z63"/>
      <c r="AA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M64"/>
      <c r="P64"/>
      <c r="Q64"/>
      <c r="S64"/>
      <c r="T64"/>
      <c r="V64"/>
      <c r="W64"/>
      <c r="X64"/>
      <c r="Y64"/>
      <c r="Z64"/>
      <c r="AA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M65"/>
      <c r="P65"/>
      <c r="Q65"/>
      <c r="S65"/>
      <c r="T65"/>
      <c r="V65"/>
      <c r="W65"/>
      <c r="X65"/>
      <c r="Y65"/>
      <c r="Z65"/>
      <c r="AA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M66"/>
      <c r="P66"/>
      <c r="Q66"/>
      <c r="S66"/>
      <c r="T66"/>
      <c r="V66"/>
      <c r="W66"/>
      <c r="X66"/>
      <c r="Y66"/>
      <c r="Z66"/>
      <c r="AA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M67"/>
      <c r="P67"/>
      <c r="Q67"/>
      <c r="S67"/>
      <c r="T67"/>
      <c r="V67"/>
      <c r="W67"/>
      <c r="X67"/>
      <c r="Y67"/>
      <c r="Z67"/>
      <c r="AA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M68"/>
      <c r="P68"/>
      <c r="Q68"/>
      <c r="S68"/>
      <c r="T68"/>
      <c r="V68"/>
      <c r="W68"/>
      <c r="X68"/>
      <c r="Y68"/>
      <c r="Z68"/>
      <c r="AA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M69"/>
      <c r="P69"/>
      <c r="Q69"/>
      <c r="S69"/>
      <c r="T69"/>
      <c r="V69"/>
      <c r="W69"/>
      <c r="X69"/>
      <c r="Y69"/>
      <c r="Z69"/>
      <c r="AA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M70"/>
      <c r="P70"/>
      <c r="Q70"/>
      <c r="S70"/>
      <c r="T70"/>
      <c r="V70"/>
      <c r="W70"/>
      <c r="X70"/>
      <c r="Y70"/>
      <c r="Z70"/>
      <c r="AA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M71"/>
      <c r="P71"/>
      <c r="Q71"/>
      <c r="S71"/>
      <c r="T71"/>
      <c r="V71"/>
      <c r="W71"/>
      <c r="X71"/>
      <c r="Y71"/>
      <c r="Z71"/>
      <c r="AA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M72"/>
      <c r="P72"/>
      <c r="Q72"/>
      <c r="S72"/>
      <c r="T72"/>
      <c r="V72"/>
      <c r="W72"/>
      <c r="X72"/>
      <c r="Y72"/>
      <c r="Z72"/>
      <c r="AA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M73"/>
      <c r="P73"/>
      <c r="Q73"/>
      <c r="S73"/>
      <c r="T73"/>
      <c r="V73"/>
      <c r="W73"/>
      <c r="X73"/>
      <c r="Y73"/>
      <c r="Z73"/>
      <c r="AA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M74"/>
      <c r="P74"/>
      <c r="Q74"/>
      <c r="S74"/>
      <c r="T74"/>
      <c r="V74"/>
      <c r="W74"/>
      <c r="X74"/>
      <c r="Y74"/>
      <c r="Z74"/>
      <c r="AA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M75"/>
      <c r="P75"/>
      <c r="Q75"/>
      <c r="S75"/>
      <c r="T75"/>
      <c r="V75"/>
      <c r="W75"/>
      <c r="X75"/>
      <c r="Y75"/>
      <c r="Z75"/>
      <c r="AA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M76"/>
      <c r="P76"/>
      <c r="Q76"/>
      <c r="S76"/>
      <c r="T76"/>
      <c r="V76"/>
      <c r="W76"/>
      <c r="X76"/>
      <c r="Y76"/>
      <c r="Z76"/>
      <c r="AA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M77"/>
      <c r="P77"/>
      <c r="Q77"/>
      <c r="S77"/>
      <c r="T77"/>
      <c r="V77"/>
      <c r="W77"/>
      <c r="X77"/>
      <c r="Y77"/>
      <c r="Z77"/>
      <c r="AA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M78"/>
      <c r="P78"/>
      <c r="Q78"/>
      <c r="S78"/>
      <c r="T78"/>
      <c r="V78"/>
      <c r="W78"/>
      <c r="X78"/>
      <c r="Y78"/>
      <c r="Z78"/>
      <c r="AA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M79"/>
      <c r="P79"/>
      <c r="Q79"/>
      <c r="S79"/>
      <c r="T79"/>
      <c r="V79"/>
      <c r="W79"/>
      <c r="X79"/>
      <c r="Y79"/>
      <c r="Z79"/>
      <c r="AA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M80"/>
      <c r="P80"/>
      <c r="Q80"/>
      <c r="S80"/>
      <c r="T80"/>
      <c r="V80"/>
      <c r="W80"/>
      <c r="X80"/>
      <c r="Y80"/>
      <c r="Z80"/>
      <c r="AA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M81"/>
      <c r="P81"/>
      <c r="Q81"/>
      <c r="S81"/>
      <c r="T81"/>
      <c r="V81"/>
      <c r="W81"/>
      <c r="X81"/>
      <c r="Y81"/>
      <c r="Z81"/>
      <c r="AA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M82"/>
      <c r="P82"/>
      <c r="Q82"/>
      <c r="S82"/>
      <c r="T82"/>
      <c r="V82"/>
      <c r="W82"/>
      <c r="X82"/>
      <c r="Y82"/>
      <c r="Z82"/>
      <c r="AA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M83"/>
      <c r="P83"/>
      <c r="Q83"/>
      <c r="S83"/>
      <c r="T83"/>
      <c r="V83"/>
      <c r="W83"/>
      <c r="X83"/>
      <c r="Y83"/>
      <c r="Z83"/>
      <c r="AA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M84"/>
      <c r="P84"/>
      <c r="Q84"/>
      <c r="S84"/>
      <c r="T84"/>
      <c r="V84"/>
      <c r="W84"/>
      <c r="X84"/>
      <c r="Y84"/>
      <c r="Z84"/>
      <c r="AA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M85"/>
      <c r="P85"/>
      <c r="Q85"/>
      <c r="S85"/>
      <c r="T85"/>
      <c r="V85"/>
      <c r="W85"/>
      <c r="X85"/>
      <c r="Y85"/>
      <c r="Z85"/>
      <c r="AA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M86"/>
      <c r="P86"/>
      <c r="Q86"/>
      <c r="S86"/>
      <c r="T86"/>
      <c r="V86"/>
      <c r="W86"/>
      <c r="X86"/>
      <c r="Y86"/>
      <c r="Z86"/>
      <c r="AA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M87"/>
      <c r="P87"/>
      <c r="Q87"/>
      <c r="S87"/>
      <c r="T87"/>
      <c r="V87"/>
      <c r="W87"/>
      <c r="X87"/>
      <c r="Y87"/>
      <c r="Z87"/>
      <c r="AA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M88"/>
      <c r="P88"/>
      <c r="Q88"/>
      <c r="S88"/>
      <c r="T88"/>
      <c r="V88"/>
      <c r="W88"/>
      <c r="X88"/>
      <c r="Y88"/>
      <c r="Z88"/>
      <c r="AA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M89"/>
      <c r="P89"/>
      <c r="Q89"/>
      <c r="S89"/>
      <c r="T89"/>
      <c r="V89"/>
      <c r="W89"/>
      <c r="X89"/>
      <c r="Y89"/>
      <c r="Z89"/>
      <c r="AA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M90"/>
      <c r="P90"/>
      <c r="Q90"/>
      <c r="S90"/>
      <c r="T90"/>
      <c r="V90"/>
      <c r="W90"/>
      <c r="X90"/>
      <c r="Y90"/>
      <c r="Z90"/>
      <c r="AA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M91"/>
      <c r="P91"/>
      <c r="Q91"/>
      <c r="S91"/>
      <c r="T91"/>
      <c r="V91"/>
      <c r="W91"/>
      <c r="X91"/>
      <c r="Y91"/>
      <c r="Z91"/>
      <c r="AA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M92"/>
      <c r="P92"/>
      <c r="Q92"/>
      <c r="S92"/>
      <c r="T92"/>
      <c r="V92"/>
      <c r="W92"/>
      <c r="X92"/>
      <c r="Y92"/>
      <c r="Z92"/>
      <c r="AA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M93"/>
      <c r="P93"/>
      <c r="Q93"/>
      <c r="S93"/>
      <c r="T93"/>
      <c r="V93"/>
      <c r="W93"/>
      <c r="X93"/>
      <c r="Y93"/>
      <c r="Z93"/>
      <c r="AA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M94"/>
      <c r="P94"/>
      <c r="Q94"/>
      <c r="S94"/>
      <c r="T94"/>
      <c r="V94"/>
      <c r="W94"/>
      <c r="X94"/>
      <c r="Y94"/>
      <c r="Z94"/>
      <c r="AA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M95"/>
      <c r="P95"/>
      <c r="Q95"/>
      <c r="S95"/>
      <c r="T95"/>
      <c r="V95"/>
      <c r="W95"/>
      <c r="X95"/>
      <c r="Y95"/>
      <c r="Z95"/>
      <c r="AA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M96"/>
      <c r="P96"/>
      <c r="Q96"/>
      <c r="S96"/>
      <c r="T96"/>
      <c r="V96"/>
      <c r="W96"/>
      <c r="X96"/>
      <c r="Y96"/>
      <c r="Z96"/>
      <c r="AA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M97"/>
      <c r="P97"/>
      <c r="Q97"/>
      <c r="S97"/>
      <c r="T97"/>
      <c r="V97"/>
      <c r="W97"/>
      <c r="X97"/>
      <c r="Y97"/>
      <c r="Z97"/>
      <c r="AA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M98"/>
      <c r="P98"/>
      <c r="Q98"/>
      <c r="S98"/>
      <c r="T98"/>
      <c r="V98"/>
      <c r="W98"/>
      <c r="X98"/>
      <c r="Y98"/>
      <c r="Z98"/>
      <c r="AA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M99"/>
      <c r="P99"/>
      <c r="Q99"/>
      <c r="S99"/>
      <c r="T99"/>
      <c r="V99"/>
      <c r="W99"/>
      <c r="X99"/>
      <c r="Y99"/>
      <c r="Z99"/>
      <c r="AA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M100"/>
      <c r="P100"/>
      <c r="Q100"/>
      <c r="S100"/>
      <c r="T100"/>
      <c r="V100"/>
      <c r="W100"/>
      <c r="X100"/>
      <c r="Y100"/>
      <c r="Z100"/>
      <c r="AA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M101"/>
      <c r="P101"/>
      <c r="Q101"/>
      <c r="S101"/>
      <c r="T101"/>
      <c r="V101"/>
      <c r="W101"/>
      <c r="X101"/>
      <c r="Y101"/>
      <c r="Z101"/>
      <c r="AA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M102"/>
      <c r="P102"/>
      <c r="Q102"/>
      <c r="S102"/>
      <c r="T102"/>
      <c r="V102"/>
      <c r="W102"/>
      <c r="X102"/>
      <c r="Y102"/>
      <c r="Z102"/>
      <c r="AA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M103"/>
      <c r="P103"/>
      <c r="Q103"/>
      <c r="S103"/>
      <c r="T103"/>
      <c r="V103"/>
      <c r="W103"/>
      <c r="X103"/>
      <c r="Y103"/>
      <c r="Z103"/>
      <c r="AA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M104"/>
      <c r="P104"/>
      <c r="Q104"/>
      <c r="S104"/>
      <c r="T104"/>
      <c r="V104"/>
      <c r="W104"/>
      <c r="X104"/>
      <c r="Y104"/>
      <c r="Z104"/>
      <c r="AA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M105"/>
      <c r="P105"/>
      <c r="Q105"/>
      <c r="S105"/>
      <c r="T105"/>
      <c r="V105"/>
      <c r="W105"/>
      <c r="X105"/>
      <c r="Y105"/>
      <c r="Z105"/>
      <c r="AA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M106"/>
      <c r="P106"/>
      <c r="Q106"/>
      <c r="S106"/>
      <c r="T106"/>
      <c r="V106"/>
      <c r="W106"/>
      <c r="X106"/>
      <c r="Y106"/>
      <c r="Z106"/>
      <c r="AA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M107"/>
      <c r="P107"/>
      <c r="Q107"/>
      <c r="S107"/>
      <c r="T107"/>
      <c r="V107"/>
      <c r="W107"/>
      <c r="X107"/>
      <c r="Y107"/>
      <c r="Z107"/>
      <c r="AA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M108"/>
      <c r="P108"/>
      <c r="Q108"/>
      <c r="S108"/>
      <c r="T108"/>
      <c r="V108"/>
      <c r="W108"/>
      <c r="X108"/>
      <c r="Y108"/>
      <c r="Z108"/>
      <c r="AA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M109"/>
      <c r="P109"/>
      <c r="Q109"/>
      <c r="S109"/>
      <c r="T109"/>
      <c r="V109"/>
      <c r="W109"/>
      <c r="X109"/>
      <c r="Y109"/>
      <c r="Z109"/>
      <c r="AA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M110"/>
      <c r="P110"/>
      <c r="Q110"/>
      <c r="S110"/>
      <c r="T110"/>
      <c r="V110"/>
      <c r="W110"/>
      <c r="X110"/>
      <c r="Y110"/>
      <c r="Z110"/>
      <c r="AA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M111"/>
      <c r="P111"/>
      <c r="Q111"/>
      <c r="S111"/>
      <c r="T111"/>
      <c r="V111"/>
      <c r="W111"/>
      <c r="X111"/>
      <c r="Y111"/>
      <c r="Z111"/>
      <c r="AA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3">
    <mergeCell ref="A38:B38"/>
    <mergeCell ref="H39:I39"/>
    <mergeCell ref="J39:K39"/>
    <mergeCell ref="A40:B40"/>
    <mergeCell ref="D40:E40"/>
    <mergeCell ref="V51:W51"/>
    <mergeCell ref="C1:J1"/>
    <mergeCell ref="E3:F3"/>
    <mergeCell ref="I3:K3"/>
    <mergeCell ref="J20:J21"/>
    <mergeCell ref="I45:J45"/>
    <mergeCell ref="H51:I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C40:AD40"/>
    <mergeCell ref="AF40:AG40"/>
    <mergeCell ref="AK45:AL45"/>
    <mergeCell ref="AJ51:AK51"/>
    <mergeCell ref="AE1:AL1"/>
    <mergeCell ref="AG3:AH3"/>
    <mergeCell ref="AK3:AM3"/>
    <mergeCell ref="AC38:AD38"/>
    <mergeCell ref="AJ39:AK39"/>
    <mergeCell ref="AL39:AM39"/>
    <mergeCell ref="AL20:AL21"/>
    <mergeCell ref="AX51:AY51"/>
    <mergeCell ref="AQ40:AR40"/>
    <mergeCell ref="AT40:AU40"/>
    <mergeCell ref="AX39:AY39"/>
    <mergeCell ref="AZ39:BA39"/>
    <mergeCell ref="AQ38:AR38"/>
    <mergeCell ref="AS1:AZ1"/>
    <mergeCell ref="AU3:AV3"/>
    <mergeCell ref="AY3:BA3"/>
    <mergeCell ref="AY45:AZ45"/>
  </mergeCells>
  <pageMargins left="0.31496062992125984" right="0.11811023622047245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106"/>
  <sheetViews>
    <sheetView topLeftCell="A25" workbookViewId="0">
      <selection activeCell="F28" sqref="F28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8" max="8" width="11.42578125" style="23"/>
    <col min="12" max="12" width="18.7109375" customWidth="1"/>
    <col min="15" max="15" width="20.140625" bestFit="1" customWidth="1"/>
    <col min="20" max="20" width="19.5703125" customWidth="1"/>
    <col min="21" max="21" width="8" bestFit="1" customWidth="1"/>
    <col min="23" max="23" width="20.140625" bestFit="1" customWidth="1"/>
  </cols>
  <sheetData>
    <row r="1" spans="1:24" ht="19.5" customHeight="1" thickBot="1" x14ac:dyDescent="0.35">
      <c r="K1" s="491">
        <v>1</v>
      </c>
      <c r="L1" s="96" t="s">
        <v>124</v>
      </c>
      <c r="M1" s="96"/>
      <c r="N1" s="97"/>
      <c r="O1" s="399">
        <v>42312</v>
      </c>
      <c r="P1" s="229"/>
      <c r="S1" s="491">
        <v>1</v>
      </c>
      <c r="T1" s="96" t="s">
        <v>124</v>
      </c>
      <c r="U1" s="96"/>
      <c r="V1" s="97"/>
      <c r="W1" s="445">
        <v>42332</v>
      </c>
      <c r="X1" s="229"/>
    </row>
    <row r="2" spans="1:24" ht="19.5" customHeight="1" thickBot="1" x14ac:dyDescent="0.35">
      <c r="D2" s="96" t="s">
        <v>310</v>
      </c>
      <c r="K2" s="492"/>
      <c r="L2" s="100"/>
      <c r="M2" s="100"/>
      <c r="N2" s="101"/>
      <c r="O2" s="102"/>
      <c r="P2" s="229"/>
      <c r="S2" s="492"/>
      <c r="T2" s="100"/>
      <c r="U2" s="100"/>
      <c r="V2" s="101"/>
      <c r="W2" s="102"/>
      <c r="X2" s="229"/>
    </row>
    <row r="3" spans="1:24" ht="16.5" customHeight="1" thickBot="1" x14ac:dyDescent="0.3">
      <c r="B3"/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K3" s="302" t="s">
        <v>126</v>
      </c>
      <c r="L3" s="302" t="s">
        <v>127</v>
      </c>
      <c r="M3" s="302"/>
      <c r="N3" s="395" t="s">
        <v>128</v>
      </c>
      <c r="O3" s="396" t="s">
        <v>129</v>
      </c>
      <c r="P3" s="397"/>
      <c r="S3" s="302" t="s">
        <v>126</v>
      </c>
      <c r="T3" s="302" t="s">
        <v>127</v>
      </c>
      <c r="U3" s="302"/>
      <c r="V3" s="395" t="s">
        <v>128</v>
      </c>
      <c r="W3" s="396" t="s">
        <v>129</v>
      </c>
      <c r="X3" s="397"/>
    </row>
    <row r="4" spans="1:24" x14ac:dyDescent="0.25">
      <c r="B4" s="74">
        <v>42309</v>
      </c>
      <c r="C4" s="371" t="s">
        <v>664</v>
      </c>
      <c r="D4" s="70">
        <v>9866.7999999999993</v>
      </c>
      <c r="E4" s="71">
        <v>42312</v>
      </c>
      <c r="F4" s="70">
        <v>9866.7999999999993</v>
      </c>
      <c r="G4" s="170">
        <f t="shared" ref="G4:G67" si="0">D4-F4</f>
        <v>0</v>
      </c>
      <c r="H4" s="75"/>
      <c r="K4" s="394" t="s">
        <v>656</v>
      </c>
      <c r="L4" s="298">
        <v>3702.27</v>
      </c>
      <c r="M4" s="298"/>
      <c r="N4" s="299">
        <v>3280374</v>
      </c>
      <c r="O4" s="300">
        <v>38485.5</v>
      </c>
      <c r="P4" s="301">
        <v>42295</v>
      </c>
      <c r="S4" s="394" t="s">
        <v>716</v>
      </c>
      <c r="T4" s="298">
        <v>2309.3000000000002</v>
      </c>
      <c r="U4" s="298" t="s">
        <v>679</v>
      </c>
      <c r="V4" s="299">
        <v>3280838</v>
      </c>
      <c r="W4" s="300">
        <v>28000</v>
      </c>
      <c r="X4" s="301">
        <v>42312</v>
      </c>
    </row>
    <row r="5" spans="1:24" x14ac:dyDescent="0.25">
      <c r="B5" s="74">
        <v>42310</v>
      </c>
      <c r="C5" s="126" t="s">
        <v>665</v>
      </c>
      <c r="D5" s="70">
        <v>145470</v>
      </c>
      <c r="E5" s="128">
        <v>42312</v>
      </c>
      <c r="F5" s="70">
        <v>145470</v>
      </c>
      <c r="G5" s="72">
        <f t="shared" si="0"/>
        <v>0</v>
      </c>
      <c r="H5" s="75"/>
      <c r="K5" s="126" t="s">
        <v>658</v>
      </c>
      <c r="L5" s="70">
        <v>12972.2</v>
      </c>
      <c r="M5" s="111"/>
      <c r="N5" s="186">
        <v>3280372</v>
      </c>
      <c r="O5" s="187">
        <v>48500</v>
      </c>
      <c r="P5" s="230">
        <v>42296</v>
      </c>
      <c r="S5" s="126" t="s">
        <v>718</v>
      </c>
      <c r="T5" s="70">
        <v>269265.3</v>
      </c>
      <c r="U5" s="111"/>
      <c r="V5" s="186">
        <v>3280837</v>
      </c>
      <c r="W5" s="187">
        <v>45114.5</v>
      </c>
      <c r="X5" s="230">
        <v>42312</v>
      </c>
    </row>
    <row r="6" spans="1:24" x14ac:dyDescent="0.25">
      <c r="B6" s="74">
        <v>42311</v>
      </c>
      <c r="C6" s="126" t="s">
        <v>666</v>
      </c>
      <c r="D6" s="70">
        <v>54517.2</v>
      </c>
      <c r="E6" s="71" t="s">
        <v>676</v>
      </c>
      <c r="F6" s="70">
        <f>53032.18+1485.02</f>
        <v>54517.2</v>
      </c>
      <c r="G6" s="72">
        <f t="shared" si="0"/>
        <v>0</v>
      </c>
      <c r="H6" s="430"/>
      <c r="K6" s="126" t="s">
        <v>659</v>
      </c>
      <c r="L6" s="70">
        <v>54516.9</v>
      </c>
      <c r="M6" s="111"/>
      <c r="N6" s="186">
        <v>3280370</v>
      </c>
      <c r="O6" s="187">
        <v>45000</v>
      </c>
      <c r="P6" s="230">
        <v>42296</v>
      </c>
      <c r="S6" s="126" t="s">
        <v>719</v>
      </c>
      <c r="T6" s="70">
        <v>10211.4</v>
      </c>
      <c r="U6" s="111"/>
      <c r="V6" s="186">
        <v>3280836</v>
      </c>
      <c r="W6" s="187">
        <v>18500</v>
      </c>
      <c r="X6" s="230">
        <v>42313</v>
      </c>
    </row>
    <row r="7" spans="1:24" x14ac:dyDescent="0.25">
      <c r="B7" s="74">
        <v>42313</v>
      </c>
      <c r="C7" s="126" t="s">
        <v>672</v>
      </c>
      <c r="D7" s="70">
        <v>81325.03</v>
      </c>
      <c r="E7" s="71">
        <v>42318</v>
      </c>
      <c r="F7" s="70">
        <v>81325.03</v>
      </c>
      <c r="G7" s="77">
        <f>D7-F7</f>
        <v>0</v>
      </c>
      <c r="H7" s="430"/>
      <c r="K7" s="126" t="s">
        <v>660</v>
      </c>
      <c r="L7" s="70">
        <v>32998.949999999997</v>
      </c>
      <c r="M7" s="111"/>
      <c r="N7" s="186">
        <v>3280369</v>
      </c>
      <c r="O7" s="187">
        <v>44420</v>
      </c>
      <c r="P7" s="230">
        <v>42296</v>
      </c>
      <c r="S7" s="126" t="s">
        <v>720</v>
      </c>
      <c r="T7" s="70">
        <v>244457.5</v>
      </c>
      <c r="U7" s="111"/>
      <c r="V7" s="186">
        <v>3280835</v>
      </c>
      <c r="W7" s="187">
        <v>54016</v>
      </c>
      <c r="X7" s="230">
        <v>42283</v>
      </c>
    </row>
    <row r="8" spans="1:24" x14ac:dyDescent="0.25">
      <c r="B8" s="74">
        <v>42314</v>
      </c>
      <c r="C8" s="126" t="s">
        <v>671</v>
      </c>
      <c r="D8" s="70">
        <v>17075.5</v>
      </c>
      <c r="E8" s="71">
        <v>42318</v>
      </c>
      <c r="F8" s="70">
        <v>17075.5</v>
      </c>
      <c r="G8" s="72">
        <f>D8-F8</f>
        <v>0</v>
      </c>
      <c r="H8" s="430"/>
      <c r="K8" s="126" t="s">
        <v>661</v>
      </c>
      <c r="L8" s="70">
        <v>56748.3</v>
      </c>
      <c r="M8" s="111"/>
      <c r="N8" s="186">
        <v>3245254</v>
      </c>
      <c r="O8" s="187">
        <v>31206</v>
      </c>
      <c r="P8" s="230">
        <v>42296</v>
      </c>
      <c r="S8" s="126" t="s">
        <v>721</v>
      </c>
      <c r="T8" s="70">
        <v>32653.5</v>
      </c>
      <c r="U8" s="111" t="s">
        <v>165</v>
      </c>
      <c r="V8" s="186">
        <v>3280834</v>
      </c>
      <c r="W8" s="187">
        <v>50000</v>
      </c>
      <c r="X8" s="230">
        <v>42314</v>
      </c>
    </row>
    <row r="9" spans="1:24" x14ac:dyDescent="0.25">
      <c r="A9" s="431" t="s">
        <v>670</v>
      </c>
      <c r="B9" s="74">
        <v>42315</v>
      </c>
      <c r="C9" s="126" t="s">
        <v>674</v>
      </c>
      <c r="D9" s="70">
        <v>15644.5</v>
      </c>
      <c r="E9" s="71">
        <v>42318</v>
      </c>
      <c r="F9" s="70">
        <v>15644.5</v>
      </c>
      <c r="G9" s="77">
        <f>D9-F9</f>
        <v>0</v>
      </c>
      <c r="H9" s="430"/>
      <c r="K9" s="126" t="s">
        <v>662</v>
      </c>
      <c r="L9" s="70">
        <v>16295.4</v>
      </c>
      <c r="M9" s="190"/>
      <c r="N9" s="186">
        <v>3280373</v>
      </c>
      <c r="O9" s="187">
        <v>24840</v>
      </c>
      <c r="P9" s="230">
        <v>42296</v>
      </c>
      <c r="S9" s="126"/>
      <c r="T9" s="70"/>
      <c r="U9" s="190"/>
      <c r="V9" s="186">
        <v>3280833</v>
      </c>
      <c r="W9" s="187">
        <v>32695.5</v>
      </c>
      <c r="X9" s="230">
        <v>42314</v>
      </c>
    </row>
    <row r="10" spans="1:24" x14ac:dyDescent="0.25">
      <c r="B10" s="74">
        <v>42315</v>
      </c>
      <c r="C10" s="126" t="s">
        <v>673</v>
      </c>
      <c r="D10" s="129">
        <v>130475.85</v>
      </c>
      <c r="E10" s="71">
        <v>42318</v>
      </c>
      <c r="F10" s="70">
        <v>130475.85</v>
      </c>
      <c r="G10" s="77">
        <f>D10-F10</f>
        <v>0</v>
      </c>
      <c r="H10" s="430"/>
      <c r="K10" s="371" t="s">
        <v>664</v>
      </c>
      <c r="L10" s="70">
        <v>9866.7999999999993</v>
      </c>
      <c r="M10" s="226"/>
      <c r="N10" s="186">
        <v>3280690</v>
      </c>
      <c r="O10" s="187">
        <v>34263</v>
      </c>
      <c r="P10" s="230">
        <v>42297</v>
      </c>
      <c r="S10" s="126"/>
      <c r="T10" s="70"/>
      <c r="U10" s="226"/>
      <c r="V10" s="186">
        <v>3280832</v>
      </c>
      <c r="W10" s="187">
        <v>77000</v>
      </c>
      <c r="X10" s="230">
        <v>42315</v>
      </c>
    </row>
    <row r="11" spans="1:24" ht="15" x14ac:dyDescent="0.25">
      <c r="B11" s="74">
        <v>42315</v>
      </c>
      <c r="C11" s="126" t="s">
        <v>675</v>
      </c>
      <c r="D11" s="70">
        <v>197599.05</v>
      </c>
      <c r="E11" s="71" t="s">
        <v>680</v>
      </c>
      <c r="F11" s="70">
        <f>195723.2+1875.85</f>
        <v>197599.05000000002</v>
      </c>
      <c r="G11" s="77">
        <f>D11-F11</f>
        <v>0</v>
      </c>
      <c r="H11" s="430"/>
      <c r="K11" s="126" t="s">
        <v>665</v>
      </c>
      <c r="L11" s="70">
        <v>145470</v>
      </c>
      <c r="M11" s="111"/>
      <c r="N11" s="192">
        <v>3280858</v>
      </c>
      <c r="O11" s="193">
        <v>51000</v>
      </c>
      <c r="P11" s="230">
        <v>42297</v>
      </c>
      <c r="S11" s="126"/>
      <c r="T11" s="129"/>
      <c r="U11" s="111"/>
      <c r="V11" s="192">
        <v>3280831</v>
      </c>
      <c r="W11" s="193">
        <v>42000</v>
      </c>
      <c r="X11" s="230">
        <v>42315</v>
      </c>
    </row>
    <row r="12" spans="1:24" ht="15" x14ac:dyDescent="0.25">
      <c r="B12" s="74">
        <v>42286</v>
      </c>
      <c r="C12" s="126" t="s">
        <v>677</v>
      </c>
      <c r="D12" s="70">
        <v>8528</v>
      </c>
      <c r="E12" s="71">
        <v>42320</v>
      </c>
      <c r="F12" s="70">
        <v>8528</v>
      </c>
      <c r="G12" s="77">
        <f t="shared" si="0"/>
        <v>0</v>
      </c>
      <c r="H12" s="430"/>
      <c r="K12" s="126" t="s">
        <v>666</v>
      </c>
      <c r="L12" s="70">
        <v>53032.18</v>
      </c>
      <c r="M12" s="111" t="s">
        <v>165</v>
      </c>
      <c r="N12" s="192">
        <v>3280365</v>
      </c>
      <c r="O12" s="193">
        <v>27888.5</v>
      </c>
      <c r="P12" s="230">
        <v>42298</v>
      </c>
      <c r="S12" s="126"/>
      <c r="T12" s="70"/>
      <c r="U12" s="111"/>
      <c r="V12" s="192">
        <v>3280830</v>
      </c>
      <c r="W12" s="193">
        <v>22525</v>
      </c>
      <c r="X12" s="230">
        <v>42315</v>
      </c>
    </row>
    <row r="13" spans="1:24" ht="15" x14ac:dyDescent="0.25">
      <c r="B13" s="74">
        <v>42319</v>
      </c>
      <c r="C13" s="126" t="s">
        <v>678</v>
      </c>
      <c r="D13" s="70">
        <v>53199.34</v>
      </c>
      <c r="E13" s="336" t="s">
        <v>684</v>
      </c>
      <c r="F13" s="70">
        <f>52312.65+886.69</f>
        <v>53199.340000000004</v>
      </c>
      <c r="G13" s="77">
        <f t="shared" si="0"/>
        <v>0</v>
      </c>
      <c r="H13" s="75"/>
      <c r="K13" s="126"/>
      <c r="L13" s="343"/>
      <c r="M13" s="111"/>
      <c r="N13" s="192">
        <v>3280366</v>
      </c>
      <c r="O13" s="193">
        <v>40000</v>
      </c>
      <c r="P13" s="230">
        <v>42298</v>
      </c>
      <c r="S13" s="126"/>
      <c r="T13" s="70"/>
      <c r="U13" s="111"/>
      <c r="V13" s="192">
        <v>3280829</v>
      </c>
      <c r="W13" s="193">
        <v>47000</v>
      </c>
      <c r="X13" s="230">
        <v>42316</v>
      </c>
    </row>
    <row r="14" spans="1:24" thickBot="1" x14ac:dyDescent="0.3">
      <c r="B14" s="74">
        <v>42320</v>
      </c>
      <c r="C14" s="126" t="s">
        <v>681</v>
      </c>
      <c r="D14" s="70">
        <v>151080.43</v>
      </c>
      <c r="E14" s="71">
        <v>42321</v>
      </c>
      <c r="F14" s="70">
        <v>151080.43</v>
      </c>
      <c r="G14" s="77">
        <f t="shared" si="0"/>
        <v>0</v>
      </c>
      <c r="K14" s="389"/>
      <c r="L14" s="389"/>
      <c r="M14" s="389"/>
      <c r="N14" s="390"/>
      <c r="O14" s="391">
        <v>0</v>
      </c>
      <c r="P14" s="392"/>
      <c r="S14" s="121"/>
      <c r="T14" s="121"/>
      <c r="U14" s="121"/>
      <c r="V14" s="117">
        <v>3280828</v>
      </c>
      <c r="W14" s="118">
        <v>42421.5</v>
      </c>
      <c r="X14" s="120">
        <v>42316</v>
      </c>
    </row>
    <row r="15" spans="1:24" ht="19.5" thickTop="1" x14ac:dyDescent="0.3">
      <c r="B15" s="74">
        <v>42320</v>
      </c>
      <c r="C15" s="126" t="s">
        <v>682</v>
      </c>
      <c r="D15" s="70">
        <v>134728.20000000001</v>
      </c>
      <c r="E15" s="71">
        <v>42321</v>
      </c>
      <c r="F15" s="70">
        <v>134728.20000000001</v>
      </c>
      <c r="G15" s="77">
        <f t="shared" si="0"/>
        <v>0</v>
      </c>
      <c r="K15" s="8"/>
      <c r="L15" s="290">
        <f>SUM(L4:L14)</f>
        <v>385602.99999999994</v>
      </c>
      <c r="M15" s="393"/>
      <c r="N15" s="393"/>
      <c r="O15" s="393">
        <f>SUM(O4:O14)</f>
        <v>385603</v>
      </c>
      <c r="P15" s="388"/>
      <c r="S15" s="121"/>
      <c r="T15" s="121"/>
      <c r="U15" s="121"/>
      <c r="V15" s="117">
        <v>3280827</v>
      </c>
      <c r="W15" s="118">
        <v>35000</v>
      </c>
      <c r="X15" s="120">
        <v>42317</v>
      </c>
    </row>
    <row r="16" spans="1:24" ht="15" x14ac:dyDescent="0.25">
      <c r="B16" s="74">
        <v>42321</v>
      </c>
      <c r="C16" s="126" t="s">
        <v>683</v>
      </c>
      <c r="D16" s="70">
        <v>16176.6</v>
      </c>
      <c r="E16" s="71" t="s">
        <v>717</v>
      </c>
      <c r="F16" s="70">
        <f>6878.68+9297.92</f>
        <v>16176.6</v>
      </c>
      <c r="G16" s="77">
        <f t="shared" si="0"/>
        <v>0</v>
      </c>
      <c r="S16" s="417"/>
      <c r="T16" s="417"/>
      <c r="U16" s="417"/>
      <c r="V16" s="419">
        <v>3280825</v>
      </c>
      <c r="W16" s="446">
        <v>33972.5</v>
      </c>
      <c r="X16" s="420">
        <v>42318</v>
      </c>
    </row>
    <row r="17" spans="1:24" thickBot="1" x14ac:dyDescent="0.3">
      <c r="A17" s="380" t="s">
        <v>670</v>
      </c>
      <c r="B17" s="74">
        <v>42321</v>
      </c>
      <c r="C17" s="126" t="s">
        <v>707</v>
      </c>
      <c r="D17" s="70">
        <v>285.60000000000002</v>
      </c>
      <c r="E17" s="71">
        <v>42327</v>
      </c>
      <c r="F17" s="70">
        <v>285.60000000000002</v>
      </c>
      <c r="G17" s="77">
        <f t="shared" si="0"/>
        <v>0</v>
      </c>
      <c r="S17" s="121"/>
      <c r="T17" s="121"/>
      <c r="U17" s="121"/>
      <c r="V17" s="117">
        <v>3280506</v>
      </c>
      <c r="W17" s="447">
        <v>20709</v>
      </c>
      <c r="X17" s="420">
        <v>42319</v>
      </c>
    </row>
    <row r="18" spans="1:24" ht="19.5" thickBot="1" x14ac:dyDescent="0.35">
      <c r="B18" s="74">
        <v>42322</v>
      </c>
      <c r="C18" s="126" t="s">
        <v>708</v>
      </c>
      <c r="D18" s="70">
        <v>7000</v>
      </c>
      <c r="E18" s="71">
        <v>42327</v>
      </c>
      <c r="F18" s="70">
        <v>7000</v>
      </c>
      <c r="G18" s="72">
        <f t="shared" si="0"/>
        <v>0</v>
      </c>
      <c r="K18" s="491" t="s">
        <v>166</v>
      </c>
      <c r="L18" s="96" t="s">
        <v>124</v>
      </c>
      <c r="M18" s="96"/>
      <c r="N18" s="97"/>
      <c r="O18" s="432">
        <v>42318</v>
      </c>
      <c r="P18" s="229"/>
      <c r="S18" s="389"/>
      <c r="T18" s="389"/>
      <c r="U18" s="389"/>
      <c r="V18" s="390">
        <v>3280823</v>
      </c>
      <c r="W18" s="448">
        <v>9943</v>
      </c>
      <c r="X18" s="420">
        <v>42320</v>
      </c>
    </row>
    <row r="19" spans="1:24" ht="19.5" thickBot="1" x14ac:dyDescent="0.35">
      <c r="B19" s="74">
        <v>42322</v>
      </c>
      <c r="C19" s="126" t="s">
        <v>709</v>
      </c>
      <c r="D19" s="70">
        <v>15391.68</v>
      </c>
      <c r="E19" s="71">
        <v>42327</v>
      </c>
      <c r="F19" s="70">
        <v>15391.68</v>
      </c>
      <c r="G19" s="77">
        <f t="shared" si="0"/>
        <v>0</v>
      </c>
      <c r="K19" s="492"/>
      <c r="L19" s="100"/>
      <c r="M19" s="100"/>
      <c r="N19" s="101"/>
      <c r="O19" s="102"/>
      <c r="P19" s="229"/>
      <c r="S19" s="8"/>
      <c r="T19" s="290">
        <f>SUM(T4:T14)</f>
        <v>558897</v>
      </c>
      <c r="U19" s="393"/>
      <c r="V19" s="393"/>
      <c r="W19" s="290">
        <f>SUM(W4:W18)</f>
        <v>558897</v>
      </c>
      <c r="X19" s="388"/>
    </row>
    <row r="20" spans="1:24" ht="19.5" customHeight="1" thickBot="1" x14ac:dyDescent="0.3">
      <c r="A20" s="380" t="s">
        <v>670</v>
      </c>
      <c r="B20" s="74">
        <v>42323</v>
      </c>
      <c r="C20" s="444" t="s">
        <v>710</v>
      </c>
      <c r="D20" s="407">
        <v>0</v>
      </c>
      <c r="E20" s="71">
        <v>42327</v>
      </c>
      <c r="F20" s="70">
        <v>0</v>
      </c>
      <c r="G20" s="77">
        <f t="shared" si="0"/>
        <v>0</v>
      </c>
      <c r="K20" s="302" t="s">
        <v>126</v>
      </c>
      <c r="L20" s="302" t="s">
        <v>127</v>
      </c>
      <c r="M20" s="302"/>
      <c r="N20" s="395" t="s">
        <v>128</v>
      </c>
      <c r="O20" s="396" t="s">
        <v>129</v>
      </c>
      <c r="P20" s="397"/>
    </row>
    <row r="21" spans="1:24" ht="16.5" customHeight="1" thickTop="1" thickBot="1" x14ac:dyDescent="0.3">
      <c r="B21" s="74">
        <v>42323</v>
      </c>
      <c r="C21" s="126" t="s">
        <v>711</v>
      </c>
      <c r="D21" s="70">
        <v>7352</v>
      </c>
      <c r="E21" s="71">
        <v>42327</v>
      </c>
      <c r="F21" s="70">
        <v>7352</v>
      </c>
      <c r="G21" s="77">
        <f t="shared" si="0"/>
        <v>0</v>
      </c>
      <c r="K21" s="433" t="s">
        <v>667</v>
      </c>
      <c r="L21" s="435">
        <v>8339.4</v>
      </c>
      <c r="M21" s="298"/>
      <c r="N21" s="299">
        <v>3280367</v>
      </c>
      <c r="O21" s="300">
        <v>75000</v>
      </c>
      <c r="P21" s="301">
        <v>42298</v>
      </c>
    </row>
    <row r="22" spans="1:24" ht="19.5" thickBot="1" x14ac:dyDescent="0.35">
      <c r="B22" s="74">
        <v>42324</v>
      </c>
      <c r="C22" s="126" t="s">
        <v>712</v>
      </c>
      <c r="D22" s="70">
        <v>92645.8</v>
      </c>
      <c r="E22" s="71">
        <v>42327</v>
      </c>
      <c r="F22" s="70">
        <v>92645.8</v>
      </c>
      <c r="G22" s="77">
        <f t="shared" si="0"/>
        <v>0</v>
      </c>
      <c r="K22" s="126" t="s">
        <v>668</v>
      </c>
      <c r="L22" s="70">
        <v>266010</v>
      </c>
      <c r="M22" s="111"/>
      <c r="N22" s="186">
        <v>3280360</v>
      </c>
      <c r="O22" s="187">
        <v>28329</v>
      </c>
      <c r="P22" s="230">
        <v>42299</v>
      </c>
      <c r="S22" s="491">
        <v>1</v>
      </c>
      <c r="T22" s="96" t="s">
        <v>124</v>
      </c>
      <c r="U22" s="96"/>
      <c r="V22" s="97"/>
      <c r="W22" s="429">
        <v>42340</v>
      </c>
      <c r="X22" s="229"/>
    </row>
    <row r="23" spans="1:24" ht="16.5" thickBot="1" x14ac:dyDescent="0.3">
      <c r="B23" s="74">
        <v>42325</v>
      </c>
      <c r="C23" s="126" t="s">
        <v>714</v>
      </c>
      <c r="D23" s="70">
        <v>26285.7</v>
      </c>
      <c r="E23" s="71">
        <v>42327</v>
      </c>
      <c r="F23" s="70">
        <v>26285.7</v>
      </c>
      <c r="G23" s="77">
        <f t="shared" si="0"/>
        <v>0</v>
      </c>
      <c r="K23" s="434" t="s">
        <v>666</v>
      </c>
      <c r="L23" s="436">
        <v>1485.02</v>
      </c>
      <c r="M23" s="111"/>
      <c r="N23" s="186">
        <v>3280361</v>
      </c>
      <c r="O23" s="187">
        <v>37000</v>
      </c>
      <c r="P23" s="230">
        <v>42299</v>
      </c>
      <c r="S23" s="492"/>
      <c r="T23" s="100"/>
      <c r="U23" s="100"/>
      <c r="V23" s="101"/>
      <c r="W23" s="102"/>
      <c r="X23" s="229"/>
    </row>
    <row r="24" spans="1:24" ht="16.5" thickBot="1" x14ac:dyDescent="0.3">
      <c r="B24" s="74">
        <v>42326</v>
      </c>
      <c r="C24" s="126" t="s">
        <v>715</v>
      </c>
      <c r="D24" s="129">
        <v>11606.4</v>
      </c>
      <c r="E24" s="71">
        <v>42327</v>
      </c>
      <c r="F24" s="70">
        <v>11606.4</v>
      </c>
      <c r="G24" s="77">
        <f t="shared" si="0"/>
        <v>0</v>
      </c>
      <c r="K24" s="126" t="s">
        <v>672</v>
      </c>
      <c r="L24" s="70">
        <v>81325.03</v>
      </c>
      <c r="M24" s="111"/>
      <c r="N24" s="186">
        <v>3280362</v>
      </c>
      <c r="O24" s="187">
        <v>45000</v>
      </c>
      <c r="P24" s="230">
        <v>42299</v>
      </c>
      <c r="S24" s="302" t="s">
        <v>126</v>
      </c>
      <c r="T24" s="302" t="s">
        <v>127</v>
      </c>
      <c r="U24" s="302"/>
      <c r="V24" s="395" t="s">
        <v>128</v>
      </c>
      <c r="W24" s="396" t="s">
        <v>129</v>
      </c>
      <c r="X24" s="397"/>
    </row>
    <row r="25" spans="1:24" ht="16.5" thickTop="1" x14ac:dyDescent="0.25">
      <c r="B25" s="74">
        <v>42326</v>
      </c>
      <c r="C25" s="126" t="s">
        <v>716</v>
      </c>
      <c r="D25" s="70">
        <v>53986.2</v>
      </c>
      <c r="E25" s="71" t="s">
        <v>722</v>
      </c>
      <c r="F25" s="70">
        <f>51676.9+2309.3</f>
        <v>53986.200000000004</v>
      </c>
      <c r="G25" s="77">
        <f t="shared" si="0"/>
        <v>0</v>
      </c>
      <c r="K25" s="126" t="s">
        <v>671</v>
      </c>
      <c r="L25" s="70">
        <v>17075.5</v>
      </c>
      <c r="M25" s="111"/>
      <c r="N25" s="186">
        <v>3280363</v>
      </c>
      <c r="O25" s="187">
        <v>20000</v>
      </c>
      <c r="P25" s="230">
        <v>42299</v>
      </c>
      <c r="S25" s="126" t="s">
        <v>721</v>
      </c>
      <c r="T25" s="70">
        <v>449.9</v>
      </c>
      <c r="U25" s="298" t="s">
        <v>737</v>
      </c>
      <c r="V25" s="299">
        <v>3280826</v>
      </c>
      <c r="W25" s="300">
        <v>49250</v>
      </c>
      <c r="X25" s="301">
        <v>42318</v>
      </c>
    </row>
    <row r="26" spans="1:24" x14ac:dyDescent="0.25">
      <c r="A26" s="82"/>
      <c r="B26" s="74">
        <v>42327</v>
      </c>
      <c r="C26" s="126" t="s">
        <v>718</v>
      </c>
      <c r="D26" s="70">
        <v>269265.3</v>
      </c>
      <c r="E26" s="71">
        <v>42332</v>
      </c>
      <c r="F26" s="70">
        <v>269265.3</v>
      </c>
      <c r="G26" s="77">
        <f t="shared" si="0"/>
        <v>0</v>
      </c>
      <c r="K26" s="126" t="s">
        <v>674</v>
      </c>
      <c r="L26" s="70">
        <v>15644.5</v>
      </c>
      <c r="M26" s="190"/>
      <c r="N26" s="186">
        <v>3280364</v>
      </c>
      <c r="O26" s="187">
        <v>37500</v>
      </c>
      <c r="P26" s="230">
        <v>42299</v>
      </c>
      <c r="S26" s="126" t="s">
        <v>723</v>
      </c>
      <c r="T26" s="70">
        <v>283919.3</v>
      </c>
      <c r="U26" s="111"/>
      <c r="V26" s="186">
        <v>3280824</v>
      </c>
      <c r="W26" s="187">
        <v>66852</v>
      </c>
      <c r="X26" s="230">
        <v>42319</v>
      </c>
    </row>
    <row r="27" spans="1:24" x14ac:dyDescent="0.25">
      <c r="B27" s="74">
        <v>42329</v>
      </c>
      <c r="C27" s="126" t="s">
        <v>719</v>
      </c>
      <c r="D27" s="70">
        <v>10211.4</v>
      </c>
      <c r="E27" s="71">
        <v>42332</v>
      </c>
      <c r="F27" s="70">
        <v>10211.4</v>
      </c>
      <c r="G27" s="77">
        <f t="shared" si="0"/>
        <v>0</v>
      </c>
      <c r="K27" s="126" t="s">
        <v>673</v>
      </c>
      <c r="L27" s="129">
        <v>130475.85</v>
      </c>
      <c r="M27" s="226"/>
      <c r="N27" s="186" t="s">
        <v>470</v>
      </c>
      <c r="O27" s="187">
        <v>7482</v>
      </c>
      <c r="P27" s="230">
        <v>42299</v>
      </c>
      <c r="Q27" s="82">
        <v>42300</v>
      </c>
      <c r="S27" s="126" t="s">
        <v>724</v>
      </c>
      <c r="T27" s="70">
        <v>17645.2</v>
      </c>
      <c r="U27" s="111"/>
      <c r="V27" s="186">
        <v>3280822</v>
      </c>
      <c r="W27" s="187">
        <v>41730.5</v>
      </c>
      <c r="X27" s="230">
        <v>42320</v>
      </c>
    </row>
    <row r="28" spans="1:24" x14ac:dyDescent="0.25">
      <c r="B28" s="74">
        <v>42329</v>
      </c>
      <c r="C28" s="126" t="s">
        <v>720</v>
      </c>
      <c r="D28" s="70">
        <v>244457.5</v>
      </c>
      <c r="E28" s="71">
        <v>42332</v>
      </c>
      <c r="F28" s="70">
        <v>244457.5</v>
      </c>
      <c r="G28" s="77">
        <f t="shared" si="0"/>
        <v>0</v>
      </c>
      <c r="K28" s="126" t="s">
        <v>675</v>
      </c>
      <c r="L28" s="70">
        <v>195723.2</v>
      </c>
      <c r="M28" s="111" t="s">
        <v>165</v>
      </c>
      <c r="N28" s="192">
        <v>32880358</v>
      </c>
      <c r="O28" s="193">
        <v>50000</v>
      </c>
      <c r="P28" s="230">
        <v>42300</v>
      </c>
      <c r="S28" s="126" t="s">
        <v>725</v>
      </c>
      <c r="T28" s="70">
        <v>201368.92</v>
      </c>
      <c r="U28" s="111"/>
      <c r="V28" s="186">
        <v>3280820</v>
      </c>
      <c r="W28" s="187">
        <v>35000</v>
      </c>
      <c r="X28" s="230">
        <v>42321</v>
      </c>
    </row>
    <row r="29" spans="1:24" x14ac:dyDescent="0.25">
      <c r="B29" s="74">
        <v>42331</v>
      </c>
      <c r="C29" s="126" t="s">
        <v>721</v>
      </c>
      <c r="D29" s="70">
        <v>33103.4</v>
      </c>
      <c r="E29" s="71" t="s">
        <v>738</v>
      </c>
      <c r="F29" s="274">
        <f>32653.5+449.9</f>
        <v>33103.4</v>
      </c>
      <c r="G29" s="450">
        <f t="shared" si="0"/>
        <v>0</v>
      </c>
      <c r="K29" s="126"/>
      <c r="L29" s="70"/>
      <c r="M29" s="111"/>
      <c r="N29" s="192">
        <v>3280359</v>
      </c>
      <c r="O29" s="193">
        <v>51000</v>
      </c>
      <c r="P29" s="230">
        <v>42300</v>
      </c>
      <c r="S29" s="126" t="s">
        <v>732</v>
      </c>
      <c r="T29" s="70">
        <v>8981.5</v>
      </c>
      <c r="U29" s="111"/>
      <c r="V29" s="186">
        <v>3280821</v>
      </c>
      <c r="W29" s="187">
        <v>38500</v>
      </c>
      <c r="X29" s="230">
        <v>42321</v>
      </c>
    </row>
    <row r="30" spans="1:24" x14ac:dyDescent="0.25">
      <c r="B30" s="74">
        <v>42332</v>
      </c>
      <c r="C30" s="126" t="s">
        <v>723</v>
      </c>
      <c r="D30" s="70">
        <v>283919.3</v>
      </c>
      <c r="E30" s="146">
        <v>42340</v>
      </c>
      <c r="F30" s="274">
        <v>283919.3</v>
      </c>
      <c r="G30" s="77">
        <f t="shared" si="0"/>
        <v>0</v>
      </c>
      <c r="K30" s="126"/>
      <c r="L30" s="70"/>
      <c r="M30" s="111"/>
      <c r="N30" s="192">
        <v>3280357</v>
      </c>
      <c r="O30" s="193">
        <v>19126</v>
      </c>
      <c r="P30" s="230">
        <v>42300</v>
      </c>
      <c r="S30" s="126" t="s">
        <v>733</v>
      </c>
      <c r="T30" s="70">
        <v>56833.7</v>
      </c>
      <c r="U30" s="190"/>
      <c r="V30" s="186">
        <v>3280819</v>
      </c>
      <c r="W30" s="187">
        <v>38115.5</v>
      </c>
      <c r="X30" s="230">
        <v>42321</v>
      </c>
    </row>
    <row r="31" spans="1:24" x14ac:dyDescent="0.25">
      <c r="B31" s="74">
        <v>42335</v>
      </c>
      <c r="C31" s="126" t="s">
        <v>724</v>
      </c>
      <c r="D31" s="70">
        <v>17645.2</v>
      </c>
      <c r="E31" s="146">
        <v>42340</v>
      </c>
      <c r="F31" s="274">
        <v>17645.2</v>
      </c>
      <c r="G31" s="77">
        <f t="shared" si="0"/>
        <v>0</v>
      </c>
      <c r="K31" s="126"/>
      <c r="L31" s="70"/>
      <c r="M31" s="111"/>
      <c r="N31" s="192">
        <v>3280356</v>
      </c>
      <c r="O31" s="193">
        <v>65000</v>
      </c>
      <c r="P31" s="230">
        <v>42301</v>
      </c>
      <c r="S31" s="126" t="s">
        <v>734</v>
      </c>
      <c r="T31" s="70">
        <v>56415.85</v>
      </c>
      <c r="U31" s="226"/>
      <c r="V31" s="186" t="s">
        <v>470</v>
      </c>
      <c r="W31" s="187">
        <v>16811</v>
      </c>
      <c r="X31" s="230">
        <v>42322</v>
      </c>
    </row>
    <row r="32" spans="1:24" ht="15" x14ac:dyDescent="0.25">
      <c r="B32" s="74">
        <v>42335</v>
      </c>
      <c r="C32" s="126" t="s">
        <v>725</v>
      </c>
      <c r="D32" s="70">
        <v>201368.92</v>
      </c>
      <c r="E32" s="146">
        <v>42340</v>
      </c>
      <c r="F32" s="274">
        <v>201368.92</v>
      </c>
      <c r="G32" s="77">
        <f t="shared" si="0"/>
        <v>0</v>
      </c>
      <c r="K32" s="126"/>
      <c r="L32" s="70"/>
      <c r="M32" s="111"/>
      <c r="N32" s="192">
        <v>3280355</v>
      </c>
      <c r="O32" s="193">
        <v>50000</v>
      </c>
      <c r="P32" s="230">
        <v>42301</v>
      </c>
      <c r="S32" s="126" t="s">
        <v>735</v>
      </c>
      <c r="T32" s="70">
        <v>29670</v>
      </c>
      <c r="U32" s="111"/>
      <c r="V32" s="192">
        <v>3280817</v>
      </c>
      <c r="W32" s="193">
        <v>50000</v>
      </c>
      <c r="X32" s="230">
        <v>42322</v>
      </c>
    </row>
    <row r="33" spans="2:25" ht="15" x14ac:dyDescent="0.25">
      <c r="B33" s="74">
        <v>42336</v>
      </c>
      <c r="C33" s="126" t="s">
        <v>732</v>
      </c>
      <c r="D33" s="70">
        <v>8981.5</v>
      </c>
      <c r="E33" s="146">
        <v>42340</v>
      </c>
      <c r="F33" s="274">
        <v>8981.5</v>
      </c>
      <c r="G33" s="77">
        <f t="shared" si="0"/>
        <v>0</v>
      </c>
      <c r="K33" s="126"/>
      <c r="L33" s="70"/>
      <c r="M33" s="111"/>
      <c r="N33" s="192">
        <v>3280354</v>
      </c>
      <c r="O33" s="193">
        <v>34247.5</v>
      </c>
      <c r="P33" s="230">
        <v>42301</v>
      </c>
      <c r="S33" s="126" t="s">
        <v>736</v>
      </c>
      <c r="T33" s="70">
        <v>29188.13</v>
      </c>
      <c r="U33" s="111" t="s">
        <v>137</v>
      </c>
      <c r="V33" s="192">
        <v>3280818</v>
      </c>
      <c r="W33" s="193">
        <v>25000</v>
      </c>
      <c r="X33" s="230">
        <v>42322</v>
      </c>
    </row>
    <row r="34" spans="2:25" ht="15" x14ac:dyDescent="0.25">
      <c r="B34" s="74">
        <v>42336</v>
      </c>
      <c r="C34" s="126" t="s">
        <v>733</v>
      </c>
      <c r="D34" s="70">
        <v>56833.7</v>
      </c>
      <c r="E34" s="146">
        <v>42340</v>
      </c>
      <c r="F34" s="274">
        <v>56833.7</v>
      </c>
      <c r="G34" s="77">
        <f t="shared" si="0"/>
        <v>0</v>
      </c>
      <c r="K34" s="126"/>
      <c r="L34" s="70"/>
      <c r="M34" s="111"/>
      <c r="N34" s="192">
        <v>3280857</v>
      </c>
      <c r="O34" s="193">
        <v>46973.5</v>
      </c>
      <c r="P34" s="230">
        <v>42301</v>
      </c>
      <c r="S34" s="126"/>
      <c r="T34" s="70"/>
      <c r="U34" s="111"/>
      <c r="V34" s="192">
        <v>3280816</v>
      </c>
      <c r="W34" s="193">
        <v>22391.5</v>
      </c>
      <c r="X34" s="230">
        <v>42322</v>
      </c>
    </row>
    <row r="35" spans="2:25" ht="15" x14ac:dyDescent="0.25">
      <c r="B35" s="74">
        <v>42337</v>
      </c>
      <c r="C35" s="126" t="s">
        <v>734</v>
      </c>
      <c r="D35" s="70">
        <v>56415.85</v>
      </c>
      <c r="E35" s="146">
        <v>42340</v>
      </c>
      <c r="F35" s="274">
        <v>56415.85</v>
      </c>
      <c r="G35" s="77">
        <f t="shared" si="0"/>
        <v>0</v>
      </c>
      <c r="K35" s="126"/>
      <c r="L35" s="70"/>
      <c r="M35" s="111"/>
      <c r="N35" s="192" t="s">
        <v>470</v>
      </c>
      <c r="O35" s="193">
        <v>6255</v>
      </c>
      <c r="P35" s="230">
        <v>42304</v>
      </c>
      <c r="Q35" s="82">
        <v>42303</v>
      </c>
      <c r="S35" s="121"/>
      <c r="T35" s="121"/>
      <c r="U35" s="121"/>
      <c r="V35" s="117" t="s">
        <v>470</v>
      </c>
      <c r="W35" s="118">
        <v>50000</v>
      </c>
      <c r="X35" s="120">
        <v>42326</v>
      </c>
      <c r="Y35" s="82">
        <v>42323</v>
      </c>
    </row>
    <row r="36" spans="2:25" ht="15" x14ac:dyDescent="0.25">
      <c r="B36" s="74">
        <v>42338</v>
      </c>
      <c r="C36" s="126" t="s">
        <v>735</v>
      </c>
      <c r="D36" s="70">
        <v>29670</v>
      </c>
      <c r="E36" s="146">
        <v>42340</v>
      </c>
      <c r="F36" s="274">
        <v>29670</v>
      </c>
      <c r="G36" s="77">
        <f t="shared" si="0"/>
        <v>0</v>
      </c>
      <c r="K36" s="126"/>
      <c r="L36" s="70"/>
      <c r="M36" s="111"/>
      <c r="N36" s="192" t="s">
        <v>470</v>
      </c>
      <c r="O36" s="193">
        <v>5279</v>
      </c>
      <c r="P36" s="230">
        <v>42307</v>
      </c>
      <c r="Q36" s="82">
        <v>42303</v>
      </c>
      <c r="S36" s="121"/>
      <c r="T36" s="121"/>
      <c r="U36" s="121"/>
      <c r="V36" s="117">
        <v>3280815</v>
      </c>
      <c r="W36" s="118">
        <v>40000</v>
      </c>
      <c r="X36" s="120">
        <v>42323</v>
      </c>
    </row>
    <row r="37" spans="2:25" ht="15" x14ac:dyDescent="0.25">
      <c r="B37" s="74">
        <v>42338</v>
      </c>
      <c r="C37" s="126" t="s">
        <v>736</v>
      </c>
      <c r="D37" s="70">
        <v>29670</v>
      </c>
      <c r="E37" s="146">
        <v>42340</v>
      </c>
      <c r="F37" s="451">
        <v>29188.13</v>
      </c>
      <c r="G37" s="408">
        <f t="shared" si="0"/>
        <v>481.86999999999898</v>
      </c>
      <c r="K37" s="126"/>
      <c r="L37" s="70"/>
      <c r="M37" s="111"/>
      <c r="N37" s="192">
        <v>3280854</v>
      </c>
      <c r="O37" s="193">
        <v>48000</v>
      </c>
      <c r="P37" s="230">
        <v>42303</v>
      </c>
      <c r="S37" s="417"/>
      <c r="T37" s="417"/>
      <c r="U37" s="417"/>
      <c r="V37" s="419">
        <v>3280814</v>
      </c>
      <c r="W37" s="446">
        <v>15414</v>
      </c>
      <c r="X37" s="420">
        <v>42323</v>
      </c>
    </row>
    <row r="38" spans="2:25" ht="15" x14ac:dyDescent="0.25">
      <c r="B38" s="74"/>
      <c r="C38" s="126"/>
      <c r="D38" s="70"/>
      <c r="E38" s="71"/>
      <c r="F38" s="70"/>
      <c r="G38" s="77">
        <f t="shared" si="0"/>
        <v>0</v>
      </c>
      <c r="K38" s="126"/>
      <c r="L38" s="70"/>
      <c r="M38" s="111"/>
      <c r="N38" s="192">
        <v>3280853</v>
      </c>
      <c r="O38" s="193">
        <v>21680</v>
      </c>
      <c r="P38" s="230">
        <v>42303</v>
      </c>
      <c r="S38" s="121"/>
      <c r="T38" s="121"/>
      <c r="U38" s="121"/>
      <c r="V38" s="117">
        <v>32808758</v>
      </c>
      <c r="W38" s="447">
        <v>898</v>
      </c>
      <c r="X38" s="420">
        <v>42324</v>
      </c>
    </row>
    <row r="39" spans="2:25" ht="15" x14ac:dyDescent="0.25">
      <c r="B39" s="74"/>
      <c r="C39" s="126"/>
      <c r="D39" s="70"/>
      <c r="E39" s="71"/>
      <c r="F39" s="70"/>
      <c r="G39" s="77">
        <f t="shared" si="0"/>
        <v>0</v>
      </c>
      <c r="K39" s="126"/>
      <c r="L39" s="343"/>
      <c r="M39" s="111"/>
      <c r="N39" s="192">
        <v>3280852</v>
      </c>
      <c r="O39" s="193">
        <v>17368</v>
      </c>
      <c r="P39" s="230">
        <v>42304</v>
      </c>
      <c r="S39" s="121"/>
      <c r="T39" s="121"/>
      <c r="U39" s="121"/>
      <c r="V39" s="117">
        <v>3280813</v>
      </c>
      <c r="W39" s="447">
        <v>60000</v>
      </c>
      <c r="X39" s="120">
        <v>42324</v>
      </c>
    </row>
    <row r="40" spans="2:25" ht="15" x14ac:dyDescent="0.25">
      <c r="B40" s="74"/>
      <c r="C40" s="126"/>
      <c r="D40" s="70"/>
      <c r="E40" s="71"/>
      <c r="F40" s="70"/>
      <c r="G40" s="77">
        <f t="shared" si="0"/>
        <v>0</v>
      </c>
      <c r="K40" s="437"/>
      <c r="L40" s="438"/>
      <c r="M40" s="190"/>
      <c r="N40" s="439">
        <v>3280856</v>
      </c>
      <c r="O40" s="440">
        <v>25000</v>
      </c>
      <c r="P40" s="441">
        <v>42303</v>
      </c>
      <c r="S40" s="121"/>
      <c r="T40" s="121"/>
      <c r="U40" s="121"/>
      <c r="V40" s="117">
        <v>3280812</v>
      </c>
      <c r="W40" s="118">
        <v>55000</v>
      </c>
      <c r="X40" s="120">
        <v>42324</v>
      </c>
    </row>
    <row r="41" spans="2:25" ht="15" x14ac:dyDescent="0.25">
      <c r="B41" s="74"/>
      <c r="C41" s="126"/>
      <c r="D41" s="70"/>
      <c r="E41" s="71"/>
      <c r="F41" s="70"/>
      <c r="G41" s="77">
        <f t="shared" si="0"/>
        <v>0</v>
      </c>
      <c r="K41" s="437"/>
      <c r="L41" s="438"/>
      <c r="M41" s="190"/>
      <c r="N41" s="439">
        <v>3280855</v>
      </c>
      <c r="O41" s="440">
        <v>11595.5</v>
      </c>
      <c r="P41" s="441">
        <v>42304</v>
      </c>
      <c r="S41" s="121"/>
      <c r="T41" s="121"/>
      <c r="U41" s="121"/>
      <c r="V41" s="117">
        <v>3280810</v>
      </c>
      <c r="W41" s="118">
        <v>9647</v>
      </c>
      <c r="X41" s="120">
        <v>42324</v>
      </c>
    </row>
    <row r="42" spans="2:25" ht="15" x14ac:dyDescent="0.25">
      <c r="B42" s="74"/>
      <c r="C42" s="126"/>
      <c r="D42" s="70"/>
      <c r="E42" s="71"/>
      <c r="F42" s="70"/>
      <c r="G42" s="77">
        <f t="shared" si="0"/>
        <v>0</v>
      </c>
      <c r="K42" s="437"/>
      <c r="L42" s="438"/>
      <c r="M42" s="190"/>
      <c r="N42" s="439" t="s">
        <v>470</v>
      </c>
      <c r="O42" s="440">
        <v>11629</v>
      </c>
      <c r="P42" s="441">
        <v>42305</v>
      </c>
      <c r="Q42" s="82"/>
      <c r="S42" s="121"/>
      <c r="T42" s="121"/>
      <c r="U42" s="121"/>
      <c r="V42" s="117">
        <v>3280811</v>
      </c>
      <c r="W42" s="118">
        <v>24863</v>
      </c>
      <c r="X42" s="120">
        <v>42325</v>
      </c>
    </row>
    <row r="43" spans="2:25" thickBot="1" x14ac:dyDescent="0.3">
      <c r="B43" s="74"/>
      <c r="C43" s="126"/>
      <c r="D43" s="70"/>
      <c r="E43" s="71"/>
      <c r="F43" s="70"/>
      <c r="G43" s="77">
        <f t="shared" si="0"/>
        <v>0</v>
      </c>
      <c r="K43" s="437"/>
      <c r="L43" s="438"/>
      <c r="M43" s="190"/>
      <c r="N43" s="439" t="s">
        <v>470</v>
      </c>
      <c r="O43" s="440">
        <v>2614</v>
      </c>
      <c r="P43" s="441">
        <v>42307</v>
      </c>
      <c r="Q43" s="82">
        <v>42305</v>
      </c>
      <c r="S43" s="389"/>
      <c r="T43" s="389"/>
      <c r="U43" s="389"/>
      <c r="V43" s="390">
        <v>3280757</v>
      </c>
      <c r="W43" s="391">
        <v>45000</v>
      </c>
      <c r="X43" s="392">
        <v>42326</v>
      </c>
    </row>
    <row r="44" spans="2:25" ht="20.25" thickTop="1" thickBot="1" x14ac:dyDescent="0.35">
      <c r="B44" s="74"/>
      <c r="C44" s="126"/>
      <c r="D44" s="70"/>
      <c r="E44" s="71"/>
      <c r="F44" s="70"/>
      <c r="G44" s="77">
        <f t="shared" si="0"/>
        <v>0</v>
      </c>
      <c r="K44" s="389"/>
      <c r="L44" s="389"/>
      <c r="M44" s="389"/>
      <c r="N44" s="390"/>
      <c r="O44" s="391">
        <v>0</v>
      </c>
      <c r="P44" s="392"/>
      <c r="S44" s="8"/>
      <c r="T44" s="290">
        <f>SUM(T25:T35)</f>
        <v>684472.5</v>
      </c>
      <c r="U44" s="393"/>
      <c r="V44" s="393"/>
      <c r="W44" s="290">
        <f>SUM(W25:W43)</f>
        <v>684472.5</v>
      </c>
      <c r="X44" s="388"/>
    </row>
    <row r="45" spans="2:25" ht="19.5" thickTop="1" x14ac:dyDescent="0.3">
      <c r="B45" s="74"/>
      <c r="C45" s="126"/>
      <c r="D45" s="70"/>
      <c r="E45" s="71"/>
      <c r="F45" s="70"/>
      <c r="G45" s="77">
        <f t="shared" si="0"/>
        <v>0</v>
      </c>
      <c r="K45" s="8"/>
      <c r="L45" s="290">
        <f>SUM(L21:L44)</f>
        <v>716078.5</v>
      </c>
      <c r="M45" s="393"/>
      <c r="N45" s="393"/>
      <c r="O45" s="393">
        <f>SUM(O21:O44)</f>
        <v>716078.5</v>
      </c>
      <c r="P45" s="388"/>
    </row>
    <row r="46" spans="2:25" ht="15" x14ac:dyDescent="0.25">
      <c r="B46" s="74"/>
      <c r="C46" s="126"/>
      <c r="D46" s="70"/>
      <c r="E46" s="71"/>
      <c r="F46" s="70"/>
      <c r="G46" s="77">
        <f t="shared" si="0"/>
        <v>0</v>
      </c>
    </row>
    <row r="47" spans="2:25" thickBot="1" x14ac:dyDescent="0.3">
      <c r="B47" s="74"/>
      <c r="C47" s="126"/>
      <c r="D47" s="70"/>
      <c r="E47" s="71"/>
      <c r="F47" s="70"/>
      <c r="G47" s="77">
        <f t="shared" si="0"/>
        <v>0</v>
      </c>
    </row>
    <row r="48" spans="2:25" ht="19.5" thickBot="1" x14ac:dyDescent="0.35">
      <c r="B48" s="74"/>
      <c r="C48" s="126"/>
      <c r="D48" s="70"/>
      <c r="E48" s="71"/>
      <c r="F48" s="70"/>
      <c r="G48" s="77">
        <f t="shared" si="0"/>
        <v>0</v>
      </c>
      <c r="K48" s="491">
        <v>1</v>
      </c>
      <c r="L48" s="96" t="s">
        <v>124</v>
      </c>
      <c r="M48" s="96"/>
      <c r="N48" s="97"/>
      <c r="O48" s="411">
        <v>42320</v>
      </c>
      <c r="P48" s="229"/>
    </row>
    <row r="49" spans="2:16" ht="16.5" thickBot="1" x14ac:dyDescent="0.3">
      <c r="B49" s="74"/>
      <c r="C49" s="126"/>
      <c r="D49" s="70"/>
      <c r="E49" s="71"/>
      <c r="F49" s="70"/>
      <c r="G49" s="77">
        <f t="shared" si="0"/>
        <v>0</v>
      </c>
      <c r="K49" s="492"/>
      <c r="L49" s="100"/>
      <c r="M49" s="100"/>
      <c r="N49" s="101"/>
      <c r="O49" s="102"/>
      <c r="P49" s="229"/>
    </row>
    <row r="50" spans="2:16" ht="16.5" thickBot="1" x14ac:dyDescent="0.3">
      <c r="B50" s="74"/>
      <c r="C50" s="126"/>
      <c r="D50" s="70"/>
      <c r="E50" s="146"/>
      <c r="F50" s="70"/>
      <c r="G50" s="77">
        <f t="shared" si="0"/>
        <v>0</v>
      </c>
      <c r="K50" s="302" t="s">
        <v>126</v>
      </c>
      <c r="L50" s="302" t="s">
        <v>127</v>
      </c>
      <c r="M50" s="302"/>
      <c r="N50" s="395" t="s">
        <v>128</v>
      </c>
      <c r="O50" s="396" t="s">
        <v>129</v>
      </c>
      <c r="P50" s="397"/>
    </row>
    <row r="51" spans="2:16" ht="19.5" customHeight="1" thickTop="1" x14ac:dyDescent="0.25">
      <c r="B51" s="74"/>
      <c r="C51" s="126"/>
      <c r="D51" s="70"/>
      <c r="E51" s="146"/>
      <c r="F51" s="70"/>
      <c r="G51" s="77">
        <f t="shared" si="0"/>
        <v>0</v>
      </c>
      <c r="K51" s="394" t="s">
        <v>675</v>
      </c>
      <c r="L51" s="298">
        <v>1875.85</v>
      </c>
      <c r="M51" s="298" t="s">
        <v>679</v>
      </c>
      <c r="N51" s="299">
        <v>3280850</v>
      </c>
      <c r="O51" s="300">
        <v>54487.5</v>
      </c>
      <c r="P51" s="301">
        <v>42306</v>
      </c>
    </row>
    <row r="52" spans="2:16" ht="16.5" customHeight="1" x14ac:dyDescent="0.25">
      <c r="B52" s="74"/>
      <c r="C52" s="126"/>
      <c r="D52" s="70"/>
      <c r="E52" s="146"/>
      <c r="F52" s="274"/>
      <c r="G52" s="77">
        <f t="shared" si="0"/>
        <v>0</v>
      </c>
      <c r="K52" s="126" t="s">
        <v>677</v>
      </c>
      <c r="L52" s="70">
        <v>8528</v>
      </c>
      <c r="M52" s="111"/>
      <c r="N52" s="186">
        <v>3359181</v>
      </c>
      <c r="O52" s="187">
        <v>8229</v>
      </c>
      <c r="P52" s="230">
        <v>42306</v>
      </c>
    </row>
    <row r="53" spans="2:16" x14ac:dyDescent="0.25">
      <c r="B53" s="74"/>
      <c r="C53" s="126"/>
      <c r="D53" s="70"/>
      <c r="E53" s="146"/>
      <c r="F53" s="274"/>
      <c r="G53" s="77">
        <f t="shared" si="0"/>
        <v>0</v>
      </c>
      <c r="K53" s="126" t="s">
        <v>678</v>
      </c>
      <c r="L53" s="70">
        <v>52312.65</v>
      </c>
      <c r="M53" s="111" t="s">
        <v>165</v>
      </c>
      <c r="N53" s="186"/>
      <c r="O53" s="187"/>
      <c r="P53" s="230"/>
    </row>
    <row r="54" spans="2:16" x14ac:dyDescent="0.25">
      <c r="B54" s="74"/>
      <c r="C54" s="126"/>
      <c r="D54" s="70"/>
      <c r="E54" s="146"/>
      <c r="F54" s="274"/>
      <c r="G54" s="77">
        <f t="shared" si="0"/>
        <v>0</v>
      </c>
      <c r="K54" s="126"/>
      <c r="L54" s="70"/>
      <c r="M54" s="111"/>
      <c r="N54" s="186"/>
      <c r="O54" s="187"/>
      <c r="P54" s="230"/>
    </row>
    <row r="55" spans="2:16" x14ac:dyDescent="0.25">
      <c r="B55" s="74"/>
      <c r="C55" s="126"/>
      <c r="D55" s="70"/>
      <c r="E55" s="146"/>
      <c r="F55" s="274"/>
      <c r="G55" s="77">
        <f t="shared" si="0"/>
        <v>0</v>
      </c>
      <c r="K55" s="126"/>
      <c r="L55" s="70"/>
      <c r="M55" s="111"/>
      <c r="N55" s="186"/>
      <c r="O55" s="187"/>
      <c r="P55" s="230"/>
    </row>
    <row r="56" spans="2:16" ht="15" customHeight="1" thickBot="1" x14ac:dyDescent="0.3">
      <c r="B56" s="74"/>
      <c r="C56" s="126"/>
      <c r="D56" s="70"/>
      <c r="E56" s="146"/>
      <c r="F56" s="274"/>
      <c r="G56" s="77">
        <f t="shared" si="0"/>
        <v>0</v>
      </c>
      <c r="K56" s="389"/>
      <c r="L56" s="389"/>
      <c r="M56" s="389"/>
      <c r="N56" s="390"/>
      <c r="O56" s="391">
        <v>0</v>
      </c>
      <c r="P56" s="392"/>
    </row>
    <row r="57" spans="2:16" ht="19.5" thickTop="1" x14ac:dyDescent="0.3">
      <c r="B57" s="74"/>
      <c r="C57" s="126"/>
      <c r="D57" s="70"/>
      <c r="E57" s="146"/>
      <c r="F57" s="275"/>
      <c r="G57" s="77">
        <f t="shared" si="0"/>
        <v>0</v>
      </c>
      <c r="K57" s="8"/>
      <c r="L57" s="290">
        <f>SUM(L51:L56)</f>
        <v>62716.5</v>
      </c>
      <c r="M57" s="393"/>
      <c r="N57" s="393"/>
      <c r="O57" s="393">
        <f>SUM(O51:O56)</f>
        <v>62716.5</v>
      </c>
      <c r="P57" s="388"/>
    </row>
    <row r="58" spans="2:16" ht="15" x14ac:dyDescent="0.25">
      <c r="B58" s="74"/>
      <c r="C58" s="126"/>
      <c r="D58" s="70"/>
      <c r="E58" s="146"/>
      <c r="F58" s="246"/>
      <c r="G58" s="77">
        <f t="shared" si="0"/>
        <v>0</v>
      </c>
    </row>
    <row r="59" spans="2:16" thickBot="1" x14ac:dyDescent="0.3">
      <c r="B59" s="74"/>
      <c r="C59" s="126"/>
      <c r="D59" s="70"/>
      <c r="E59" s="71"/>
      <c r="F59" s="213"/>
      <c r="G59" s="77">
        <f t="shared" si="0"/>
        <v>0</v>
      </c>
    </row>
    <row r="60" spans="2:16" ht="19.5" thickBot="1" x14ac:dyDescent="0.35">
      <c r="B60" s="74"/>
      <c r="C60" s="126"/>
      <c r="D60" s="70"/>
      <c r="E60" s="131"/>
      <c r="F60" s="85"/>
      <c r="G60" s="77">
        <f t="shared" si="0"/>
        <v>0</v>
      </c>
      <c r="K60" s="491">
        <v>1</v>
      </c>
      <c r="L60" s="96" t="s">
        <v>124</v>
      </c>
      <c r="M60" s="96"/>
      <c r="N60" s="97"/>
      <c r="O60" s="399">
        <v>42321</v>
      </c>
      <c r="P60" s="229"/>
    </row>
    <row r="61" spans="2:16" ht="16.5" thickBot="1" x14ac:dyDescent="0.3">
      <c r="B61" s="74"/>
      <c r="C61" s="126"/>
      <c r="D61" s="70"/>
      <c r="E61" s="131"/>
      <c r="F61" s="85"/>
      <c r="G61" s="77">
        <f t="shared" si="0"/>
        <v>0</v>
      </c>
      <c r="K61" s="492"/>
      <c r="L61" s="100"/>
      <c r="M61" s="100"/>
      <c r="N61" s="101"/>
      <c r="O61" s="102"/>
      <c r="P61" s="229"/>
    </row>
    <row r="62" spans="2:16" ht="16.5" thickBot="1" x14ac:dyDescent="0.3">
      <c r="B62" s="74"/>
      <c r="C62" s="126"/>
      <c r="D62" s="70"/>
      <c r="E62" s="131"/>
      <c r="F62" s="85"/>
      <c r="G62" s="77">
        <f t="shared" si="0"/>
        <v>0</v>
      </c>
      <c r="K62" s="302" t="s">
        <v>126</v>
      </c>
      <c r="L62" s="302" t="s">
        <v>127</v>
      </c>
      <c r="M62" s="302"/>
      <c r="N62" s="395" t="s">
        <v>128</v>
      </c>
      <c r="O62" s="396" t="s">
        <v>129</v>
      </c>
      <c r="P62" s="397"/>
    </row>
    <row r="63" spans="2:16" ht="16.5" thickTop="1" x14ac:dyDescent="0.25">
      <c r="B63" s="74"/>
      <c r="C63" s="126"/>
      <c r="D63" s="70"/>
      <c r="E63" s="131"/>
      <c r="F63" s="85"/>
      <c r="G63" s="77">
        <f t="shared" si="0"/>
        <v>0</v>
      </c>
      <c r="K63" s="394" t="s">
        <v>678</v>
      </c>
      <c r="L63" s="298">
        <v>886.69</v>
      </c>
      <c r="M63" s="298" t="s">
        <v>679</v>
      </c>
      <c r="N63" s="299">
        <v>3280851</v>
      </c>
      <c r="O63" s="300">
        <v>27207</v>
      </c>
      <c r="P63" s="301">
        <v>42305</v>
      </c>
    </row>
    <row r="64" spans="2:16" ht="19.5" customHeight="1" x14ac:dyDescent="0.25">
      <c r="B64" s="74"/>
      <c r="C64" s="126"/>
      <c r="D64" s="70"/>
      <c r="E64" s="131"/>
      <c r="F64" s="85"/>
      <c r="G64" s="77">
        <f t="shared" si="0"/>
        <v>0</v>
      </c>
      <c r="K64" s="126" t="s">
        <v>681</v>
      </c>
      <c r="L64" s="70">
        <v>151080.43</v>
      </c>
      <c r="M64" s="111"/>
      <c r="N64" s="186">
        <v>3359185</v>
      </c>
      <c r="O64" s="187">
        <v>17368</v>
      </c>
      <c r="P64" s="230">
        <v>42305</v>
      </c>
    </row>
    <row r="65" spans="2:16" ht="16.5" customHeight="1" x14ac:dyDescent="0.25">
      <c r="B65" s="74"/>
      <c r="C65" s="126"/>
      <c r="D65" s="70"/>
      <c r="E65" s="131"/>
      <c r="F65" s="85"/>
      <c r="G65" s="77">
        <f t="shared" si="0"/>
        <v>0</v>
      </c>
      <c r="K65" s="126" t="s">
        <v>682</v>
      </c>
      <c r="L65" s="70">
        <v>134728.20000000001</v>
      </c>
      <c r="M65" s="111"/>
      <c r="N65" s="186">
        <v>3280848</v>
      </c>
      <c r="O65" s="187">
        <v>51426</v>
      </c>
      <c r="P65" s="230">
        <v>42307</v>
      </c>
    </row>
    <row r="66" spans="2:16" x14ac:dyDescent="0.25">
      <c r="B66" s="74"/>
      <c r="C66" s="126"/>
      <c r="D66" s="70"/>
      <c r="E66" s="131"/>
      <c r="F66" s="85"/>
      <c r="G66" s="77">
        <f t="shared" si="0"/>
        <v>0</v>
      </c>
      <c r="K66" s="126" t="s">
        <v>683</v>
      </c>
      <c r="L66" s="70">
        <v>6878.68</v>
      </c>
      <c r="M66" s="111" t="s">
        <v>165</v>
      </c>
      <c r="N66" s="186">
        <v>3280849</v>
      </c>
      <c r="O66" s="187">
        <v>55000</v>
      </c>
      <c r="P66" s="230">
        <v>42307</v>
      </c>
    </row>
    <row r="67" spans="2:16" x14ac:dyDescent="0.25">
      <c r="B67" s="74"/>
      <c r="C67" s="126"/>
      <c r="D67" s="70"/>
      <c r="E67" s="131"/>
      <c r="F67" s="85"/>
      <c r="G67" s="77">
        <f t="shared" si="0"/>
        <v>0</v>
      </c>
      <c r="K67" s="126"/>
      <c r="L67" s="70"/>
      <c r="M67" s="111"/>
      <c r="N67" s="186">
        <v>3280847</v>
      </c>
      <c r="O67" s="187">
        <v>52573</v>
      </c>
      <c r="P67" s="230">
        <v>42308</v>
      </c>
    </row>
    <row r="68" spans="2:16" ht="16.5" thickBot="1" x14ac:dyDescent="0.3">
      <c r="B68" s="23"/>
      <c r="C68" s="142"/>
      <c r="D68" s="133"/>
      <c r="E68" s="142"/>
      <c r="F68" s="143"/>
      <c r="G68" s="134">
        <f t="shared" ref="G68" si="1">D68-F68</f>
        <v>0</v>
      </c>
      <c r="K68" s="126"/>
      <c r="L68" s="70"/>
      <c r="M68" s="190"/>
      <c r="N68" s="186">
        <v>3280846</v>
      </c>
      <c r="O68" s="187">
        <v>90000</v>
      </c>
      <c r="P68" s="230">
        <v>42309</v>
      </c>
    </row>
    <row r="69" spans="2:16" ht="16.5" thickTop="1" x14ac:dyDescent="0.25">
      <c r="B69"/>
      <c r="C69"/>
      <c r="D69" s="132">
        <f>SUM(D4:D68)</f>
        <v>2471781.9499999997</v>
      </c>
      <c r="E69" s="132"/>
      <c r="F69" s="144">
        <f t="shared" ref="F69" si="2">SUM(F4:F68)</f>
        <v>2471300.0799999996</v>
      </c>
      <c r="G69" s="144">
        <f>SUM(G4:G68)</f>
        <v>481.86999999999898</v>
      </c>
      <c r="K69" s="371"/>
      <c r="L69" s="70"/>
      <c r="M69" s="226"/>
      <c r="N69" s="186"/>
      <c r="O69" s="187"/>
      <c r="P69" s="230"/>
    </row>
    <row r="70" spans="2:16" ht="16.5" thickBot="1" x14ac:dyDescent="0.3">
      <c r="K70" s="389"/>
      <c r="L70" s="389"/>
      <c r="M70" s="389"/>
      <c r="N70" s="390"/>
      <c r="O70" s="391">
        <v>0</v>
      </c>
      <c r="P70" s="392"/>
    </row>
    <row r="71" spans="2:16" ht="19.5" thickTop="1" x14ac:dyDescent="0.3">
      <c r="K71" s="8"/>
      <c r="L71" s="290">
        <f>SUM(L63:L70)</f>
        <v>293574</v>
      </c>
      <c r="M71" s="393"/>
      <c r="N71" s="393"/>
      <c r="O71" s="393">
        <f>SUM(O63:O70)</f>
        <v>293574</v>
      </c>
      <c r="P71" s="388"/>
    </row>
    <row r="74" spans="2:16" thickBot="1" x14ac:dyDescent="0.3">
      <c r="B74"/>
      <c r="C74"/>
      <c r="E74"/>
      <c r="F74" s="23"/>
    </row>
    <row r="75" spans="2:16" ht="19.5" thickBot="1" x14ac:dyDescent="0.35">
      <c r="B75"/>
      <c r="C75"/>
      <c r="E75"/>
      <c r="F75" s="23"/>
      <c r="K75" s="491">
        <v>1</v>
      </c>
      <c r="L75" s="96" t="s">
        <v>124</v>
      </c>
      <c r="M75" s="96"/>
      <c r="N75" s="97"/>
      <c r="O75" s="399">
        <v>42327</v>
      </c>
      <c r="P75" s="229"/>
    </row>
    <row r="76" spans="2:16" ht="16.5" thickBot="1" x14ac:dyDescent="0.3">
      <c r="B76"/>
      <c r="C76"/>
      <c r="E76"/>
      <c r="F76" s="23"/>
      <c r="K76" s="492"/>
      <c r="L76" s="100"/>
      <c r="M76" s="100"/>
      <c r="N76" s="101"/>
      <c r="O76" s="102"/>
      <c r="P76" s="229"/>
    </row>
    <row r="77" spans="2:16" ht="16.5" thickBot="1" x14ac:dyDescent="0.3">
      <c r="B77"/>
      <c r="C77"/>
      <c r="E77"/>
      <c r="F77" s="23"/>
      <c r="K77" s="302" t="s">
        <v>126</v>
      </c>
      <c r="L77" s="302" t="s">
        <v>127</v>
      </c>
      <c r="M77" s="302"/>
      <c r="N77" s="395" t="s">
        <v>128</v>
      </c>
      <c r="O77" s="396" t="s">
        <v>129</v>
      </c>
      <c r="P77" s="397"/>
    </row>
    <row r="78" spans="2:16" ht="16.5" thickTop="1" x14ac:dyDescent="0.25">
      <c r="B78"/>
      <c r="C78"/>
      <c r="E78"/>
      <c r="F78" s="23"/>
      <c r="K78" s="394" t="s">
        <v>683</v>
      </c>
      <c r="L78" s="298">
        <v>9297.92</v>
      </c>
      <c r="M78" s="298" t="s">
        <v>679</v>
      </c>
      <c r="N78" s="299">
        <v>3280845</v>
      </c>
      <c r="O78" s="300">
        <v>50000</v>
      </c>
      <c r="P78" s="301">
        <v>42309</v>
      </c>
    </row>
    <row r="79" spans="2:16" x14ac:dyDescent="0.25">
      <c r="B79"/>
      <c r="C79"/>
      <c r="E79"/>
      <c r="F79" s="23"/>
      <c r="K79" s="126" t="s">
        <v>707</v>
      </c>
      <c r="L79" s="70">
        <v>285.60000000000002</v>
      </c>
      <c r="M79" s="111"/>
      <c r="N79" s="186">
        <v>3280842</v>
      </c>
      <c r="O79" s="187">
        <v>13730</v>
      </c>
      <c r="P79" s="230">
        <v>42309</v>
      </c>
    </row>
    <row r="80" spans="2:16" x14ac:dyDescent="0.25">
      <c r="B80"/>
      <c r="C80"/>
      <c r="E80"/>
      <c r="F80" s="23"/>
      <c r="K80" s="126" t="s">
        <v>708</v>
      </c>
      <c r="L80" s="70">
        <v>7000</v>
      </c>
      <c r="M80" s="111"/>
      <c r="N80" s="186">
        <v>3280844</v>
      </c>
      <c r="O80" s="187">
        <v>65000</v>
      </c>
      <c r="P80" s="230">
        <v>42309</v>
      </c>
    </row>
    <row r="81" spans="2:16" x14ac:dyDescent="0.25">
      <c r="B81"/>
      <c r="C81"/>
      <c r="E81"/>
      <c r="F81" s="23"/>
      <c r="K81" s="126" t="s">
        <v>709</v>
      </c>
      <c r="L81" s="70">
        <v>15391.68</v>
      </c>
      <c r="M81" s="111"/>
      <c r="N81" s="186">
        <v>3280840</v>
      </c>
      <c r="O81" s="187">
        <v>34913.5</v>
      </c>
      <c r="P81" s="230">
        <v>42310</v>
      </c>
    </row>
    <row r="82" spans="2:16" x14ac:dyDescent="0.25">
      <c r="B82"/>
      <c r="C82"/>
      <c r="E82"/>
      <c r="F82" s="23"/>
      <c r="K82" s="126" t="s">
        <v>711</v>
      </c>
      <c r="L82" s="70">
        <v>7352</v>
      </c>
      <c r="M82" s="111"/>
      <c r="N82" s="186">
        <v>3280843</v>
      </c>
      <c r="O82" s="187">
        <v>5500</v>
      </c>
      <c r="P82" s="230">
        <v>42310</v>
      </c>
    </row>
    <row r="83" spans="2:16" x14ac:dyDescent="0.25">
      <c r="B83"/>
      <c r="C83"/>
      <c r="E83"/>
      <c r="F83" s="23"/>
      <c r="K83" s="126" t="s">
        <v>712</v>
      </c>
      <c r="L83" s="70">
        <v>92645.8</v>
      </c>
      <c r="M83" s="190"/>
      <c r="N83" s="186">
        <v>3280841</v>
      </c>
      <c r="O83" s="187">
        <v>47500</v>
      </c>
      <c r="P83" s="230">
        <v>42311</v>
      </c>
    </row>
    <row r="84" spans="2:16" x14ac:dyDescent="0.25">
      <c r="B84"/>
      <c r="C84"/>
      <c r="E84"/>
      <c r="F84" s="23"/>
      <c r="K84" s="126" t="s">
        <v>714</v>
      </c>
      <c r="L84" s="70">
        <v>26285.7</v>
      </c>
      <c r="M84" s="226"/>
      <c r="N84" s="186">
        <v>3280839</v>
      </c>
      <c r="O84" s="187">
        <v>4898.5</v>
      </c>
      <c r="P84" s="230">
        <v>42311</v>
      </c>
    </row>
    <row r="85" spans="2:16" ht="15" x14ac:dyDescent="0.25">
      <c r="B85"/>
      <c r="C85"/>
      <c r="E85"/>
      <c r="F85" s="23"/>
      <c r="K85" s="126" t="s">
        <v>715</v>
      </c>
      <c r="L85" s="129">
        <v>11606.4</v>
      </c>
      <c r="M85" s="111"/>
      <c r="N85" s="192"/>
      <c r="O85" s="193"/>
      <c r="P85" s="230"/>
    </row>
    <row r="86" spans="2:16" ht="15" x14ac:dyDescent="0.25">
      <c r="B86"/>
      <c r="C86"/>
      <c r="E86"/>
      <c r="F86" s="23"/>
      <c r="K86" s="126" t="s">
        <v>716</v>
      </c>
      <c r="L86" s="70">
        <v>51676.9</v>
      </c>
      <c r="M86" s="111" t="s">
        <v>165</v>
      </c>
      <c r="N86" s="192"/>
      <c r="O86" s="193"/>
      <c r="P86" s="230"/>
    </row>
    <row r="87" spans="2:16" ht="15" x14ac:dyDescent="0.25">
      <c r="B87"/>
      <c r="C87"/>
      <c r="E87"/>
      <c r="F87" s="23"/>
      <c r="K87" s="126"/>
      <c r="L87" s="70"/>
      <c r="M87" s="111"/>
      <c r="N87" s="192"/>
      <c r="O87" s="193"/>
      <c r="P87" s="230"/>
    </row>
    <row r="88" spans="2:16" thickBot="1" x14ac:dyDescent="0.3">
      <c r="B88"/>
      <c r="C88"/>
      <c r="E88"/>
      <c r="F88" s="23"/>
      <c r="K88" s="389"/>
      <c r="L88" s="389"/>
      <c r="M88" s="389"/>
      <c r="N88" s="390"/>
      <c r="O88" s="391">
        <v>0</v>
      </c>
      <c r="P88" s="392"/>
    </row>
    <row r="89" spans="2:16" ht="19.5" thickTop="1" x14ac:dyDescent="0.3">
      <c r="B89"/>
      <c r="C89"/>
      <c r="E89"/>
      <c r="F89" s="23"/>
      <c r="K89" s="8"/>
      <c r="L89" s="290">
        <f>SUM(L78:L88)</f>
        <v>221542</v>
      </c>
      <c r="M89" s="393"/>
      <c r="N89" s="393"/>
      <c r="O89" s="393">
        <f>SUM(O78:O88)</f>
        <v>221542</v>
      </c>
      <c r="P89" s="388"/>
    </row>
    <row r="90" spans="2:16" ht="15" x14ac:dyDescent="0.25">
      <c r="B90"/>
      <c r="C90"/>
      <c r="E90"/>
      <c r="F90" s="23"/>
    </row>
    <row r="91" spans="2:16" ht="15" x14ac:dyDescent="0.25">
      <c r="B91"/>
      <c r="C91"/>
      <c r="E91"/>
      <c r="F91" s="23"/>
    </row>
    <row r="92" spans="2:16" ht="15" x14ac:dyDescent="0.25">
      <c r="B92"/>
      <c r="C92"/>
      <c r="E92"/>
      <c r="F92" s="23"/>
    </row>
    <row r="93" spans="2:16" ht="15" x14ac:dyDescent="0.25">
      <c r="B93"/>
      <c r="C93"/>
      <c r="E93"/>
      <c r="F93" s="23"/>
    </row>
    <row r="94" spans="2:16" ht="15" x14ac:dyDescent="0.25">
      <c r="B94"/>
      <c r="C94"/>
      <c r="E94"/>
      <c r="F94" s="23"/>
    </row>
    <row r="95" spans="2:16" ht="15" x14ac:dyDescent="0.25">
      <c r="B95"/>
      <c r="C95"/>
      <c r="E95"/>
      <c r="F95" s="23"/>
    </row>
    <row r="96" spans="2:16" ht="15" x14ac:dyDescent="0.25">
      <c r="B96"/>
      <c r="C96"/>
      <c r="E96"/>
      <c r="F96" s="23"/>
    </row>
    <row r="97" spans="2:6" ht="15" x14ac:dyDescent="0.25">
      <c r="B97"/>
      <c r="C97"/>
      <c r="E97"/>
      <c r="F97" s="23"/>
    </row>
    <row r="98" spans="2:6" ht="15" x14ac:dyDescent="0.25">
      <c r="B98"/>
      <c r="C98"/>
      <c r="E98"/>
      <c r="F98" s="23"/>
    </row>
    <row r="99" spans="2:6" ht="15" x14ac:dyDescent="0.25">
      <c r="B99"/>
      <c r="C99"/>
      <c r="E99"/>
      <c r="F99" s="23"/>
    </row>
    <row r="100" spans="2:6" ht="15" x14ac:dyDescent="0.25">
      <c r="B100"/>
      <c r="C100"/>
      <c r="E100"/>
      <c r="F100" s="23"/>
    </row>
    <row r="101" spans="2:6" ht="15" x14ac:dyDescent="0.25">
      <c r="B101"/>
      <c r="C101"/>
      <c r="E101"/>
      <c r="F101" s="23"/>
    </row>
    <row r="102" spans="2:6" ht="15" x14ac:dyDescent="0.25">
      <c r="B102"/>
      <c r="C102"/>
      <c r="E102"/>
      <c r="F102" s="23"/>
    </row>
    <row r="103" spans="2:6" ht="15" x14ac:dyDescent="0.25">
      <c r="B103"/>
      <c r="C103"/>
      <c r="E103"/>
      <c r="F103" s="23"/>
    </row>
    <row r="104" spans="2:6" ht="15" x14ac:dyDescent="0.25">
      <c r="B104"/>
      <c r="C104"/>
      <c r="E104"/>
      <c r="F104" s="23"/>
    </row>
    <row r="105" spans="2:6" ht="15" x14ac:dyDescent="0.25">
      <c r="B105"/>
      <c r="C105"/>
      <c r="E105"/>
      <c r="F105" s="23"/>
    </row>
    <row r="106" spans="2:6" ht="15" x14ac:dyDescent="0.25">
      <c r="B106"/>
      <c r="C106"/>
      <c r="E106"/>
      <c r="F106" s="23"/>
    </row>
  </sheetData>
  <sortState ref="K79:L87">
    <sortCondition ref="K79:K87"/>
  </sortState>
  <mergeCells count="7">
    <mergeCell ref="K75:K76"/>
    <mergeCell ref="S1:S2"/>
    <mergeCell ref="K1:K2"/>
    <mergeCell ref="K18:K19"/>
    <mergeCell ref="K48:K49"/>
    <mergeCell ref="K60:K61"/>
    <mergeCell ref="S22:S2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56" t="s">
        <v>32</v>
      </c>
      <c r="D1" s="456"/>
      <c r="E1" s="456"/>
      <c r="F1" s="456"/>
      <c r="G1" s="456"/>
      <c r="H1" s="456"/>
      <c r="I1" s="456"/>
      <c r="J1" s="456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465" t="s">
        <v>13</v>
      </c>
      <c r="F3" s="466"/>
      <c r="I3" s="467" t="s">
        <v>4</v>
      </c>
      <c r="J3" s="468"/>
      <c r="K3" s="469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459" t="s">
        <v>7</v>
      </c>
      <c r="I39" s="460"/>
      <c r="J39" s="457">
        <f>I37+K37</f>
        <v>88664.68</v>
      </c>
      <c r="K39" s="458"/>
    </row>
    <row r="40" spans="1:11" ht="16.5" customHeight="1" x14ac:dyDescent="0.25">
      <c r="D40" s="464" t="s">
        <v>8</v>
      </c>
      <c r="E40" s="464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463" t="s">
        <v>31</v>
      </c>
      <c r="E43" s="463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461" t="s">
        <v>12</v>
      </c>
      <c r="E46" s="462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456" t="s">
        <v>54</v>
      </c>
      <c r="D1" s="456"/>
      <c r="E1" s="456"/>
      <c r="F1" s="456"/>
      <c r="G1" s="456"/>
      <c r="H1" s="456"/>
      <c r="I1" s="456"/>
      <c r="J1" s="456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465" t="s">
        <v>13</v>
      </c>
      <c r="F3" s="466"/>
      <c r="I3" s="467" t="s">
        <v>4</v>
      </c>
      <c r="J3" s="468"/>
      <c r="K3" s="469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459" t="s">
        <v>7</v>
      </c>
      <c r="I39" s="460"/>
      <c r="J39" s="457">
        <f>I37+K37</f>
        <v>98319.99</v>
      </c>
      <c r="K39" s="458"/>
      <c r="M39" t="s">
        <v>92</v>
      </c>
      <c r="N39" s="66">
        <v>189868.79999999999</v>
      </c>
    </row>
    <row r="40" spans="1:14" ht="16.5" customHeight="1" x14ac:dyDescent="0.25">
      <c r="D40" s="464" t="s">
        <v>8</v>
      </c>
      <c r="E40" s="464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472">
        <f>F46</f>
        <v>407249.6500000002</v>
      </c>
      <c r="K42" s="472"/>
      <c r="M42" t="s">
        <v>95</v>
      </c>
      <c r="N42" s="66">
        <v>105450.18</v>
      </c>
    </row>
    <row r="43" spans="1:14" ht="16.5" thickBot="1" x14ac:dyDescent="0.3">
      <c r="D43" s="463" t="s">
        <v>31</v>
      </c>
      <c r="E43" s="463"/>
      <c r="F43" s="18">
        <v>79070</v>
      </c>
      <c r="H43" s="4" t="s">
        <v>169</v>
      </c>
      <c r="J43" s="472">
        <f>-C3</f>
        <v>-366127.74</v>
      </c>
      <c r="K43" s="472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473">
        <f>J43+J42</f>
        <v>41121.910000000207</v>
      </c>
      <c r="K44" s="474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470" t="s">
        <v>168</v>
      </c>
      <c r="E46" s="471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456" t="s">
        <v>99</v>
      </c>
      <c r="D1" s="456"/>
      <c r="E1" s="456"/>
      <c r="F1" s="456"/>
      <c r="G1" s="456"/>
      <c r="H1" s="456"/>
      <c r="I1" s="456"/>
      <c r="J1" s="456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465" t="s">
        <v>13</v>
      </c>
      <c r="F3" s="466"/>
      <c r="I3" s="467" t="s">
        <v>4</v>
      </c>
      <c r="J3" s="468"/>
      <c r="K3" s="469"/>
      <c r="L3" s="277"/>
      <c r="M3" s="277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477"/>
      <c r="B38" s="477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459" t="s">
        <v>7</v>
      </c>
      <c r="I39" s="460"/>
      <c r="J39" s="457">
        <f>I37+K37</f>
        <v>98759.88</v>
      </c>
      <c r="K39" s="458"/>
      <c r="L39" s="278"/>
      <c r="M39" s="278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478"/>
      <c r="B40" s="478"/>
      <c r="C40" s="36"/>
      <c r="D40" s="464" t="s">
        <v>8</v>
      </c>
      <c r="E40" s="464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480" t="s">
        <v>9</v>
      </c>
      <c r="J42" s="480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479" t="s">
        <v>147</v>
      </c>
      <c r="J43" s="479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463" t="s">
        <v>31</v>
      </c>
      <c r="E44" s="463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475" t="s">
        <v>12</v>
      </c>
      <c r="J45" s="476"/>
      <c r="K45" s="276">
        <f>K43+K44</f>
        <v>231454.35999999981</v>
      </c>
      <c r="L45" s="279"/>
      <c r="M45" s="279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456" t="s">
        <v>144</v>
      </c>
      <c r="D1" s="456"/>
      <c r="E1" s="456"/>
      <c r="F1" s="456"/>
      <c r="G1" s="456"/>
      <c r="H1" s="456"/>
      <c r="I1" s="456"/>
      <c r="J1" s="456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485"/>
      <c r="B38" s="485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459" t="s">
        <v>7</v>
      </c>
      <c r="I39" s="460"/>
      <c r="J39" s="457">
        <f>I37+K37</f>
        <v>77501.62</v>
      </c>
      <c r="K39" s="458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483"/>
      <c r="B40" s="483"/>
      <c r="D40" s="464" t="s">
        <v>8</v>
      </c>
      <c r="E40" s="464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484" t="s">
        <v>187</v>
      </c>
      <c r="J43" s="484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481" t="s">
        <v>12</v>
      </c>
      <c r="J45" s="482"/>
      <c r="K45" s="280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456" t="s">
        <v>188</v>
      </c>
      <c r="D1" s="456"/>
      <c r="E1" s="456"/>
      <c r="F1" s="456"/>
      <c r="G1" s="456"/>
      <c r="H1" s="456"/>
      <c r="I1" s="456"/>
      <c r="J1" s="456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488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488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477"/>
      <c r="B38" s="477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99380.81</v>
      </c>
      <c r="K39" s="458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478"/>
      <c r="B40" s="478"/>
      <c r="C40" s="88"/>
      <c r="D40" s="464" t="s">
        <v>8</v>
      </c>
      <c r="E40" s="464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5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484" t="s">
        <v>187</v>
      </c>
      <c r="J43" s="484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8" t="s">
        <v>31</v>
      </c>
      <c r="E44" s="258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486" t="s">
        <v>235</v>
      </c>
      <c r="J45" s="487"/>
      <c r="K45" s="281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5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5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4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5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5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6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3" t="s">
        <v>151</v>
      </c>
      <c r="Z96" s="284">
        <v>50000</v>
      </c>
      <c r="AA96" s="230">
        <v>42082</v>
      </c>
      <c r="AB96" s="145"/>
      <c r="AC96" s="257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7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5" t="s">
        <v>151</v>
      </c>
      <c r="Z103" s="286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7" t="s">
        <v>151</v>
      </c>
      <c r="Z105" s="288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4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3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19" workbookViewId="0">
      <selection activeCell="B46" sqref="B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09" bestFit="1" customWidth="1"/>
    <col min="26" max="26" width="19.5703125" style="66" bestFit="1" customWidth="1"/>
    <col min="27" max="27" width="10.42578125" style="228" bestFit="1" customWidth="1"/>
    <col min="31" max="31" width="12.5703125" style="282" bestFit="1" customWidth="1"/>
    <col min="32" max="32" width="17.140625" style="66" customWidth="1"/>
  </cols>
  <sheetData>
    <row r="1" spans="1:34" ht="24" thickBot="1" x14ac:dyDescent="0.4">
      <c r="C1" s="456" t="s">
        <v>229</v>
      </c>
      <c r="D1" s="456"/>
      <c r="E1" s="456"/>
      <c r="F1" s="456"/>
      <c r="G1" s="456"/>
      <c r="H1" s="456"/>
      <c r="I1" s="456"/>
      <c r="J1" s="456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2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4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2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89"/>
      <c r="AF5" s="138"/>
      <c r="AG5" s="8"/>
      <c r="AH5" s="8"/>
    </row>
    <row r="6" spans="1:34" x14ac:dyDescent="0.25">
      <c r="B6" s="43">
        <v>42097</v>
      </c>
      <c r="C6" s="266">
        <v>0</v>
      </c>
      <c r="D6" s="267"/>
      <c r="E6" s="268">
        <v>42097</v>
      </c>
      <c r="F6" s="63">
        <v>0</v>
      </c>
      <c r="G6" s="269"/>
      <c r="H6" s="270">
        <v>42097</v>
      </c>
      <c r="I6" s="64">
        <v>0</v>
      </c>
      <c r="J6" s="260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89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89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89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89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89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89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89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1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89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89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89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89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89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89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488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7" t="s">
        <v>151</v>
      </c>
      <c r="Z19" s="286">
        <v>50000</v>
      </c>
      <c r="AA19" s="230">
        <v>42094</v>
      </c>
      <c r="AB19" s="82"/>
      <c r="AD19" s="8"/>
      <c r="AE19" s="289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488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89"/>
      <c r="AF20" s="290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89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89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89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7" t="s">
        <v>151</v>
      </c>
      <c r="Z24" s="286">
        <v>50000</v>
      </c>
      <c r="AA24" s="230">
        <v>42095</v>
      </c>
      <c r="AB24" s="82"/>
      <c r="AD24" s="8"/>
      <c r="AE24" s="289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89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7" t="s">
        <v>151</v>
      </c>
      <c r="Z28" s="286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7" t="s">
        <v>151</v>
      </c>
      <c r="Z30" s="286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7" t="s">
        <v>151</v>
      </c>
      <c r="Z32" s="286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8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8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4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1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477"/>
      <c r="B38" s="477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2"/>
      <c r="W38" s="89"/>
      <c r="X38" s="145"/>
      <c r="Y38" s="204"/>
      <c r="Z38" s="205"/>
      <c r="AA38" s="233"/>
      <c r="AB38" s="272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97998.12999999999</v>
      </c>
      <c r="K39" s="458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4">
        <v>20158.8</v>
      </c>
      <c r="S39" s="77">
        <f t="shared" si="0"/>
        <v>0</v>
      </c>
      <c r="V39" s="262"/>
      <c r="W39" s="89"/>
      <c r="X39" s="145"/>
      <c r="Y39" s="204"/>
      <c r="Z39" s="205"/>
      <c r="AA39" s="233"/>
      <c r="AB39" s="272"/>
    </row>
    <row r="40" spans="1:28" customFormat="1" ht="19.5" customHeight="1" thickBot="1" x14ac:dyDescent="0.35">
      <c r="A40" s="478"/>
      <c r="B40" s="478"/>
      <c r="C40" s="88"/>
      <c r="D40" s="464" t="s">
        <v>8</v>
      </c>
      <c r="E40" s="464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5">
        <v>42115</v>
      </c>
      <c r="AA40" s="229"/>
      <c r="AB40" s="272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4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2"/>
    </row>
    <row r="42" spans="1:28" customFormat="1" ht="16.5" thickBot="1" x14ac:dyDescent="0.3">
      <c r="B42" s="4"/>
      <c r="C42" s="67"/>
      <c r="E42" s="259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4">
        <v>16816.8</v>
      </c>
      <c r="S42" s="77">
        <f t="shared" si="0"/>
        <v>0</v>
      </c>
      <c r="V42" s="302" t="s">
        <v>126</v>
      </c>
      <c r="W42" s="303" t="s">
        <v>127</v>
      </c>
      <c r="X42" s="303"/>
      <c r="Y42" s="304" t="s">
        <v>128</v>
      </c>
      <c r="Z42" s="305" t="s">
        <v>129</v>
      </c>
      <c r="AA42" s="306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484" t="s">
        <v>187</v>
      </c>
      <c r="J43" s="484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4">
        <v>959.2</v>
      </c>
      <c r="S43" s="77">
        <f t="shared" si="0"/>
        <v>0</v>
      </c>
      <c r="V43" s="297">
        <v>16706</v>
      </c>
      <c r="W43" s="298">
        <v>148562.70000000001</v>
      </c>
      <c r="X43" s="298"/>
      <c r="Y43" s="299" t="s">
        <v>203</v>
      </c>
      <c r="Z43" s="300">
        <v>7500</v>
      </c>
      <c r="AA43" s="301">
        <v>42101</v>
      </c>
      <c r="AB43" s="217">
        <v>42099</v>
      </c>
    </row>
    <row r="44" spans="1:28" customFormat="1" ht="16.5" thickBot="1" x14ac:dyDescent="0.3">
      <c r="B44" s="4"/>
      <c r="C44" s="67"/>
      <c r="D44" s="318" t="s">
        <v>31</v>
      </c>
      <c r="E44" s="318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4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481" t="s">
        <v>276</v>
      </c>
      <c r="J45" s="482"/>
      <c r="K45" s="317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4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4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4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4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4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4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4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4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4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6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4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6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4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4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4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4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4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4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8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1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2"/>
      <c r="W85" s="89"/>
      <c r="X85" s="145"/>
      <c r="Y85" s="261"/>
      <c r="Z85" s="205"/>
      <c r="AA85" s="233"/>
      <c r="AB85" s="217"/>
      <c r="AC85" s="145"/>
      <c r="AD85" s="263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1"/>
      <c r="Z86" s="205"/>
      <c r="AA86" s="233"/>
      <c r="AB86" s="217"/>
      <c r="AC86" s="145"/>
      <c r="AD86" s="263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1">
        <v>42126</v>
      </c>
      <c r="AA87" s="229"/>
      <c r="AB87" s="145"/>
      <c r="AC87" s="145"/>
      <c r="AD87" s="263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3"/>
      <c r="AE88" s="205"/>
      <c r="AF88" s="233"/>
    </row>
    <row r="89" spans="2:32" ht="16.5" thickBot="1" x14ac:dyDescent="0.3">
      <c r="U89" s="8"/>
      <c r="V89" s="302" t="s">
        <v>126</v>
      </c>
      <c r="W89" s="303" t="s">
        <v>127</v>
      </c>
      <c r="X89" s="303"/>
      <c r="Y89" s="304" t="s">
        <v>128</v>
      </c>
      <c r="Z89" s="305" t="s">
        <v>129</v>
      </c>
      <c r="AA89" s="306"/>
      <c r="AB89" s="145"/>
      <c r="AC89" s="145"/>
      <c r="AD89" s="263"/>
      <c r="AE89" s="205"/>
      <c r="AF89" s="233"/>
    </row>
    <row r="90" spans="2:32" ht="16.5" thickTop="1" x14ac:dyDescent="0.25">
      <c r="U90" s="8"/>
      <c r="V90" s="297">
        <v>18400</v>
      </c>
      <c r="W90" s="298">
        <v>15733.86</v>
      </c>
      <c r="X90" s="298"/>
      <c r="Y90" s="299" t="s">
        <v>203</v>
      </c>
      <c r="Z90" s="300">
        <v>46000</v>
      </c>
      <c r="AA90" s="301">
        <v>42112</v>
      </c>
      <c r="AB90" s="217">
        <v>42112</v>
      </c>
      <c r="AC90" s="145"/>
      <c r="AD90" s="263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3"/>
      <c r="AE91" s="138"/>
      <c r="AF91" s="273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3"/>
      <c r="AE92" s="138"/>
      <c r="AF92" s="273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3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3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3"/>
      <c r="AE95" s="138"/>
      <c r="AF95" s="273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3"/>
      <c r="AD96" s="145"/>
      <c r="AE96" s="293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3"/>
      <c r="AD97" s="145"/>
      <c r="AE97" s="307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3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6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3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3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3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3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3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2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2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8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1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4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4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4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4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4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4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4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4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4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4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4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4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4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4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4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4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4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4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4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4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4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4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4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4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4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4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4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4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4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4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4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4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4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4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4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4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4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4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4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4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4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4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4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4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4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4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4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4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4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4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4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4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4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4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4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4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4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4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4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4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4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4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4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4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4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4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4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4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4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4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4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4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4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4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4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4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4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4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4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4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4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4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4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4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4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4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4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4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4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4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4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4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4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4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4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4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4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4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4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4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4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4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4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4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4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4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4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4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4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4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4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4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4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4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4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4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4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4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4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4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4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4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4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4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4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4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4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4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4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4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5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456" t="s">
        <v>277</v>
      </c>
      <c r="D1" s="456"/>
      <c r="E1" s="456"/>
      <c r="F1" s="456"/>
      <c r="G1" s="456"/>
      <c r="H1" s="456"/>
      <c r="I1" s="456"/>
      <c r="J1" s="456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6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0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0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1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0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488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488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19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1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0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1"/>
      <c r="Y37" s="199" t="s">
        <v>153</v>
      </c>
      <c r="Z37" s="200">
        <f>SUM(Z5:Z36)</f>
        <v>934555.5</v>
      </c>
      <c r="AA37" s="229"/>
    </row>
    <row r="38" spans="1:28" ht="15" x14ac:dyDescent="0.25">
      <c r="A38" s="477"/>
      <c r="B38" s="477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90010.76999999999</v>
      </c>
      <c r="K39" s="458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478"/>
      <c r="B40" s="478"/>
      <c r="C40" s="88"/>
      <c r="D40" s="464" t="s">
        <v>8</v>
      </c>
      <c r="E40" s="464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491">
        <v>1</v>
      </c>
      <c r="W41" s="96" t="s">
        <v>124</v>
      </c>
      <c r="X41" s="96"/>
      <c r="Y41" s="97"/>
      <c r="Z41" s="295">
        <v>42153</v>
      </c>
      <c r="AA41" s="229"/>
    </row>
    <row r="42" spans="1:28" ht="16.5" thickBot="1" x14ac:dyDescent="0.3">
      <c r="E42" s="259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492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6" t="s">
        <v>31</v>
      </c>
      <c r="E44" s="326"/>
      <c r="F44" s="18">
        <v>55074</v>
      </c>
      <c r="I44" s="4" t="s">
        <v>2</v>
      </c>
      <c r="J44" s="327"/>
      <c r="K44" s="328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461" t="s">
        <v>12</v>
      </c>
      <c r="J45" s="462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6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493"/>
      <c r="I52" s="493"/>
      <c r="J52" s="329"/>
      <c r="K52" s="330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493"/>
      <c r="I53" s="493"/>
      <c r="J53" s="329"/>
      <c r="K53" s="330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4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4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4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4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4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4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4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5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6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5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5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5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5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5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5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2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1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489">
        <v>2</v>
      </c>
      <c r="W89" s="96" t="s">
        <v>124</v>
      </c>
      <c r="X89" s="96"/>
      <c r="Y89" s="97"/>
      <c r="Z89" s="295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490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2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1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3"/>
      <c r="Z131" s="324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5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A38:B38"/>
    <mergeCell ref="V89:V90"/>
    <mergeCell ref="V41:V42"/>
    <mergeCell ref="H52:I53"/>
    <mergeCell ref="A40:B40"/>
    <mergeCell ref="D40:E40"/>
    <mergeCell ref="I45:J45"/>
    <mergeCell ref="H39:I39"/>
    <mergeCell ref="J39:K39"/>
    <mergeCell ref="C1:J1"/>
    <mergeCell ref="E3:F3"/>
    <mergeCell ref="I3:K3"/>
    <mergeCell ref="J19:J20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opLeftCell="A21" workbookViewId="0">
      <selection sqref="A1:L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56" t="s">
        <v>309</v>
      </c>
      <c r="D1" s="456"/>
      <c r="E1" s="456"/>
      <c r="F1" s="456"/>
      <c r="G1" s="456"/>
      <c r="H1" s="456"/>
      <c r="I1" s="456"/>
      <c r="J1" s="456"/>
      <c r="Y1" s="491">
        <v>1</v>
      </c>
      <c r="Z1" s="96" t="s">
        <v>124</v>
      </c>
      <c r="AA1" s="96"/>
      <c r="AB1" s="97"/>
      <c r="AC1" s="295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92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465" t="s">
        <v>13</v>
      </c>
      <c r="F3" s="466"/>
      <c r="I3" s="467" t="s">
        <v>4</v>
      </c>
      <c r="J3" s="468"/>
      <c r="K3" s="469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/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/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0" t="s">
        <v>321</v>
      </c>
      <c r="K6" s="34">
        <v>10000</v>
      </c>
      <c r="L6" s="89">
        <v>74380</v>
      </c>
      <c r="M6" s="89"/>
      <c r="N6" s="89"/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/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/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/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/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/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/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1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/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5">
        <v>42165</v>
      </c>
      <c r="K14" s="28">
        <v>0</v>
      </c>
      <c r="L14" s="89">
        <v>143878</v>
      </c>
      <c r="M14" s="89"/>
      <c r="N14" s="89"/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/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89"/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4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4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4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4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19"/>
      <c r="K24" s="34"/>
      <c r="L24" s="89">
        <v>65986.5</v>
      </c>
      <c r="M24" s="89"/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49">
        <v>153000</v>
      </c>
      <c r="N25" s="89" t="s">
        <v>358</v>
      </c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0"/>
      <c r="K26" s="34"/>
      <c r="L26" s="89">
        <v>43780</v>
      </c>
      <c r="M26" s="349">
        <v>26800</v>
      </c>
      <c r="N26" s="89" t="s">
        <v>358</v>
      </c>
      <c r="P26" s="74">
        <v>42168</v>
      </c>
      <c r="Q26" s="126">
        <v>24108</v>
      </c>
      <c r="R26" s="70">
        <v>127572.5</v>
      </c>
      <c r="S26" s="149" t="s">
        <v>346</v>
      </c>
      <c r="T26" s="274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4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49">
        <v>66361</v>
      </c>
      <c r="N28" s="89" t="s">
        <v>358</v>
      </c>
      <c r="P28" s="74">
        <v>42170</v>
      </c>
      <c r="Q28" s="126">
        <v>24196</v>
      </c>
      <c r="R28" s="129">
        <v>18636.8</v>
      </c>
      <c r="S28" s="146">
        <v>42188</v>
      </c>
      <c r="T28" s="314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49">
        <v>148553</v>
      </c>
      <c r="N29" s="89" t="s">
        <v>358</v>
      </c>
      <c r="P29" s="74">
        <v>42170</v>
      </c>
      <c r="Q29" s="126">
        <v>24242</v>
      </c>
      <c r="R29" s="70">
        <v>13823</v>
      </c>
      <c r="S29" s="146">
        <v>42188</v>
      </c>
      <c r="T29" s="274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49">
        <v>140000</v>
      </c>
      <c r="N30" s="89" t="s">
        <v>358</v>
      </c>
      <c r="P30" s="74">
        <v>42170</v>
      </c>
      <c r="Q30" s="126">
        <v>24272</v>
      </c>
      <c r="R30" s="70">
        <v>109013.4</v>
      </c>
      <c r="S30" s="146">
        <v>42188</v>
      </c>
      <c r="T30" s="274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4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4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4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4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4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4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1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4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477"/>
      <c r="B38" s="477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4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459" t="s">
        <v>7</v>
      </c>
      <c r="I39" s="460"/>
      <c r="J39" s="457">
        <f>I37+K37</f>
        <v>87602.09</v>
      </c>
      <c r="K39" s="458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4">
        <v>72198.5</v>
      </c>
      <c r="U39" s="77">
        <f t="shared" si="0"/>
        <v>0</v>
      </c>
      <c r="Y39" s="121"/>
      <c r="Z39" s="121"/>
      <c r="AA39" s="121"/>
      <c r="AB39" s="333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478"/>
      <c r="B40" s="478"/>
      <c r="C40" s="88"/>
      <c r="D40" s="464" t="s">
        <v>8</v>
      </c>
      <c r="E40" s="464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4">
        <v>7258</v>
      </c>
      <c r="U40" s="77">
        <f t="shared" si="0"/>
        <v>0</v>
      </c>
      <c r="Y40" s="121"/>
      <c r="Z40" s="121"/>
      <c r="AA40" s="121"/>
      <c r="AB40" s="333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4">
        <v>16127.6</v>
      </c>
      <c r="U41" s="77">
        <f t="shared" si="0"/>
        <v>0</v>
      </c>
      <c r="Y41" s="121"/>
      <c r="Z41" s="121"/>
      <c r="AA41" s="121"/>
      <c r="AB41" s="333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59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4">
        <v>130680</v>
      </c>
      <c r="U42" s="77">
        <f t="shared" si="0"/>
        <v>0</v>
      </c>
      <c r="Y42" s="121"/>
      <c r="Z42" s="121"/>
      <c r="AA42" s="121"/>
      <c r="AB42" s="333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4">
        <v>12802.8</v>
      </c>
      <c r="U43" s="77">
        <f t="shared" si="0"/>
        <v>0</v>
      </c>
      <c r="Y43" s="121"/>
      <c r="Z43" s="121"/>
      <c r="AA43" s="121"/>
      <c r="AB43" s="333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1" t="s">
        <v>31</v>
      </c>
      <c r="E44" s="331"/>
      <c r="F44" s="18">
        <v>39593</v>
      </c>
      <c r="I44" s="4" t="s">
        <v>2</v>
      </c>
      <c r="J44" s="327"/>
      <c r="K44" s="328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4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461" t="s">
        <v>235</v>
      </c>
      <c r="J45" s="462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4">
        <v>21606.799999999999</v>
      </c>
      <c r="U45" s="77">
        <f t="shared" si="0"/>
        <v>0</v>
      </c>
      <c r="Y45" s="183"/>
      <c r="Z45" s="163"/>
      <c r="AA45" s="163"/>
      <c r="AB45" s="332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4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4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4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4">
        <v>2982.4</v>
      </c>
      <c r="U49" s="77">
        <f t="shared" si="0"/>
        <v>0</v>
      </c>
      <c r="Y49" s="489">
        <v>2</v>
      </c>
      <c r="Z49" s="96" t="s">
        <v>124</v>
      </c>
      <c r="AA49" s="96"/>
      <c r="AB49" s="97"/>
      <c r="AC49" s="295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4">
        <v>19722.3</v>
      </c>
      <c r="U50" s="77">
        <f t="shared" si="0"/>
        <v>0</v>
      </c>
      <c r="Y50" s="490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4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493"/>
      <c r="I52" s="493"/>
      <c r="J52" s="329"/>
      <c r="K52" s="330"/>
      <c r="P52" s="74">
        <v>42179</v>
      </c>
      <c r="Q52" s="126" t="s">
        <v>333</v>
      </c>
      <c r="R52" s="70">
        <v>307390.71999999997</v>
      </c>
      <c r="S52" s="146">
        <v>42188</v>
      </c>
      <c r="T52" s="274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3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493"/>
      <c r="I53" s="493"/>
      <c r="J53" s="329"/>
      <c r="K53" s="330"/>
      <c r="P53" s="74">
        <v>42179</v>
      </c>
      <c r="Q53" s="126" t="s">
        <v>334</v>
      </c>
      <c r="R53" s="70">
        <v>208444.6</v>
      </c>
      <c r="S53" s="146">
        <v>42188</v>
      </c>
      <c r="T53" s="274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3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4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3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4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3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4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3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9" t="s">
        <v>413</v>
      </c>
      <c r="T57" s="274">
        <f>3783.77+464.03</f>
        <v>4247.8</v>
      </c>
      <c r="U57" s="77">
        <f t="shared" si="0"/>
        <v>0</v>
      </c>
      <c r="Y57" s="126">
        <v>22553</v>
      </c>
      <c r="Z57" s="70">
        <v>18196.8</v>
      </c>
      <c r="AA57" s="190"/>
      <c r="AB57" s="333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>
        <v>42208</v>
      </c>
      <c r="T58" s="274">
        <v>10282.299999999999</v>
      </c>
      <c r="U58" s="77">
        <f t="shared" si="0"/>
        <v>0</v>
      </c>
      <c r="Y58" s="126">
        <v>22678</v>
      </c>
      <c r="Z58" s="70">
        <v>25728.400000000001</v>
      </c>
      <c r="AA58" s="226"/>
      <c r="AB58" s="333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>
        <v>42208</v>
      </c>
      <c r="T59" s="274">
        <v>31680</v>
      </c>
      <c r="U59" s="77">
        <f t="shared" si="0"/>
        <v>0</v>
      </c>
      <c r="Y59" s="126">
        <v>22748</v>
      </c>
      <c r="Z59" s="70">
        <v>8673.6</v>
      </c>
      <c r="AA59" s="111"/>
      <c r="AB59" s="333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>
        <v>42208</v>
      </c>
      <c r="T60" s="274">
        <v>24730.400000000001</v>
      </c>
      <c r="U60" s="77">
        <f t="shared" si="0"/>
        <v>0</v>
      </c>
      <c r="Y60" s="126">
        <v>22764</v>
      </c>
      <c r="Z60" s="70">
        <v>167643.5</v>
      </c>
      <c r="AA60" s="111"/>
      <c r="AB60" s="333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>
        <v>42208</v>
      </c>
      <c r="T61" s="274">
        <v>44897.599999999999</v>
      </c>
      <c r="U61" s="77">
        <f t="shared" si="0"/>
        <v>0</v>
      </c>
      <c r="Y61" s="126">
        <v>22817</v>
      </c>
      <c r="Z61" s="70">
        <v>18679.8</v>
      </c>
      <c r="AA61" s="111"/>
      <c r="AB61" s="333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>
        <v>42208</v>
      </c>
      <c r="T62" s="274">
        <v>288544.26</v>
      </c>
      <c r="U62" s="77">
        <f t="shared" si="0"/>
        <v>0</v>
      </c>
      <c r="Y62" s="168">
        <v>22873</v>
      </c>
      <c r="Z62" s="169">
        <v>23867.56</v>
      </c>
      <c r="AA62" s="111"/>
      <c r="AB62" s="333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146">
        <v>42208</v>
      </c>
      <c r="T63" s="274">
        <v>205877.35</v>
      </c>
      <c r="U63" s="77">
        <f t="shared" si="0"/>
        <v>0</v>
      </c>
      <c r="Y63" s="126">
        <v>22893</v>
      </c>
      <c r="Z63" s="70">
        <v>123953.68</v>
      </c>
      <c r="AA63" s="226"/>
      <c r="AB63" s="333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46">
        <v>42208</v>
      </c>
      <c r="T64" s="274">
        <v>17556</v>
      </c>
      <c r="U64" s="77">
        <f t="shared" si="0"/>
        <v>0</v>
      </c>
      <c r="Y64" s="126">
        <v>22976</v>
      </c>
      <c r="Z64" s="70">
        <v>26459.200000000001</v>
      </c>
      <c r="AA64" s="226"/>
      <c r="AB64" s="333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3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3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3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3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3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3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3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3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4244451.84</v>
      </c>
      <c r="U73" s="144">
        <f>SUM(U4:U72)</f>
        <v>0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5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ht="15" x14ac:dyDescent="0.25">
      <c r="P76" s="74"/>
      <c r="Q76" s="341"/>
      <c r="R76" s="341"/>
      <c r="S76" s="342"/>
      <c r="T76" s="343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ht="15" x14ac:dyDescent="0.25">
      <c r="P77" s="74"/>
      <c r="Q77" s="341"/>
      <c r="R77" s="341"/>
      <c r="S77" s="342"/>
      <c r="T77" s="343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ht="15" x14ac:dyDescent="0.25">
      <c r="P78" s="74"/>
      <c r="Q78" s="341"/>
      <c r="R78" s="341"/>
      <c r="S78" s="342"/>
      <c r="T78" s="343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ht="15" x14ac:dyDescent="0.25">
      <c r="P79" s="74"/>
      <c r="Q79" s="341"/>
      <c r="R79" s="341"/>
      <c r="S79" s="342"/>
      <c r="T79" s="343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ht="15" x14ac:dyDescent="0.25">
      <c r="P80" s="74"/>
      <c r="Q80" s="341"/>
      <c r="R80" s="341"/>
      <c r="S80" s="344"/>
      <c r="T80" s="343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 s="74"/>
      <c r="Q81" s="341"/>
      <c r="R81" s="341"/>
      <c r="S81" s="344"/>
      <c r="T81" s="343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 s="74"/>
      <c r="Q82" s="341"/>
      <c r="R82" s="341"/>
      <c r="S82" s="344"/>
      <c r="T82" s="343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 s="74"/>
      <c r="Q83" s="341"/>
      <c r="R83" s="341"/>
      <c r="S83" s="342"/>
      <c r="T83" s="343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 s="74"/>
      <c r="Q84" s="341"/>
      <c r="R84" s="341"/>
      <c r="S84" s="342"/>
      <c r="T84" s="343"/>
      <c r="Y84" s="126"/>
      <c r="Z84" s="70"/>
      <c r="AA84" s="226"/>
      <c r="AB84" s="251"/>
      <c r="AC84" s="193"/>
      <c r="AD84" s="230"/>
    </row>
    <row r="85" spans="2:30" ht="15" x14ac:dyDescent="0.25">
      <c r="P85" s="74"/>
      <c r="Q85" s="341"/>
      <c r="R85" s="341"/>
      <c r="S85" s="342"/>
      <c r="T85" s="343"/>
      <c r="W85" s="8"/>
      <c r="Y85" s="126"/>
      <c r="Z85" s="70"/>
      <c r="AA85" s="226"/>
      <c r="AB85" s="251"/>
      <c r="AC85" s="193"/>
      <c r="AD85" s="230"/>
    </row>
    <row r="86" spans="2:30" ht="15" x14ac:dyDescent="0.25">
      <c r="P86" s="74"/>
      <c r="Q86" s="341"/>
      <c r="R86" s="341"/>
      <c r="S86" s="342"/>
      <c r="T86" s="343"/>
      <c r="W86" s="8"/>
      <c r="Y86" s="126"/>
      <c r="Z86" s="70"/>
      <c r="AA86" s="226"/>
      <c r="AB86" s="251"/>
      <c r="AC86" s="193"/>
      <c r="AD86" s="230"/>
    </row>
    <row r="87" spans="2:30" ht="15" x14ac:dyDescent="0.25">
      <c r="P87" s="74"/>
      <c r="Q87" s="341"/>
      <c r="R87" s="341"/>
      <c r="S87" s="342"/>
      <c r="T87" s="343"/>
      <c r="Y87" s="126"/>
      <c r="Z87" s="70"/>
      <c r="AA87" s="226"/>
      <c r="AB87" s="251"/>
      <c r="AC87" s="193"/>
      <c r="AD87" s="230"/>
    </row>
    <row r="88" spans="2:30" ht="16.5" thickBot="1" x14ac:dyDescent="0.3">
      <c r="P88" s="74"/>
      <c r="Q88" s="341"/>
      <c r="R88" s="341"/>
      <c r="S88" s="342"/>
      <c r="T88" s="343"/>
      <c r="Y88" s="183"/>
      <c r="Z88" s="163"/>
      <c r="AA88" s="163"/>
      <c r="AB88" s="332"/>
      <c r="AC88" s="138"/>
      <c r="AD88" s="232"/>
    </row>
    <row r="89" spans="2:30" ht="19.5" customHeight="1" x14ac:dyDescent="0.25">
      <c r="P89" s="74"/>
      <c r="Q89" s="341"/>
      <c r="R89" s="341"/>
      <c r="S89" s="342"/>
      <c r="T89" s="343"/>
      <c r="Y89" s="197" t="s">
        <v>153</v>
      </c>
      <c r="Z89" s="198">
        <f>SUM(Z52:Z88)</f>
        <v>2207776.5000000005</v>
      </c>
      <c r="AA89" s="271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 s="74"/>
      <c r="Q90" s="341"/>
      <c r="R90" s="341"/>
      <c r="S90" s="342"/>
      <c r="T90" s="34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 s="74"/>
      <c r="Q91" s="341"/>
      <c r="R91" s="341"/>
      <c r="S91" s="342"/>
      <c r="T91" s="343"/>
      <c r="AA91" s="104" t="s">
        <v>299</v>
      </c>
      <c r="AB91" s="323"/>
      <c r="AC91" s="324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 s="74"/>
      <c r="Q92" s="341"/>
      <c r="R92" s="341"/>
      <c r="S92" s="342"/>
      <c r="T92" s="343"/>
      <c r="AB92" s="96" t="s">
        <v>300</v>
      </c>
      <c r="AC92" s="325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 s="74"/>
      <c r="Q93" s="341"/>
      <c r="R93" s="341"/>
      <c r="S93" s="342"/>
      <c r="T93" s="34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 s="74"/>
      <c r="Q94" s="341"/>
      <c r="R94" s="341"/>
      <c r="S94" s="342"/>
      <c r="T94" s="343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 s="74"/>
      <c r="Q95" s="341"/>
      <c r="R95" s="341"/>
      <c r="S95" s="342"/>
      <c r="T95" s="343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 s="74"/>
      <c r="Q96" s="341"/>
      <c r="R96" s="341"/>
      <c r="S96" s="342"/>
      <c r="T96" s="343"/>
      <c r="Y96" s="494">
        <v>1</v>
      </c>
      <c r="Z96" s="96" t="s">
        <v>124</v>
      </c>
      <c r="AA96" s="96"/>
      <c r="AB96" s="97"/>
      <c r="AC96" s="256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 s="74"/>
      <c r="Q97" s="341"/>
      <c r="R97" s="341"/>
      <c r="S97" s="342"/>
      <c r="T97" s="343"/>
      <c r="Y97" s="495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 s="74"/>
      <c r="Q98" s="341"/>
      <c r="R98" s="341"/>
      <c r="S98" s="342"/>
      <c r="T98" s="343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 s="74"/>
      <c r="Q99" s="341"/>
      <c r="R99" s="341"/>
      <c r="S99" s="342"/>
      <c r="T99" s="343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 s="74"/>
      <c r="Q100" s="341"/>
      <c r="R100" s="341"/>
      <c r="S100" s="342"/>
      <c r="T100" s="343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 s="74"/>
      <c r="Q101" s="341"/>
      <c r="R101" s="341"/>
      <c r="S101" s="342"/>
      <c r="T101" s="343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 s="74"/>
      <c r="Q102" s="341"/>
      <c r="R102" s="341"/>
      <c r="S102" s="342"/>
      <c r="T102" s="343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 s="74"/>
      <c r="Q103" s="341"/>
      <c r="R103" s="341"/>
      <c r="S103" s="342"/>
      <c r="T103" s="343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 s="74"/>
      <c r="Q104" s="341"/>
      <c r="R104" s="341"/>
      <c r="S104" s="342"/>
      <c r="T104" s="343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 s="74"/>
      <c r="Q105" s="341"/>
      <c r="R105" s="341"/>
      <c r="S105" s="342"/>
      <c r="T105" s="343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 s="74"/>
      <c r="Q106" s="341"/>
      <c r="R106" s="341"/>
      <c r="S106" s="342"/>
      <c r="T106" s="343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 s="74"/>
      <c r="Q107" s="341"/>
      <c r="R107" s="341"/>
      <c r="S107" s="342"/>
      <c r="T107" s="343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 s="74"/>
      <c r="Q108" s="341"/>
      <c r="R108" s="341"/>
      <c r="S108" s="342"/>
      <c r="T108" s="343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 s="74"/>
      <c r="Q109" s="341"/>
      <c r="R109" s="341"/>
      <c r="S109" s="342"/>
      <c r="T109" s="343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 s="74"/>
      <c r="Q110" s="341"/>
      <c r="R110" s="341"/>
      <c r="S110" s="342"/>
      <c r="T110" s="343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 s="74"/>
      <c r="Q111" s="341"/>
      <c r="R111" s="341"/>
      <c r="S111" s="342"/>
      <c r="T111" s="343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 s="74"/>
      <c r="Q112" s="341"/>
      <c r="R112" s="341"/>
      <c r="S112" s="342"/>
      <c r="T112" s="343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 s="74"/>
      <c r="Q113" s="341"/>
      <c r="R113" s="341"/>
      <c r="S113" s="342"/>
      <c r="T113" s="343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 s="74"/>
      <c r="Q114" s="341"/>
      <c r="R114" s="341"/>
      <c r="S114" s="342"/>
      <c r="T114" s="343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 s="74"/>
      <c r="Q115" s="341"/>
      <c r="R115" s="341"/>
      <c r="S115" s="342"/>
      <c r="T115" s="343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 s="74"/>
      <c r="Q116" s="341"/>
      <c r="R116" s="341"/>
      <c r="S116" s="342"/>
      <c r="T116" s="343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 s="74"/>
      <c r="Q117" s="341"/>
      <c r="R117" s="341"/>
      <c r="S117" s="342"/>
      <c r="T117" s="343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 s="74"/>
      <c r="Q118" s="345"/>
      <c r="R118" s="345"/>
      <c r="S118" s="130"/>
      <c r="T118" s="255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 s="74"/>
      <c r="Q119" s="346"/>
      <c r="R119" s="346"/>
      <c r="S119" s="130"/>
      <c r="T119" s="255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 s="74"/>
      <c r="Q120" s="345"/>
      <c r="R120" s="345"/>
      <c r="S120" s="130"/>
      <c r="T120" s="255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 s="74"/>
      <c r="Q121" s="346"/>
      <c r="R121" s="346"/>
      <c r="S121" s="130"/>
      <c r="T121" s="255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 s="74"/>
      <c r="Q122" s="345"/>
      <c r="R122" s="345"/>
      <c r="S122" s="342"/>
      <c r="T122" s="343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 s="74"/>
      <c r="Q123" s="345"/>
      <c r="R123" s="345"/>
      <c r="S123" s="342"/>
      <c r="T123" s="343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 s="74"/>
      <c r="Q124" s="346"/>
      <c r="R124" s="346"/>
      <c r="S124" s="342"/>
      <c r="T124" s="343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 s="74"/>
      <c r="Q125" s="345"/>
      <c r="R125" s="345"/>
      <c r="S125" s="342"/>
      <c r="T125" s="343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A126" s="8"/>
      <c r="B126" s="8"/>
      <c r="C126" s="8"/>
      <c r="E126"/>
      <c r="F126"/>
      <c r="H126"/>
      <c r="I126"/>
      <c r="J126"/>
      <c r="K126"/>
      <c r="L126"/>
      <c r="M126"/>
      <c r="N126"/>
      <c r="P126" s="74"/>
      <c r="Q126" s="346"/>
      <c r="R126" s="346"/>
      <c r="S126" s="342"/>
      <c r="T126" s="343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A127" s="8"/>
      <c r="B127" s="8"/>
      <c r="C127" s="8"/>
      <c r="E127"/>
      <c r="F127"/>
      <c r="H127"/>
      <c r="I127"/>
      <c r="J127"/>
      <c r="K127"/>
      <c r="L127"/>
      <c r="M127"/>
      <c r="N127"/>
      <c r="P127" s="74"/>
      <c r="Q127" s="346"/>
      <c r="R127" s="346"/>
      <c r="S127" s="342"/>
      <c r="T127" s="343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350"/>
      <c r="B128" s="85"/>
      <c r="C128" s="8"/>
      <c r="E128"/>
      <c r="F128"/>
      <c r="H128"/>
      <c r="I128"/>
      <c r="J128"/>
      <c r="K128"/>
      <c r="L128"/>
      <c r="M128"/>
      <c r="N128"/>
      <c r="P128" s="74"/>
      <c r="Q128" s="346"/>
      <c r="R128" s="346"/>
      <c r="S128" s="342"/>
      <c r="T128" s="343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350"/>
      <c r="B129" s="85"/>
      <c r="C129" s="8"/>
      <c r="E129"/>
      <c r="F129"/>
      <c r="H129"/>
      <c r="I129"/>
      <c r="J129"/>
      <c r="K129"/>
      <c r="L129"/>
      <c r="M129"/>
      <c r="N129"/>
      <c r="P129" s="74"/>
      <c r="Q129" s="345"/>
      <c r="R129" s="345"/>
      <c r="S129" s="342"/>
      <c r="T129" s="343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350"/>
      <c r="B130" s="85"/>
      <c r="C130" s="8"/>
      <c r="E130"/>
      <c r="F130"/>
      <c r="H130"/>
      <c r="I130"/>
      <c r="J130"/>
      <c r="K130"/>
      <c r="L130"/>
      <c r="M130"/>
      <c r="N130"/>
      <c r="P130" s="74"/>
      <c r="Q130" s="346"/>
      <c r="R130" s="346"/>
      <c r="S130" s="342"/>
      <c r="T130" s="343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350"/>
      <c r="B131" s="85"/>
      <c r="C131" s="8"/>
      <c r="E131"/>
      <c r="F131"/>
      <c r="H131"/>
      <c r="I131"/>
      <c r="J131"/>
      <c r="K131"/>
      <c r="L131"/>
      <c r="M131"/>
      <c r="N131"/>
      <c r="P131" s="74"/>
      <c r="Q131" s="346"/>
      <c r="R131" s="346"/>
      <c r="S131" s="342"/>
      <c r="T131" s="343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350"/>
      <c r="B132" s="85"/>
      <c r="C132" s="8"/>
      <c r="E132"/>
      <c r="F132"/>
      <c r="H132"/>
      <c r="I132"/>
      <c r="J132"/>
      <c r="K132"/>
      <c r="L132"/>
      <c r="M132"/>
      <c r="N132"/>
      <c r="P132" s="74"/>
      <c r="Q132" s="345"/>
      <c r="R132" s="345"/>
      <c r="S132" s="342"/>
      <c r="T132" s="343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350"/>
      <c r="B133" s="127"/>
      <c r="C133" s="8"/>
      <c r="E133"/>
      <c r="F133"/>
      <c r="H133"/>
      <c r="I133"/>
      <c r="J133"/>
      <c r="K133"/>
      <c r="L133"/>
      <c r="M133"/>
      <c r="N133"/>
      <c r="P133" s="74"/>
      <c r="Q133" s="346"/>
      <c r="R133" s="346"/>
      <c r="S133" s="342"/>
      <c r="T133" s="343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350"/>
      <c r="B134" s="85"/>
      <c r="C134" s="8"/>
      <c r="E134"/>
      <c r="F134"/>
      <c r="H134"/>
      <c r="I134"/>
      <c r="J134"/>
      <c r="K134"/>
      <c r="L134"/>
      <c r="M134"/>
      <c r="N134"/>
      <c r="P134" s="74"/>
      <c r="Q134" s="345"/>
      <c r="R134" s="345"/>
      <c r="S134" s="342"/>
      <c r="T134" s="343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350"/>
      <c r="B135" s="85"/>
      <c r="C135" s="8"/>
      <c r="E135"/>
      <c r="F135"/>
      <c r="H135"/>
      <c r="I135"/>
      <c r="J135"/>
      <c r="K135"/>
      <c r="L135"/>
      <c r="M135"/>
      <c r="N135"/>
      <c r="P135" s="74"/>
      <c r="Q135" s="345"/>
      <c r="R135" s="345"/>
      <c r="S135" s="342"/>
      <c r="T135" s="343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350"/>
      <c r="B136" s="85"/>
      <c r="C136" s="8"/>
      <c r="E136"/>
      <c r="F136"/>
      <c r="H136"/>
      <c r="I136"/>
      <c r="J136"/>
      <c r="K136"/>
      <c r="L136"/>
      <c r="M136"/>
      <c r="N136"/>
      <c r="P136"/>
      <c r="Q136"/>
      <c r="S136"/>
      <c r="T136" s="347"/>
      <c r="Y136" s="121"/>
      <c r="Z136" s="121"/>
      <c r="AA136" s="121"/>
      <c r="AB136" s="333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350"/>
      <c r="B137" s="85"/>
      <c r="C137" s="8"/>
      <c r="E137"/>
      <c r="F137"/>
      <c r="H137"/>
      <c r="I137"/>
      <c r="J137"/>
      <c r="K137"/>
      <c r="L137"/>
      <c r="M137"/>
      <c r="N137"/>
      <c r="P137"/>
      <c r="Q137"/>
      <c r="S137"/>
      <c r="T137" s="348"/>
      <c r="Y137" s="121"/>
      <c r="Z137" s="121"/>
      <c r="AA137" s="121"/>
      <c r="AB137" s="333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350"/>
      <c r="B138" s="85"/>
      <c r="C138" s="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3"/>
      <c r="AC138" s="118">
        <v>0</v>
      </c>
      <c r="AD138" s="120"/>
    </row>
    <row r="139" spans="1:31" ht="15" x14ac:dyDescent="0.25">
      <c r="A139" s="350"/>
      <c r="B139" s="85"/>
      <c r="C139" s="8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350"/>
      <c r="B140" s="85"/>
      <c r="C140" s="8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7"/>
      <c r="AC140" s="138">
        <v>0</v>
      </c>
      <c r="AD140" s="232"/>
    </row>
    <row r="141" spans="1:31" x14ac:dyDescent="0.25">
      <c r="A141" s="350"/>
      <c r="B141" s="85"/>
      <c r="C141" s="8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1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350"/>
      <c r="B142" s="85"/>
      <c r="C142" s="8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350"/>
      <c r="B143" s="85"/>
      <c r="C143" s="8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350"/>
      <c r="B144" s="85"/>
      <c r="C144" s="8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496">
        <v>2</v>
      </c>
      <c r="Z144" s="96" t="s">
        <v>124</v>
      </c>
      <c r="AA144" s="96"/>
      <c r="AB144" s="97"/>
      <c r="AC144" s="256">
        <v>42188</v>
      </c>
      <c r="AD144" s="229"/>
    </row>
    <row r="145" spans="1:31" ht="16.5" thickBot="1" x14ac:dyDescent="0.3">
      <c r="A145" s="350"/>
      <c r="B145" s="85"/>
      <c r="C145" s="8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497"/>
      <c r="Z145" s="100"/>
      <c r="AA145" s="100"/>
      <c r="AB145" s="101"/>
      <c r="AC145" s="102"/>
      <c r="AD145" s="229"/>
    </row>
    <row r="146" spans="1:31" x14ac:dyDescent="0.25">
      <c r="A146" s="350"/>
      <c r="B146" s="127"/>
      <c r="C146" s="8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350"/>
      <c r="B147" s="85"/>
      <c r="C147" s="8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3" t="s">
        <v>203</v>
      </c>
      <c r="AC147" s="118">
        <v>51000</v>
      </c>
      <c r="AD147" s="120">
        <v>42171</v>
      </c>
    </row>
    <row r="148" spans="1:31" ht="15" x14ac:dyDescent="0.25">
      <c r="A148" s="350"/>
      <c r="B148" s="127"/>
      <c r="C148" s="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3">
        <v>2996895</v>
      </c>
      <c r="AC148" s="118">
        <v>18645.5</v>
      </c>
      <c r="AD148" s="120">
        <v>42171</v>
      </c>
    </row>
    <row r="149" spans="1:31" ht="15" x14ac:dyDescent="0.25">
      <c r="A149" s="350"/>
      <c r="B149" s="85"/>
      <c r="C149" s="8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3">
        <v>2996893</v>
      </c>
      <c r="AC149" s="118">
        <v>67000</v>
      </c>
      <c r="AD149" s="120">
        <v>42171</v>
      </c>
    </row>
    <row r="150" spans="1:31" ht="15" x14ac:dyDescent="0.25">
      <c r="A150" s="350"/>
      <c r="B150" s="85"/>
      <c r="C150" s="8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3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350"/>
      <c r="B151" s="85"/>
      <c r="C151" s="8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3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350"/>
      <c r="B152" s="85"/>
      <c r="C152" s="8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3">
        <v>2996894</v>
      </c>
      <c r="AC152" s="187">
        <v>20000</v>
      </c>
      <c r="AD152" s="230">
        <v>42172</v>
      </c>
    </row>
    <row r="153" spans="1:31" x14ac:dyDescent="0.25">
      <c r="A153" s="350"/>
      <c r="B153" s="85"/>
      <c r="C153" s="8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3">
        <v>2996896</v>
      </c>
      <c r="AC153" s="187">
        <v>40000</v>
      </c>
      <c r="AD153" s="230">
        <v>42172</v>
      </c>
    </row>
    <row r="154" spans="1:31" ht="15" x14ac:dyDescent="0.25">
      <c r="A154" s="350"/>
      <c r="B154" s="85"/>
      <c r="C154" s="8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3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350"/>
      <c r="B155" s="85"/>
      <c r="C155" s="8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3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350"/>
      <c r="B156" s="85"/>
      <c r="C156" s="8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3" t="s">
        <v>203</v>
      </c>
      <c r="AC156" s="193">
        <v>25000</v>
      </c>
      <c r="AD156" s="230">
        <v>42173</v>
      </c>
    </row>
    <row r="157" spans="1:31" ht="15" x14ac:dyDescent="0.25">
      <c r="A157" s="350"/>
      <c r="B157" s="85"/>
      <c r="C157" s="8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3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350"/>
      <c r="B158" s="85"/>
      <c r="C158" s="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3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350"/>
      <c r="B159" s="85"/>
      <c r="C159" s="8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3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350"/>
      <c r="B160" s="85"/>
      <c r="C160" s="8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3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350"/>
      <c r="B161" s="85"/>
      <c r="C161" s="8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3" t="s">
        <v>203</v>
      </c>
      <c r="AC161" s="193">
        <v>70000</v>
      </c>
      <c r="AD161" s="230">
        <v>42174</v>
      </c>
    </row>
    <row r="162" spans="1:30" ht="15" x14ac:dyDescent="0.25">
      <c r="A162" s="8"/>
      <c r="B162" s="8"/>
      <c r="C162" s="8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3" t="s">
        <v>203</v>
      </c>
      <c r="AC162" s="193">
        <v>60000</v>
      </c>
      <c r="AD162" s="230">
        <v>42175</v>
      </c>
    </row>
    <row r="163" spans="1:30" ht="15" x14ac:dyDescent="0.25">
      <c r="A163" s="8"/>
      <c r="B163" s="8"/>
      <c r="C163" s="8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3" t="s">
        <v>203</v>
      </c>
      <c r="AC163" s="193">
        <v>27000</v>
      </c>
      <c r="AD163" s="230">
        <v>42175</v>
      </c>
    </row>
    <row r="164" spans="1:30" ht="15" x14ac:dyDescent="0.25">
      <c r="A164" s="8"/>
      <c r="B164" s="8"/>
      <c r="C164" s="8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3">
        <v>2996891</v>
      </c>
      <c r="AC164" s="193">
        <v>20578</v>
      </c>
      <c r="AD164" s="230">
        <v>42175</v>
      </c>
    </row>
    <row r="165" spans="1:30" ht="15" x14ac:dyDescent="0.25">
      <c r="A165" s="8"/>
      <c r="B165" s="8"/>
      <c r="C165" s="8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3">
        <v>2996892</v>
      </c>
      <c r="AC165" s="193">
        <v>34000</v>
      </c>
      <c r="AD165" s="230">
        <v>42175</v>
      </c>
    </row>
    <row r="166" spans="1:30" ht="15" x14ac:dyDescent="0.25">
      <c r="A166" s="8"/>
      <c r="B166" s="8"/>
      <c r="C166" s="8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3">
        <v>2996885</v>
      </c>
      <c r="AC166" s="246">
        <v>25000</v>
      </c>
      <c r="AD166" s="339">
        <v>42179</v>
      </c>
    </row>
    <row r="167" spans="1:30" ht="15" x14ac:dyDescent="0.25">
      <c r="A167" s="8"/>
      <c r="B167" s="8"/>
      <c r="C167" s="8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3">
        <v>2996887</v>
      </c>
      <c r="AC167" s="246">
        <v>40000</v>
      </c>
      <c r="AD167" s="339">
        <v>42179</v>
      </c>
    </row>
    <row r="168" spans="1:30" ht="15" x14ac:dyDescent="0.25">
      <c r="A168" s="8"/>
      <c r="B168" s="8"/>
      <c r="C168" s="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39">
        <v>42179</v>
      </c>
    </row>
    <row r="169" spans="1:30" ht="15" x14ac:dyDescent="0.25">
      <c r="A169" s="8"/>
      <c r="B169" s="8"/>
      <c r="C169" s="8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A170" s="8"/>
      <c r="B170" s="8"/>
      <c r="C170" s="8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A171" s="8"/>
      <c r="B171" s="8"/>
      <c r="C171" s="8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A172" s="8"/>
      <c r="B172" s="8"/>
      <c r="C172" s="8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A173" s="8"/>
      <c r="B173" s="8"/>
      <c r="C173" s="8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A174" s="8"/>
      <c r="B174" s="8"/>
      <c r="C174" s="8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A175" s="8"/>
      <c r="B175" s="8"/>
      <c r="C175" s="8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A176" s="8"/>
      <c r="B176" s="8"/>
      <c r="C176" s="8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1:30" ht="15" x14ac:dyDescent="0.25">
      <c r="A177" s="8"/>
      <c r="B177" s="8"/>
      <c r="C177" s="8"/>
      <c r="E177"/>
      <c r="F177"/>
      <c r="H177"/>
      <c r="I177"/>
      <c r="J177"/>
      <c r="K177"/>
      <c r="L177"/>
      <c r="M177"/>
      <c r="N177"/>
      <c r="P177"/>
      <c r="Q177"/>
      <c r="S177"/>
      <c r="T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1:30" ht="15" x14ac:dyDescent="0.25">
      <c r="A178" s="8"/>
      <c r="B178" s="8"/>
      <c r="C178" s="8"/>
      <c r="E178"/>
      <c r="F178"/>
      <c r="H178"/>
      <c r="I178"/>
      <c r="J178"/>
      <c r="K178"/>
      <c r="L178"/>
      <c r="M178"/>
      <c r="N178"/>
      <c r="P178"/>
      <c r="Q178"/>
      <c r="S178"/>
      <c r="T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1:30" ht="15" x14ac:dyDescent="0.25">
      <c r="A179" s="8"/>
      <c r="B179" s="8"/>
      <c r="C179" s="8"/>
      <c r="E179"/>
      <c r="F179"/>
      <c r="H179"/>
      <c r="I179"/>
      <c r="J179"/>
      <c r="K179"/>
      <c r="L179"/>
      <c r="M179"/>
      <c r="N179"/>
      <c r="P179"/>
      <c r="Q179"/>
      <c r="S179"/>
      <c r="T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1:30" ht="15" x14ac:dyDescent="0.25">
      <c r="A180" s="8"/>
      <c r="B180" s="8"/>
      <c r="C180" s="8"/>
      <c r="E180"/>
      <c r="F180"/>
      <c r="H180"/>
      <c r="I180"/>
      <c r="J180"/>
      <c r="K180"/>
      <c r="L180"/>
      <c r="M180"/>
      <c r="N180"/>
      <c r="P180"/>
      <c r="Q180"/>
      <c r="S180"/>
      <c r="T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1:30" ht="15" x14ac:dyDescent="0.25">
      <c r="A181" s="8"/>
      <c r="B181" s="8"/>
      <c r="C181" s="8"/>
      <c r="E181"/>
      <c r="F181"/>
      <c r="H181"/>
      <c r="I181"/>
      <c r="J181"/>
      <c r="K181"/>
      <c r="L181"/>
      <c r="M181"/>
      <c r="N181"/>
      <c r="P181"/>
      <c r="Q181"/>
      <c r="S181"/>
      <c r="T181" s="23"/>
      <c r="Y181" s="126"/>
      <c r="Z181" s="70"/>
      <c r="AA181" s="226"/>
      <c r="AB181" s="251"/>
      <c r="AC181" s="193"/>
      <c r="AD181" s="230"/>
    </row>
    <row r="182" spans="1:30" ht="15" x14ac:dyDescent="0.25">
      <c r="A182" s="8"/>
      <c r="B182" s="8"/>
      <c r="C182" s="8"/>
      <c r="E182"/>
      <c r="F182"/>
      <c r="H182"/>
      <c r="I182"/>
      <c r="J182"/>
      <c r="K182"/>
      <c r="L182"/>
      <c r="M182"/>
      <c r="N182"/>
      <c r="P182"/>
      <c r="Q182"/>
      <c r="S182"/>
      <c r="T182" s="23"/>
      <c r="Y182" s="126"/>
      <c r="Z182" s="70"/>
      <c r="AA182" s="226"/>
      <c r="AB182" s="251"/>
      <c r="AC182" s="193"/>
      <c r="AD182" s="230"/>
    </row>
    <row r="183" spans="1:30" ht="16.5" thickBot="1" x14ac:dyDescent="0.3">
      <c r="A183" s="8"/>
      <c r="B183" s="8"/>
      <c r="C183" s="8"/>
      <c r="E183"/>
      <c r="F183"/>
      <c r="H183"/>
      <c r="I183"/>
      <c r="J183"/>
      <c r="K183"/>
      <c r="L183"/>
      <c r="M183"/>
      <c r="N183"/>
      <c r="P183"/>
      <c r="Q183"/>
      <c r="S183"/>
      <c r="T183" s="23"/>
      <c r="Y183" s="183"/>
      <c r="Z183" s="163"/>
      <c r="AA183" s="163"/>
      <c r="AB183" s="337"/>
      <c r="AC183" s="138"/>
      <c r="AD183" s="232"/>
    </row>
    <row r="184" spans="1:30" x14ac:dyDescent="0.25">
      <c r="A184" s="8"/>
      <c r="B184" s="8"/>
      <c r="C184" s="8"/>
      <c r="E184"/>
      <c r="F184"/>
      <c r="H184"/>
      <c r="I184"/>
      <c r="J184"/>
      <c r="K184"/>
      <c r="L184"/>
      <c r="M184"/>
      <c r="N184"/>
      <c r="P184"/>
      <c r="Q184"/>
      <c r="S184"/>
      <c r="T184" s="23"/>
      <c r="Y184" s="197" t="s">
        <v>153</v>
      </c>
      <c r="Z184" s="198">
        <f>SUM(Z147:Z183)</f>
        <v>2224595</v>
      </c>
      <c r="AA184" s="271"/>
      <c r="AB184" s="199" t="s">
        <v>153</v>
      </c>
      <c r="AC184" s="200">
        <f>SUM(AC147:AC183)</f>
        <v>744550</v>
      </c>
      <c r="AD184" s="229"/>
    </row>
    <row r="185" spans="1:30" ht="15" x14ac:dyDescent="0.25">
      <c r="A185" s="8"/>
      <c r="B185" s="8"/>
      <c r="C185" s="8"/>
      <c r="E185"/>
      <c r="F185"/>
      <c r="H185"/>
      <c r="I185"/>
      <c r="J185"/>
      <c r="K185"/>
      <c r="L185"/>
      <c r="M185"/>
      <c r="N185"/>
      <c r="P185"/>
      <c r="Q185"/>
      <c r="S185"/>
      <c r="T185" s="23"/>
      <c r="AC185" s="205">
        <v>0</v>
      </c>
    </row>
    <row r="186" spans="1:30" ht="16.5" thickBot="1" x14ac:dyDescent="0.3">
      <c r="A186" s="8"/>
      <c r="B186" s="8"/>
      <c r="C186" s="8"/>
      <c r="E186"/>
      <c r="F186"/>
      <c r="H186"/>
      <c r="I186"/>
      <c r="J186"/>
      <c r="K186"/>
      <c r="L186"/>
      <c r="M186"/>
      <c r="N186"/>
      <c r="P186"/>
      <c r="Q186"/>
      <c r="S186"/>
      <c r="T186" s="23"/>
      <c r="AA186" s="104" t="s">
        <v>299</v>
      </c>
      <c r="AB186" s="323"/>
      <c r="AC186" s="324">
        <f>AC141</f>
        <v>1480045</v>
      </c>
    </row>
    <row r="187" spans="1:30" ht="18.75" x14ac:dyDescent="0.3">
      <c r="A187" s="8"/>
      <c r="B187" s="8"/>
      <c r="C187" s="8"/>
      <c r="E187"/>
      <c r="F187"/>
      <c r="H187"/>
      <c r="I187"/>
      <c r="J187"/>
      <c r="K187"/>
      <c r="L187"/>
      <c r="M187"/>
      <c r="N187"/>
      <c r="P187"/>
      <c r="Q187"/>
      <c r="S187"/>
      <c r="T187" s="23"/>
      <c r="AB187" s="96" t="s">
        <v>300</v>
      </c>
      <c r="AC187" s="325">
        <f>AC184+AC186</f>
        <v>2224595</v>
      </c>
    </row>
    <row r="188" spans="1:30" ht="15" x14ac:dyDescent="0.25">
      <c r="A188" s="8"/>
      <c r="B188" s="8"/>
      <c r="C188" s="8"/>
      <c r="E188"/>
      <c r="F188"/>
      <c r="H188"/>
      <c r="I188"/>
      <c r="J188"/>
      <c r="K188"/>
      <c r="L188"/>
      <c r="M188"/>
      <c r="N188"/>
      <c r="P188"/>
      <c r="Q188"/>
      <c r="S188"/>
      <c r="T188" s="23"/>
    </row>
    <row r="189" spans="1:30" ht="15" x14ac:dyDescent="0.25">
      <c r="A189" s="8"/>
      <c r="B189" s="8"/>
      <c r="C189" s="8"/>
      <c r="E189"/>
      <c r="F189"/>
      <c r="H189"/>
      <c r="I189"/>
      <c r="J189"/>
      <c r="K189"/>
      <c r="L189"/>
      <c r="M189"/>
      <c r="N189"/>
      <c r="P189"/>
      <c r="Q189"/>
      <c r="S189"/>
      <c r="T189" s="23"/>
    </row>
    <row r="190" spans="1:30" ht="15" x14ac:dyDescent="0.25">
      <c r="A190" s="8"/>
      <c r="B190" s="8"/>
      <c r="C190" s="8"/>
      <c r="E190"/>
      <c r="F190"/>
      <c r="H190"/>
      <c r="I190"/>
      <c r="J190"/>
      <c r="K190"/>
      <c r="L190"/>
      <c r="M190"/>
      <c r="N190"/>
      <c r="P190"/>
      <c r="Q190"/>
      <c r="S190"/>
      <c r="T190" s="23"/>
    </row>
    <row r="191" spans="1:30" ht="15" x14ac:dyDescent="0.25">
      <c r="A191" s="8"/>
      <c r="B191" s="8"/>
      <c r="C191" s="8"/>
      <c r="E191"/>
      <c r="F191"/>
      <c r="H191"/>
      <c r="I191"/>
      <c r="J191"/>
      <c r="K191"/>
      <c r="L191"/>
      <c r="M191"/>
      <c r="N191"/>
      <c r="P191"/>
      <c r="Q191"/>
      <c r="S191"/>
      <c r="T191" s="23"/>
    </row>
    <row r="192" spans="1:30" ht="15" x14ac:dyDescent="0.25">
      <c r="A192" s="8"/>
      <c r="B192" s="8"/>
      <c r="C192" s="8"/>
      <c r="E192"/>
      <c r="F192"/>
      <c r="H192"/>
      <c r="I192"/>
      <c r="J192"/>
      <c r="K192"/>
      <c r="L192"/>
      <c r="M192"/>
      <c r="N192"/>
      <c r="P192"/>
      <c r="Q192"/>
      <c r="S192"/>
      <c r="T192" s="23"/>
    </row>
    <row r="193" spans="1:20" ht="15" x14ac:dyDescent="0.25">
      <c r="A193" s="8"/>
      <c r="B193" s="8"/>
      <c r="C193" s="8"/>
      <c r="E193"/>
      <c r="F193"/>
      <c r="H193"/>
      <c r="I193"/>
      <c r="J193"/>
      <c r="K193"/>
      <c r="L193"/>
      <c r="M193"/>
      <c r="N193"/>
      <c r="P193"/>
      <c r="Q193"/>
      <c r="S193"/>
      <c r="T193" s="23"/>
    </row>
    <row r="194" spans="1:20" ht="15" x14ac:dyDescent="0.25">
      <c r="A194" s="8"/>
      <c r="B194" s="8"/>
      <c r="C194" s="8"/>
      <c r="E194"/>
      <c r="F194"/>
      <c r="H194"/>
      <c r="I194"/>
      <c r="J194"/>
      <c r="K194"/>
      <c r="L194"/>
      <c r="M194"/>
      <c r="N194"/>
      <c r="P194"/>
      <c r="Q194"/>
      <c r="S194"/>
      <c r="T194" s="23"/>
    </row>
    <row r="195" spans="1:20" ht="15" x14ac:dyDescent="0.25">
      <c r="A195" s="8"/>
      <c r="B195" s="8"/>
      <c r="C195" s="8"/>
      <c r="E195"/>
      <c r="F195"/>
      <c r="H195"/>
      <c r="I195"/>
      <c r="J195"/>
      <c r="K195"/>
      <c r="L195"/>
      <c r="M195"/>
      <c r="N195"/>
      <c r="P195"/>
      <c r="Q195"/>
      <c r="S195"/>
      <c r="T195" s="23"/>
    </row>
    <row r="196" spans="1:20" ht="15" x14ac:dyDescent="0.25">
      <c r="A196" s="8"/>
      <c r="B196" s="8"/>
      <c r="C196" s="8"/>
      <c r="E196"/>
      <c r="F196"/>
      <c r="H196"/>
      <c r="I196"/>
      <c r="J196"/>
      <c r="K196"/>
      <c r="L196"/>
      <c r="M196"/>
      <c r="N196"/>
      <c r="P196"/>
      <c r="Q196"/>
      <c r="S196"/>
      <c r="T196" s="23"/>
    </row>
    <row r="197" spans="1:20" ht="15" x14ac:dyDescent="0.25">
      <c r="A197" s="8"/>
      <c r="B197" s="8"/>
      <c r="C197" s="8"/>
      <c r="E197"/>
      <c r="F197"/>
      <c r="H197"/>
      <c r="I197"/>
      <c r="J197"/>
      <c r="K197"/>
      <c r="L197"/>
      <c r="M197"/>
      <c r="N197"/>
      <c r="P197"/>
      <c r="Q197"/>
      <c r="S197"/>
      <c r="T197" s="23"/>
    </row>
    <row r="198" spans="1:20" ht="15" x14ac:dyDescent="0.25">
      <c r="A198" s="8"/>
      <c r="B198" s="8"/>
      <c r="C198" s="8"/>
      <c r="E198"/>
      <c r="F198"/>
      <c r="H198"/>
      <c r="I198"/>
      <c r="J198"/>
      <c r="K198"/>
      <c r="L198"/>
      <c r="M198"/>
      <c r="N198"/>
      <c r="P198"/>
      <c r="Q198"/>
      <c r="S198"/>
      <c r="T198" s="23"/>
    </row>
    <row r="199" spans="1:20" ht="15" x14ac:dyDescent="0.25">
      <c r="A199" s="8"/>
      <c r="B199" s="8"/>
      <c r="C199" s="8"/>
      <c r="E199"/>
      <c r="F199"/>
      <c r="H199"/>
      <c r="I199"/>
      <c r="J199"/>
      <c r="K199"/>
      <c r="L199"/>
      <c r="M199"/>
      <c r="N199"/>
      <c r="P199"/>
      <c r="Q199"/>
      <c r="S199"/>
      <c r="T199" s="23"/>
    </row>
    <row r="200" spans="1:20" ht="15" x14ac:dyDescent="0.25">
      <c r="A200" s="8"/>
      <c r="B200" s="8"/>
      <c r="C200" s="8"/>
      <c r="E200"/>
      <c r="F200"/>
      <c r="H200"/>
      <c r="I200"/>
      <c r="J200"/>
      <c r="K200"/>
      <c r="L200"/>
      <c r="M200"/>
      <c r="N200"/>
      <c r="P200"/>
      <c r="Q200"/>
      <c r="S200"/>
      <c r="T200" s="23"/>
    </row>
    <row r="201" spans="1:20" ht="15" x14ac:dyDescent="0.25">
      <c r="A201" s="8"/>
      <c r="B201" s="8"/>
      <c r="C201" s="8"/>
      <c r="E201"/>
      <c r="F201"/>
      <c r="H201"/>
      <c r="I201"/>
      <c r="J201"/>
      <c r="K201"/>
      <c r="L201"/>
      <c r="M201"/>
      <c r="N201"/>
      <c r="P201"/>
      <c r="Q201"/>
      <c r="S201"/>
      <c r="T201" s="23"/>
    </row>
    <row r="202" spans="1:20" ht="15" x14ac:dyDescent="0.25">
      <c r="A202" s="8"/>
      <c r="B202" s="8"/>
      <c r="C202" s="8"/>
      <c r="E202"/>
      <c r="F202"/>
      <c r="H202"/>
      <c r="I202"/>
      <c r="J202"/>
      <c r="K202"/>
      <c r="L202"/>
      <c r="M202"/>
      <c r="N202"/>
      <c r="P202"/>
      <c r="Q202"/>
      <c r="S202"/>
      <c r="T202" s="23"/>
    </row>
    <row r="203" spans="1:20" ht="15" x14ac:dyDescent="0.25">
      <c r="A203" s="8"/>
      <c r="B203" s="8"/>
      <c r="C203" s="8"/>
      <c r="E203"/>
      <c r="F203"/>
      <c r="H203"/>
      <c r="I203"/>
      <c r="J203"/>
      <c r="K203"/>
      <c r="L203"/>
      <c r="M203"/>
      <c r="N203"/>
      <c r="P203"/>
      <c r="Q203"/>
      <c r="S203"/>
      <c r="T203" s="23"/>
    </row>
    <row r="204" spans="1:20" ht="15" x14ac:dyDescent="0.25">
      <c r="A204" s="8"/>
      <c r="B204" s="8"/>
      <c r="C204" s="8"/>
      <c r="E204"/>
      <c r="F204"/>
      <c r="H204"/>
      <c r="I204"/>
      <c r="J204"/>
      <c r="K204"/>
      <c r="L204"/>
      <c r="M204"/>
      <c r="N204"/>
      <c r="P204"/>
      <c r="Q204"/>
      <c r="S204"/>
      <c r="T204" s="23"/>
    </row>
    <row r="205" spans="1:20" ht="15" x14ac:dyDescent="0.25">
      <c r="A205" s="8"/>
      <c r="B205" s="8"/>
      <c r="C205" s="8"/>
      <c r="E205"/>
      <c r="F205"/>
      <c r="H205"/>
      <c r="I205"/>
      <c r="J205"/>
      <c r="K205"/>
      <c r="L205"/>
      <c r="M205"/>
      <c r="N205"/>
      <c r="P205"/>
      <c r="Q205"/>
      <c r="S205"/>
      <c r="T205" s="23"/>
    </row>
    <row r="206" spans="1:20" ht="15" x14ac:dyDescent="0.25">
      <c r="A206" s="8"/>
      <c r="B206" s="8"/>
      <c r="C206" s="8"/>
      <c r="E206"/>
      <c r="F206"/>
      <c r="H206"/>
      <c r="I206"/>
      <c r="J206"/>
      <c r="K206"/>
      <c r="L206"/>
      <c r="M206"/>
      <c r="N206"/>
      <c r="P206"/>
      <c r="Q206"/>
      <c r="S206"/>
      <c r="T206" s="23"/>
    </row>
    <row r="207" spans="1:20" ht="15" x14ac:dyDescent="0.25">
      <c r="A207" s="8"/>
      <c r="B207" s="8"/>
      <c r="C207" s="8"/>
      <c r="E207"/>
      <c r="F207"/>
      <c r="H207"/>
      <c r="I207"/>
      <c r="J207"/>
      <c r="K207"/>
      <c r="L207"/>
      <c r="M207"/>
      <c r="N207"/>
      <c r="P207"/>
      <c r="Q207"/>
      <c r="S207"/>
      <c r="T207" s="23"/>
    </row>
    <row r="208" spans="1:20" ht="15" x14ac:dyDescent="0.25">
      <c r="A208" s="8"/>
      <c r="B208" s="8"/>
      <c r="C208" s="8"/>
      <c r="E208"/>
      <c r="F208"/>
      <c r="H208"/>
      <c r="I208"/>
      <c r="J208"/>
      <c r="K208"/>
      <c r="L208"/>
      <c r="M208"/>
      <c r="N208"/>
      <c r="P208"/>
      <c r="Q208"/>
      <c r="S208"/>
      <c r="T208" s="23"/>
    </row>
    <row r="209" spans="1:20" ht="15" x14ac:dyDescent="0.25">
      <c r="A209" s="8"/>
      <c r="B209" s="8"/>
      <c r="C209" s="8"/>
      <c r="E209"/>
      <c r="F209"/>
      <c r="H209"/>
      <c r="I209"/>
      <c r="J209"/>
      <c r="K209"/>
      <c r="L209"/>
      <c r="M209"/>
      <c r="N209"/>
      <c r="P209"/>
      <c r="Q209"/>
      <c r="S209"/>
      <c r="T209" s="23"/>
    </row>
    <row r="210" spans="1:20" ht="15" x14ac:dyDescent="0.25">
      <c r="A210" s="8"/>
      <c r="B210" s="8"/>
      <c r="C210" s="8"/>
      <c r="E210"/>
      <c r="F210"/>
      <c r="H210"/>
      <c r="I210"/>
      <c r="J210"/>
      <c r="K210"/>
      <c r="L210"/>
      <c r="M210"/>
      <c r="N210"/>
      <c r="P210"/>
      <c r="Q210"/>
      <c r="S210"/>
      <c r="T210" s="23"/>
    </row>
    <row r="211" spans="1:20" ht="15" x14ac:dyDescent="0.25">
      <c r="A211" s="8"/>
      <c r="B211" s="8"/>
      <c r="C211" s="8"/>
      <c r="E211"/>
      <c r="F211"/>
      <c r="H211"/>
      <c r="I211"/>
      <c r="J211"/>
      <c r="K211"/>
      <c r="L211"/>
      <c r="M211"/>
      <c r="N211"/>
      <c r="P211"/>
      <c r="Q211"/>
      <c r="S211"/>
      <c r="T211" s="23"/>
    </row>
    <row r="212" spans="1:20" ht="15" x14ac:dyDescent="0.25">
      <c r="A212" s="8"/>
      <c r="B212" s="8"/>
      <c r="C212" s="8"/>
      <c r="E212"/>
      <c r="F212"/>
      <c r="H212"/>
      <c r="I212"/>
      <c r="J212"/>
      <c r="K212"/>
      <c r="L212"/>
      <c r="M212"/>
      <c r="N212"/>
      <c r="P212"/>
      <c r="Q212"/>
      <c r="S212"/>
      <c r="T212" s="23"/>
    </row>
    <row r="213" spans="1:20" ht="15" x14ac:dyDescent="0.25">
      <c r="A213" s="8"/>
      <c r="B213" s="8"/>
      <c r="C213" s="8"/>
      <c r="E213"/>
      <c r="F213"/>
      <c r="H213"/>
      <c r="I213"/>
      <c r="J213"/>
      <c r="K213"/>
      <c r="L213"/>
      <c r="M213"/>
      <c r="N213"/>
      <c r="P213"/>
      <c r="Q213"/>
      <c r="S213"/>
      <c r="T213" s="23"/>
    </row>
    <row r="214" spans="1:20" ht="15" x14ac:dyDescent="0.25">
      <c r="A214" s="8"/>
      <c r="B214" s="8"/>
      <c r="C214" s="8"/>
      <c r="E214"/>
      <c r="F214"/>
      <c r="H214"/>
      <c r="I214"/>
      <c r="J214"/>
      <c r="K214"/>
      <c r="L214"/>
      <c r="M214"/>
      <c r="N214"/>
      <c r="P214"/>
      <c r="Q214"/>
      <c r="S214"/>
      <c r="T214" s="23"/>
    </row>
    <row r="215" spans="1:20" ht="15" x14ac:dyDescent="0.25">
      <c r="A215" s="8"/>
      <c r="B215" s="8"/>
      <c r="C215" s="8"/>
      <c r="E215"/>
      <c r="F215"/>
      <c r="H215"/>
      <c r="I215"/>
      <c r="J215"/>
      <c r="K215"/>
      <c r="L215"/>
      <c r="M215"/>
      <c r="N215"/>
      <c r="P215"/>
      <c r="Q215"/>
      <c r="S215"/>
      <c r="T215" s="23"/>
    </row>
    <row r="216" spans="1:20" ht="15" x14ac:dyDescent="0.25">
      <c r="A216" s="8"/>
      <c r="B216" s="8"/>
      <c r="C216" s="8"/>
      <c r="E216"/>
      <c r="F216"/>
      <c r="H216"/>
      <c r="I216"/>
      <c r="J216"/>
      <c r="K216"/>
      <c r="L216"/>
      <c r="M216"/>
      <c r="N216"/>
      <c r="P216"/>
      <c r="Q216"/>
      <c r="S216"/>
      <c r="T216" s="23"/>
    </row>
    <row r="217" spans="1:20" ht="15" x14ac:dyDescent="0.25">
      <c r="A217" s="8"/>
      <c r="B217" s="8"/>
      <c r="C217" s="8"/>
      <c r="E217"/>
      <c r="F217"/>
      <c r="H217"/>
      <c r="I217"/>
      <c r="J217"/>
      <c r="K217"/>
      <c r="L217"/>
      <c r="M217"/>
      <c r="N217"/>
      <c r="P217"/>
      <c r="Q217"/>
      <c r="S217"/>
      <c r="T217" s="23"/>
    </row>
    <row r="218" spans="1:20" ht="15" x14ac:dyDescent="0.25">
      <c r="A218" s="8"/>
      <c r="B218" s="8"/>
      <c r="C218" s="8"/>
      <c r="E218"/>
      <c r="F218"/>
      <c r="H218"/>
      <c r="I218"/>
      <c r="J218"/>
      <c r="K218"/>
      <c r="L218"/>
      <c r="M218"/>
      <c r="N218"/>
      <c r="P218"/>
      <c r="Q218"/>
      <c r="S218"/>
      <c r="T218" s="23"/>
    </row>
    <row r="219" spans="1:20" ht="15" x14ac:dyDescent="0.25">
      <c r="A219" s="8"/>
      <c r="B219" s="8"/>
      <c r="C219" s="8"/>
      <c r="E219"/>
      <c r="F219"/>
      <c r="H219"/>
      <c r="I219"/>
      <c r="J219"/>
      <c r="K219"/>
      <c r="L219"/>
      <c r="M219"/>
      <c r="N219"/>
      <c r="P219"/>
      <c r="Q219"/>
      <c r="S219"/>
      <c r="T219" s="23"/>
    </row>
    <row r="220" spans="1:20" ht="15" x14ac:dyDescent="0.25">
      <c r="A220" s="8"/>
      <c r="B220" s="8"/>
      <c r="C220" s="8"/>
      <c r="E220"/>
      <c r="F220"/>
      <c r="H220"/>
      <c r="I220"/>
      <c r="J220"/>
      <c r="K220"/>
      <c r="L220"/>
      <c r="M220"/>
      <c r="N220"/>
      <c r="P220"/>
      <c r="Q220"/>
      <c r="S220"/>
      <c r="T220" s="23"/>
    </row>
    <row r="221" spans="1:20" ht="15" x14ac:dyDescent="0.25">
      <c r="A221" s="8"/>
      <c r="B221" s="8"/>
      <c r="C221" s="8"/>
      <c r="E221"/>
      <c r="F221"/>
      <c r="H221"/>
      <c r="I221"/>
      <c r="J221"/>
      <c r="K221"/>
      <c r="L221"/>
      <c r="M221"/>
      <c r="N221"/>
      <c r="P221"/>
      <c r="Q221"/>
      <c r="S221"/>
      <c r="T221" s="23"/>
    </row>
    <row r="222" spans="1:20" ht="15" x14ac:dyDescent="0.25">
      <c r="A222" s="8"/>
      <c r="B222" s="8"/>
      <c r="C222" s="8"/>
      <c r="E222"/>
      <c r="F222"/>
      <c r="H222"/>
      <c r="I222"/>
      <c r="J222"/>
      <c r="K222"/>
      <c r="L222"/>
      <c r="M222"/>
      <c r="N222"/>
      <c r="P222"/>
      <c r="Q222"/>
      <c r="S222"/>
      <c r="T222" s="23"/>
    </row>
    <row r="223" spans="1:20" ht="15" x14ac:dyDescent="0.25">
      <c r="A223" s="8"/>
      <c r="B223" s="8"/>
      <c r="C223" s="8"/>
      <c r="E223"/>
      <c r="F223"/>
      <c r="H223"/>
      <c r="I223"/>
      <c r="J223"/>
      <c r="K223"/>
      <c r="L223"/>
      <c r="M223"/>
      <c r="N223"/>
      <c r="P223"/>
      <c r="Q223"/>
      <c r="S223"/>
      <c r="T223" s="23"/>
    </row>
    <row r="224" spans="1:20" ht="15" x14ac:dyDescent="0.25">
      <c r="A224" s="8"/>
      <c r="B224" s="8"/>
      <c r="C224" s="8"/>
      <c r="E224"/>
      <c r="F224"/>
      <c r="H224"/>
      <c r="I224"/>
      <c r="J224"/>
      <c r="K224"/>
      <c r="L224"/>
      <c r="M224"/>
      <c r="N224"/>
      <c r="P224"/>
      <c r="Q224"/>
      <c r="S224"/>
      <c r="T224" s="23"/>
    </row>
    <row r="225" spans="1:20" ht="15" x14ac:dyDescent="0.25">
      <c r="A225" s="8"/>
      <c r="B225" s="8"/>
      <c r="C225" s="8"/>
      <c r="E225"/>
      <c r="F225"/>
      <c r="H225"/>
      <c r="I225"/>
      <c r="J225"/>
      <c r="K225"/>
      <c r="L225"/>
      <c r="M225"/>
      <c r="N225"/>
      <c r="P225"/>
      <c r="Q225"/>
      <c r="S225"/>
      <c r="T225" s="23"/>
    </row>
    <row r="226" spans="1:20" ht="15" x14ac:dyDescent="0.25">
      <c r="A226" s="8"/>
      <c r="B226" s="8"/>
      <c r="C226" s="8"/>
      <c r="E226"/>
      <c r="F226"/>
      <c r="H226"/>
      <c r="I226"/>
      <c r="J226"/>
      <c r="K226"/>
      <c r="L226"/>
      <c r="M226"/>
      <c r="N226"/>
      <c r="P226"/>
      <c r="Q226"/>
      <c r="S226"/>
      <c r="T226" s="23"/>
    </row>
    <row r="227" spans="1:20" ht="15" x14ac:dyDescent="0.25">
      <c r="A227" s="8"/>
      <c r="B227" s="8"/>
      <c r="C227" s="8"/>
      <c r="E227"/>
      <c r="F227"/>
      <c r="H227"/>
      <c r="I227"/>
      <c r="J227"/>
      <c r="K227"/>
      <c r="L227"/>
      <c r="M227"/>
      <c r="N227"/>
      <c r="P227"/>
      <c r="Q227"/>
      <c r="S227"/>
      <c r="T227" s="23"/>
    </row>
    <row r="228" spans="1:20" ht="15" x14ac:dyDescent="0.25">
      <c r="A228" s="8"/>
      <c r="B228" s="8"/>
      <c r="C228" s="8"/>
      <c r="E228"/>
      <c r="F228"/>
      <c r="H228"/>
      <c r="I228"/>
      <c r="J228"/>
      <c r="K228"/>
      <c r="L228"/>
      <c r="M228"/>
      <c r="N228"/>
      <c r="P228"/>
      <c r="Q228"/>
      <c r="S228"/>
      <c r="T228" s="23"/>
    </row>
    <row r="229" spans="1:20" ht="15" x14ac:dyDescent="0.25">
      <c r="A229" s="8"/>
      <c r="B229" s="8"/>
      <c r="C229" s="8"/>
      <c r="E229"/>
      <c r="F229"/>
      <c r="H229"/>
      <c r="I229"/>
      <c r="J229"/>
      <c r="K229"/>
      <c r="L229"/>
      <c r="M229"/>
      <c r="N229"/>
      <c r="P229"/>
      <c r="Q229"/>
      <c r="S229"/>
      <c r="T229" s="23"/>
    </row>
    <row r="230" spans="1:20" ht="15" x14ac:dyDescent="0.25">
      <c r="A230" s="8"/>
      <c r="B230" s="8"/>
      <c r="C230" s="8"/>
      <c r="E230"/>
      <c r="F230"/>
      <c r="H230"/>
      <c r="I230"/>
      <c r="J230"/>
      <c r="K230"/>
      <c r="L230"/>
      <c r="M230"/>
      <c r="N230"/>
      <c r="P230"/>
      <c r="Q230"/>
      <c r="S230"/>
      <c r="T230" s="23"/>
    </row>
    <row r="231" spans="1:20" ht="15" x14ac:dyDescent="0.25">
      <c r="A231" s="8"/>
      <c r="B231" s="8"/>
      <c r="C231" s="8"/>
      <c r="E231"/>
      <c r="F231"/>
      <c r="H231"/>
      <c r="I231"/>
      <c r="J231"/>
      <c r="K231"/>
      <c r="L231"/>
      <c r="M231"/>
      <c r="N231"/>
      <c r="P231"/>
      <c r="Q231"/>
      <c r="S231"/>
      <c r="T231" s="23"/>
    </row>
    <row r="232" spans="1:20" ht="15" x14ac:dyDescent="0.25">
      <c r="A232" s="8"/>
      <c r="B232" s="8"/>
      <c r="C232" s="8"/>
      <c r="E232"/>
      <c r="F232"/>
      <c r="H232"/>
      <c r="I232"/>
      <c r="J232"/>
      <c r="K232"/>
      <c r="L232"/>
      <c r="M232"/>
      <c r="N232"/>
      <c r="P232"/>
      <c r="Q232"/>
      <c r="S232"/>
      <c r="T232" s="23"/>
    </row>
    <row r="233" spans="1:20" ht="15" x14ac:dyDescent="0.25">
      <c r="A233" s="8"/>
      <c r="B233" s="8"/>
      <c r="C233" s="8"/>
      <c r="E233"/>
      <c r="F233"/>
      <c r="H233"/>
      <c r="I233"/>
      <c r="J233"/>
      <c r="K233"/>
      <c r="L233"/>
      <c r="M233"/>
      <c r="N233"/>
      <c r="P233"/>
      <c r="Q233"/>
      <c r="S233"/>
      <c r="T233" s="23"/>
    </row>
    <row r="234" spans="1:20" ht="15" x14ac:dyDescent="0.25">
      <c r="B234"/>
      <c r="C234"/>
      <c r="E234"/>
      <c r="F234"/>
      <c r="H234"/>
      <c r="I234"/>
      <c r="J234"/>
      <c r="K234"/>
      <c r="L234"/>
      <c r="M234"/>
      <c r="N234"/>
      <c r="P234"/>
      <c r="Q234"/>
      <c r="S234"/>
      <c r="T234" s="23"/>
    </row>
    <row r="235" spans="1:20" ht="15" x14ac:dyDescent="0.25">
      <c r="B235"/>
      <c r="C235"/>
      <c r="E235"/>
      <c r="F235"/>
      <c r="H235"/>
      <c r="I235"/>
      <c r="J235"/>
      <c r="K235"/>
      <c r="L235"/>
      <c r="M235"/>
      <c r="N235"/>
      <c r="P235"/>
      <c r="Q235"/>
      <c r="S235"/>
      <c r="T235" s="23"/>
    </row>
    <row r="236" spans="1:20" ht="15" x14ac:dyDescent="0.25">
      <c r="B236"/>
      <c r="C236"/>
      <c r="E236"/>
      <c r="F236"/>
      <c r="H236"/>
      <c r="I236"/>
      <c r="J236"/>
      <c r="K236"/>
      <c r="L236"/>
      <c r="M236"/>
      <c r="N236"/>
      <c r="P236"/>
      <c r="Q236"/>
      <c r="S236"/>
      <c r="T236" s="23"/>
    </row>
    <row r="237" spans="1:20" ht="15" x14ac:dyDescent="0.25">
      <c r="B237"/>
      <c r="C237"/>
      <c r="E237"/>
      <c r="F237"/>
      <c r="H237"/>
      <c r="I237"/>
      <c r="J237"/>
      <c r="K237"/>
      <c r="L237"/>
      <c r="M237"/>
      <c r="N237"/>
      <c r="P237"/>
      <c r="Q237"/>
      <c r="S237"/>
      <c r="T237" s="23"/>
    </row>
    <row r="238" spans="1:20" ht="15" x14ac:dyDescent="0.25">
      <c r="B238"/>
      <c r="C238"/>
      <c r="E238"/>
      <c r="F238"/>
      <c r="H238"/>
      <c r="I238"/>
      <c r="J238"/>
      <c r="K238"/>
      <c r="L238"/>
      <c r="M238"/>
      <c r="N238"/>
      <c r="P238"/>
      <c r="Q238"/>
      <c r="S238"/>
      <c r="T238" s="23"/>
    </row>
    <row r="239" spans="1:20" ht="15" x14ac:dyDescent="0.25">
      <c r="B239"/>
      <c r="C239"/>
      <c r="E239"/>
      <c r="F239"/>
      <c r="H239"/>
      <c r="I239"/>
      <c r="J239"/>
      <c r="K239"/>
      <c r="L239"/>
      <c r="M239"/>
      <c r="N239"/>
      <c r="P239"/>
      <c r="Q239"/>
      <c r="S239"/>
      <c r="T239" s="23"/>
    </row>
    <row r="240" spans="1:20" ht="15" x14ac:dyDescent="0.25">
      <c r="B240"/>
      <c r="C240"/>
      <c r="E240"/>
      <c r="F240"/>
      <c r="H240"/>
      <c r="I240"/>
      <c r="J240"/>
      <c r="K240"/>
      <c r="L240"/>
      <c r="M240"/>
      <c r="N240"/>
      <c r="P240"/>
      <c r="Q240"/>
      <c r="S240"/>
      <c r="T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AGOSTO      2015</vt:lpstr>
      <vt:lpstr>SEPTIEMBRE   2 0 1 5    </vt:lpstr>
      <vt:lpstr>REMISIONES Septiembre 2015</vt:lpstr>
      <vt:lpstr>OCTUBRE  2015</vt:lpstr>
      <vt:lpstr>REMISIONES OCTUBRE 2015</vt:lpstr>
      <vt:lpstr>NOVIEMBRE 2015</vt:lpstr>
      <vt:lpstr>REMISIONES NOVIEMBRE 2015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2015-12-02T20:15:28Z</cp:lastPrinted>
  <dcterms:created xsi:type="dcterms:W3CDTF">2009-02-04T18:28:43Z</dcterms:created>
  <dcterms:modified xsi:type="dcterms:W3CDTF">2015-12-08T14:50:41Z</dcterms:modified>
</cp:coreProperties>
</file>