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drawings/drawing12.xml" ContentType="application/vnd.openxmlformats-officedocument.drawing+xml"/>
  <Override PartName="/xl/comments10.xml" ContentType="application/vnd.openxmlformats-officedocument.spreadsheetml.comments+xml"/>
  <Override PartName="/xl/drawings/drawing13.xml" ContentType="application/vnd.openxmlformats-officedocument.drawing+xml"/>
  <Override PartName="/xl/comments11.xml" ContentType="application/vnd.openxmlformats-officedocument.spreadsheetml.comments+xml"/>
  <Override PartName="/xl/drawings/drawing14.xml" ContentType="application/vnd.openxmlformats-officedocument.drawing+xml"/>
  <Override PartName="/xl/comments12.xml" ContentType="application/vnd.openxmlformats-officedocument.spreadsheetml.comments+xml"/>
  <Override PartName="/xl/drawings/drawing15.xml" ContentType="application/vnd.openxmlformats-officedocument.drawing+xml"/>
  <Override PartName="/xl/comments13.xml" ContentType="application/vnd.openxmlformats-officedocument.spreadsheetml.comments+xml"/>
  <Override PartName="/xl/drawings/drawing16.xml" ContentType="application/vnd.openxmlformats-officedocument.drawing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080" windowWidth="14040" windowHeight="6795" firstSheet="25" activeTab="30"/>
  </bookViews>
  <sheets>
    <sheet name="OCTUBRE 2014 " sheetId="3" r:id="rId1"/>
    <sheet name="NOVIEMBRE 2014" sheetId="7" r:id="rId2"/>
    <sheet name="DICIEMBRE 2014" sheetId="8" r:id="rId3"/>
    <sheet name="E N E R O  2015" sheetId="9" r:id="rId4"/>
    <sheet name="ENERO ( 2 )  2015" sheetId="10" r:id="rId5"/>
    <sheet name="FEBRERO 2015" sheetId="11" r:id="rId6"/>
    <sheet name="Remisiones Febrero 2015" sheetId="19" r:id="rId7"/>
    <sheet name="MARZO 2015" sheetId="12" r:id="rId8"/>
    <sheet name="Remisiones Marzo 2015" sheetId="13" r:id="rId9"/>
    <sheet name="A B R I L   2015" sheetId="15" r:id="rId10"/>
    <sheet name="Remisiones ABRIL 2015" sheetId="16" r:id="rId11"/>
    <sheet name="M A Y O   2015" sheetId="17" r:id="rId12"/>
    <sheet name="REMISIONES MAYO 2015" sheetId="18" r:id="rId13"/>
    <sheet name="J U N I O  2015" sheetId="20" r:id="rId14"/>
    <sheet name="Remisiones JUNIO 2015" sheetId="21" r:id="rId15"/>
    <sheet name="J U L I O   2015" sheetId="22" r:id="rId16"/>
    <sheet name="Remisiones  JULIO 2015" sheetId="23" r:id="rId17"/>
    <sheet name="AGOSTO 2015" sheetId="29" r:id="rId18"/>
    <sheet name="REMISIONES AGOSTO 2015" sheetId="28" r:id="rId19"/>
    <sheet name="SEPTIEMBRE  2 0 1 5   " sheetId="35" r:id="rId20"/>
    <sheet name="REMISIONES SEPTIEMBRE 2015" sheetId="34" r:id="rId21"/>
    <sheet name="OCTUBRE 2015" sheetId="33" r:id="rId22"/>
    <sheet name="REMISIONES OCTUBRE 2015" sheetId="32" r:id="rId23"/>
    <sheet name="NOVIEMBRE 2015" sheetId="44" r:id="rId24"/>
    <sheet name="REMISIONES NOVIEMBRE 2015" sheetId="47" r:id="rId25"/>
    <sheet name="DICIEMBRE 2015" sheetId="46" r:id="rId26"/>
    <sheet name="REMISIONES DICIEMBRE 2015" sheetId="48" r:id="rId27"/>
    <sheet name="Hoja15" sheetId="45" r:id="rId28"/>
    <sheet name="Hoja2" sheetId="31" r:id="rId29"/>
    <sheet name="Hoja1" sheetId="30" r:id="rId30"/>
    <sheet name="JULIANA   &amp;&amp;&amp;&amp;   MARCOS " sheetId="14" r:id="rId31"/>
    <sheet name="Hoja8" sheetId="25" r:id="rId32"/>
    <sheet name="Hoja9" sheetId="26" r:id="rId33"/>
    <sheet name="Hoja10" sheetId="27" r:id="rId34"/>
    <sheet name="Hoja3" sheetId="36" r:id="rId35"/>
    <sheet name="Hoja4" sheetId="37" r:id="rId36"/>
    <sheet name="Hoja5" sheetId="38" r:id="rId37"/>
    <sheet name="Hoja6" sheetId="39" r:id="rId38"/>
    <sheet name="Hoja7" sheetId="40" r:id="rId39"/>
    <sheet name="Hoja11" sheetId="41" r:id="rId40"/>
    <sheet name="Hoja12" sheetId="42" r:id="rId41"/>
    <sheet name="Hoja13" sheetId="43" r:id="rId42"/>
  </sheets>
  <calcPr calcId="144525"/>
</workbook>
</file>

<file path=xl/calcChain.xml><?xml version="1.0" encoding="utf-8"?>
<calcChain xmlns="http://schemas.openxmlformats.org/spreadsheetml/2006/main">
  <c r="K47" i="46" l="1"/>
  <c r="E26" i="48" l="1"/>
  <c r="E17" i="48" l="1"/>
  <c r="V21" i="48"/>
  <c r="S21" i="48"/>
  <c r="E21" i="45" l="1"/>
  <c r="B21" i="45"/>
  <c r="H9" i="45" l="1"/>
  <c r="E9" i="45"/>
  <c r="B9" i="45"/>
  <c r="M37" i="46" l="1"/>
  <c r="I38" i="46" l="1"/>
  <c r="F38" i="46"/>
  <c r="L38" i="46"/>
  <c r="C38" i="46"/>
  <c r="K40" i="46" l="1"/>
  <c r="F41" i="46" s="1"/>
  <c r="F44" i="46" s="1"/>
  <c r="F48" i="46" s="1"/>
  <c r="E6" i="48"/>
  <c r="M59" i="48"/>
  <c r="J59" i="48"/>
  <c r="K44" i="46" l="1"/>
  <c r="K49" i="46" s="1"/>
  <c r="E32" i="47"/>
  <c r="M36" i="48"/>
  <c r="J36" i="48"/>
  <c r="E25" i="47" l="1"/>
  <c r="F12" i="48"/>
  <c r="F13" i="48"/>
  <c r="F14" i="48"/>
  <c r="F15" i="48"/>
  <c r="F16" i="48"/>
  <c r="F17" i="48"/>
  <c r="F18" i="48"/>
  <c r="M15" i="48"/>
  <c r="J15" i="48"/>
  <c r="C41" i="48" l="1"/>
  <c r="F40" i="48"/>
  <c r="F39" i="48"/>
  <c r="F38" i="48"/>
  <c r="F37" i="48"/>
  <c r="F36" i="48"/>
  <c r="F35" i="48"/>
  <c r="F34" i="48"/>
  <c r="F33" i="48"/>
  <c r="F32" i="48"/>
  <c r="F31" i="48"/>
  <c r="F30" i="48"/>
  <c r="F29" i="48"/>
  <c r="F28" i="48"/>
  <c r="F27" i="48"/>
  <c r="F26" i="48"/>
  <c r="F25" i="48"/>
  <c r="F24" i="48"/>
  <c r="F23" i="48"/>
  <c r="F22" i="48"/>
  <c r="F21" i="48"/>
  <c r="F20" i="48"/>
  <c r="F19" i="48"/>
  <c r="F11" i="48"/>
  <c r="F10" i="48"/>
  <c r="F9" i="48"/>
  <c r="F8" i="48"/>
  <c r="F7" i="48"/>
  <c r="F6" i="48"/>
  <c r="F5" i="48"/>
  <c r="E41" i="48"/>
  <c r="F3" i="48"/>
  <c r="F4" i="48" l="1"/>
  <c r="F41" i="48" s="1"/>
  <c r="E21" i="47"/>
  <c r="V43" i="47" l="1"/>
  <c r="S43" i="47"/>
  <c r="M18" i="44" l="1"/>
  <c r="E16" i="47" l="1"/>
  <c r="V28" i="47"/>
  <c r="S28" i="47"/>
  <c r="C8" i="44" l="1"/>
  <c r="L9" i="44"/>
  <c r="E13" i="47" l="1"/>
  <c r="V13" i="47"/>
  <c r="S13" i="47"/>
  <c r="E7" i="47" l="1"/>
  <c r="M43" i="47" l="1"/>
  <c r="J43" i="47"/>
  <c r="E4" i="47" l="1"/>
  <c r="M28" i="47"/>
  <c r="J28" i="47"/>
  <c r="M27" i="33" l="1"/>
  <c r="M30" i="33"/>
  <c r="L12" i="33"/>
  <c r="L11" i="33"/>
  <c r="E34" i="32" l="1"/>
  <c r="M13" i="47" l="1"/>
  <c r="J13" i="47"/>
  <c r="C38" i="47"/>
  <c r="F37" i="47"/>
  <c r="F36" i="47"/>
  <c r="F35" i="47"/>
  <c r="F34" i="47"/>
  <c r="F33" i="47"/>
  <c r="F32" i="47"/>
  <c r="F31" i="47"/>
  <c r="F30" i="47"/>
  <c r="F29" i="47"/>
  <c r="F28" i="47"/>
  <c r="F27" i="47"/>
  <c r="F26" i="47"/>
  <c r="F25" i="47"/>
  <c r="F24" i="47"/>
  <c r="F23" i="47"/>
  <c r="F22" i="47"/>
  <c r="F21" i="47"/>
  <c r="F20" i="47"/>
  <c r="F19" i="47"/>
  <c r="F18" i="47"/>
  <c r="F17" i="47"/>
  <c r="F16" i="47"/>
  <c r="F15" i="47"/>
  <c r="F14" i="47"/>
  <c r="F13" i="47"/>
  <c r="F12" i="47"/>
  <c r="F11" i="47"/>
  <c r="F10" i="47"/>
  <c r="F9" i="47"/>
  <c r="F8" i="47"/>
  <c r="F7" i="47"/>
  <c r="F6" i="47"/>
  <c r="F5" i="47"/>
  <c r="F4" i="47"/>
  <c r="E38" i="47"/>
  <c r="L38" i="44"/>
  <c r="I38" i="44"/>
  <c r="K40" i="44" s="1"/>
  <c r="F38" i="44"/>
  <c r="F41" i="44" s="1"/>
  <c r="C38" i="44"/>
  <c r="M37" i="44"/>
  <c r="E28" i="32"/>
  <c r="F3" i="47" l="1"/>
  <c r="F38" i="47" s="1"/>
  <c r="F44" i="44"/>
  <c r="F48" i="44" s="1"/>
  <c r="K44" i="44" s="1"/>
  <c r="K49" i="44" s="1"/>
  <c r="U28" i="32"/>
  <c r="R28" i="32"/>
  <c r="E25" i="32" l="1"/>
  <c r="U9" i="32"/>
  <c r="R9" i="32"/>
  <c r="E16" i="32" l="1"/>
  <c r="J56" i="32" l="1"/>
  <c r="M56" i="32"/>
  <c r="C41" i="32"/>
  <c r="F40" i="32"/>
  <c r="F39" i="32"/>
  <c r="F38" i="32"/>
  <c r="F37" i="32"/>
  <c r="F36" i="32"/>
  <c r="F35" i="32"/>
  <c r="F34" i="32"/>
  <c r="F33" i="32"/>
  <c r="F32" i="32"/>
  <c r="F31" i="32"/>
  <c r="F30" i="32"/>
  <c r="F29" i="32"/>
  <c r="F28" i="32"/>
  <c r="F27" i="32"/>
  <c r="F26" i="32"/>
  <c r="F25" i="32"/>
  <c r="F24" i="32"/>
  <c r="F23" i="32"/>
  <c r="F22" i="32"/>
  <c r="F21" i="32"/>
  <c r="F20" i="32"/>
  <c r="F19" i="32"/>
  <c r="F18" i="32"/>
  <c r="F17" i="32"/>
  <c r="F16" i="32"/>
  <c r="F15" i="32"/>
  <c r="F14" i="32"/>
  <c r="F13" i="32"/>
  <c r="F12" i="32"/>
  <c r="F11" i="32"/>
  <c r="F10" i="32"/>
  <c r="F9" i="32"/>
  <c r="F8" i="32"/>
  <c r="F7" i="32"/>
  <c r="F6" i="32"/>
  <c r="F5" i="32"/>
  <c r="F4" i="32"/>
  <c r="E3" i="32"/>
  <c r="E41" i="32" s="1"/>
  <c r="F3" i="32" l="1"/>
  <c r="F41" i="32" s="1"/>
  <c r="M37" i="32"/>
  <c r="J37" i="32"/>
  <c r="L11" i="35" l="1"/>
  <c r="E31" i="34" l="1"/>
  <c r="M15" i="32"/>
  <c r="J15" i="32"/>
  <c r="I38" i="33" l="1"/>
  <c r="F38" i="33"/>
  <c r="C38" i="33"/>
  <c r="F43" i="33" s="1"/>
  <c r="M37" i="33"/>
  <c r="L38" i="33"/>
  <c r="K40" i="33" l="1"/>
  <c r="F41" i="33" s="1"/>
  <c r="F44" i="33" s="1"/>
  <c r="F48" i="33" s="1"/>
  <c r="K44" i="33" s="1"/>
  <c r="K49" i="33" s="1"/>
  <c r="E27" i="34"/>
  <c r="W15" i="34"/>
  <c r="T15" i="34"/>
  <c r="M27" i="35" l="1"/>
  <c r="E21" i="34" l="1"/>
  <c r="N47" i="34"/>
  <c r="K47" i="34"/>
  <c r="E31" i="28" l="1"/>
  <c r="N29" i="34"/>
  <c r="K29" i="34"/>
  <c r="L10" i="35" l="1"/>
  <c r="L9" i="35" l="1"/>
  <c r="C41" i="34" l="1"/>
  <c r="F40" i="34"/>
  <c r="F39" i="34"/>
  <c r="F38" i="34"/>
  <c r="F37" i="34"/>
  <c r="F36" i="34"/>
  <c r="F35" i="34"/>
  <c r="F32" i="34"/>
  <c r="F34" i="34"/>
  <c r="F33" i="34"/>
  <c r="F31" i="34"/>
  <c r="F30" i="34"/>
  <c r="F29" i="34"/>
  <c r="F28" i="34"/>
  <c r="F27" i="34"/>
  <c r="F25" i="34"/>
  <c r="F24" i="34"/>
  <c r="F23" i="34"/>
  <c r="F26" i="34"/>
  <c r="F22" i="34"/>
  <c r="F19" i="34"/>
  <c r="F20" i="34"/>
  <c r="F21" i="34"/>
  <c r="F18" i="34"/>
  <c r="F17" i="34"/>
  <c r="F16" i="34"/>
  <c r="F15" i="34"/>
  <c r="F14" i="34"/>
  <c r="F13" i="34"/>
  <c r="E41" i="34"/>
  <c r="F11" i="34"/>
  <c r="F10" i="34"/>
  <c r="F9" i="34"/>
  <c r="F8" i="34"/>
  <c r="F7" i="34"/>
  <c r="F6" i="34"/>
  <c r="F5" i="34"/>
  <c r="F4" i="34"/>
  <c r="F3" i="34"/>
  <c r="F38" i="35"/>
  <c r="C38" i="35"/>
  <c r="F43" i="35" s="1"/>
  <c r="M37" i="35"/>
  <c r="I38" i="35"/>
  <c r="L38" i="35"/>
  <c r="F12" i="34" l="1"/>
  <c r="F41" i="34" s="1"/>
  <c r="K40" i="35"/>
  <c r="F41" i="35"/>
  <c r="F44" i="35" s="1"/>
  <c r="F48" i="35" s="1"/>
  <c r="K44" i="35" s="1"/>
  <c r="K49" i="35" s="1"/>
  <c r="L13" i="29"/>
  <c r="E25" i="28" l="1"/>
  <c r="M53" i="28"/>
  <c r="J53" i="28"/>
  <c r="F26" i="28" l="1"/>
  <c r="E12" i="28" l="1"/>
  <c r="M41" i="28"/>
  <c r="J41" i="28"/>
  <c r="L12" i="29" l="1"/>
  <c r="L11" i="29"/>
  <c r="I16" i="29" l="1"/>
  <c r="E37" i="23" l="1"/>
  <c r="F16" i="28"/>
  <c r="F17" i="28"/>
  <c r="F18" i="28"/>
  <c r="F19" i="28"/>
  <c r="F20" i="28"/>
  <c r="F21" i="28"/>
  <c r="F22" i="28"/>
  <c r="F23" i="28"/>
  <c r="F24" i="28"/>
  <c r="F25" i="28"/>
  <c r="F27" i="28"/>
  <c r="F28" i="28"/>
  <c r="M18" i="28" l="1"/>
  <c r="J18" i="28"/>
  <c r="L10" i="29"/>
  <c r="L9" i="29"/>
  <c r="T49" i="14"/>
  <c r="Q49" i="14"/>
  <c r="R51" i="14" s="1"/>
  <c r="I38" i="29" l="1"/>
  <c r="F38" i="29"/>
  <c r="M37" i="29"/>
  <c r="C38" i="29"/>
  <c r="F43" i="29" s="1"/>
  <c r="L38" i="29"/>
  <c r="C41" i="28"/>
  <c r="F40" i="28"/>
  <c r="F39" i="28"/>
  <c r="F38" i="28"/>
  <c r="F37" i="28"/>
  <c r="F36" i="28"/>
  <c r="F35" i="28"/>
  <c r="F34" i="28"/>
  <c r="F33" i="28"/>
  <c r="F30" i="28"/>
  <c r="F29" i="28"/>
  <c r="F32" i="28"/>
  <c r="F31" i="28"/>
  <c r="F15" i="28"/>
  <c r="F14" i="28"/>
  <c r="F13" i="28"/>
  <c r="F12" i="28"/>
  <c r="F11" i="28"/>
  <c r="F10" i="28"/>
  <c r="F9" i="28"/>
  <c r="F8" i="28"/>
  <c r="F7" i="28"/>
  <c r="F6" i="28"/>
  <c r="F5" i="28"/>
  <c r="F4" i="28"/>
  <c r="E41" i="28"/>
  <c r="K40" i="29" l="1"/>
  <c r="F41" i="29" s="1"/>
  <c r="F44" i="29" s="1"/>
  <c r="F48" i="29" s="1"/>
  <c r="K44" i="29" s="1"/>
  <c r="K49" i="29" s="1"/>
  <c r="F3" i="28"/>
  <c r="F41" i="28" s="1"/>
  <c r="E32" i="23" l="1"/>
  <c r="M78" i="23" l="1"/>
  <c r="J78" i="23"/>
  <c r="F35" i="23" l="1"/>
  <c r="F36" i="23"/>
  <c r="F37" i="23"/>
  <c r="F38" i="23"/>
  <c r="F39" i="23"/>
  <c r="F40" i="23"/>
  <c r="L12" i="22" l="1"/>
  <c r="F32" i="23" l="1"/>
  <c r="F33" i="23"/>
  <c r="F34" i="23"/>
  <c r="J63" i="23"/>
  <c r="E3" i="23" l="1"/>
  <c r="M63" i="23"/>
  <c r="L11" i="22" l="1"/>
  <c r="C20" i="22"/>
  <c r="L12" i="20"/>
  <c r="L11" i="20"/>
  <c r="L10" i="22"/>
  <c r="L9" i="22"/>
  <c r="M37" i="22" l="1"/>
  <c r="F27" i="23" l="1"/>
  <c r="F28" i="23"/>
  <c r="F29" i="23"/>
  <c r="F30" i="23"/>
  <c r="F31" i="23"/>
  <c r="L23" i="20" l="1"/>
  <c r="E12" i="21" l="1"/>
  <c r="M27" i="23"/>
  <c r="J27" i="23"/>
  <c r="E41" i="23"/>
  <c r="C41" i="23"/>
  <c r="F26" i="23"/>
  <c r="F25" i="23"/>
  <c r="F24" i="23"/>
  <c r="F23" i="23"/>
  <c r="F22" i="23"/>
  <c r="F21" i="23"/>
  <c r="F20" i="23"/>
  <c r="F19" i="23"/>
  <c r="F18" i="23"/>
  <c r="F17" i="23"/>
  <c r="F16" i="23"/>
  <c r="F15" i="23"/>
  <c r="F14" i="23"/>
  <c r="F13" i="23"/>
  <c r="F12" i="23"/>
  <c r="F11" i="23"/>
  <c r="F10" i="23"/>
  <c r="F9" i="23"/>
  <c r="F8" i="23"/>
  <c r="F7" i="23"/>
  <c r="F6" i="23"/>
  <c r="F5" i="23"/>
  <c r="F4" i="23"/>
  <c r="F3" i="23"/>
  <c r="F41" i="23" s="1"/>
  <c r="F38" i="22"/>
  <c r="I38" i="22"/>
  <c r="C38" i="22"/>
  <c r="F43" i="22" s="1"/>
  <c r="L38" i="22"/>
  <c r="K40" i="22" l="1"/>
  <c r="F41" i="22"/>
  <c r="F44" i="22" s="1"/>
  <c r="F48" i="22" s="1"/>
  <c r="K44" i="22" s="1"/>
  <c r="K49" i="22" s="1"/>
  <c r="C31" i="20"/>
  <c r="C30" i="20" l="1"/>
  <c r="I27" i="20" l="1"/>
  <c r="C27" i="20"/>
  <c r="L29" i="20"/>
  <c r="C26" i="20"/>
  <c r="M50" i="21" l="1"/>
  <c r="J50" i="21"/>
  <c r="T15" i="9" l="1"/>
  <c r="T14" i="9" l="1"/>
  <c r="L31" i="20" l="1"/>
  <c r="L25" i="20" l="1"/>
  <c r="L10" i="20" l="1"/>
  <c r="I13" i="20"/>
  <c r="C13" i="20"/>
  <c r="C12" i="20"/>
  <c r="L9" i="20"/>
  <c r="L38" i="20" s="1"/>
  <c r="M35" i="18" l="1"/>
  <c r="M16" i="18"/>
  <c r="I38" i="17"/>
  <c r="F38" i="17"/>
  <c r="L24" i="17"/>
  <c r="C20" i="17"/>
  <c r="C38" i="17" s="1"/>
  <c r="F43" i="17" s="1"/>
  <c r="L13" i="17"/>
  <c r="L12" i="17"/>
  <c r="L11" i="17"/>
  <c r="N10" i="17"/>
  <c r="M37" i="17" s="1"/>
  <c r="L10" i="17"/>
  <c r="L9" i="17"/>
  <c r="L38" i="17" s="1"/>
  <c r="K40" i="17" l="1"/>
  <c r="F41" i="17" s="1"/>
  <c r="F44" i="17" s="1"/>
  <c r="F48" i="17" s="1"/>
  <c r="K44" i="17" s="1"/>
  <c r="K49" i="17" s="1"/>
  <c r="M27" i="21" l="1"/>
  <c r="J27" i="21"/>
  <c r="C36" i="21" l="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E36" i="21"/>
  <c r="F15" i="21"/>
  <c r="F14" i="21"/>
  <c r="F13" i="21"/>
  <c r="F12" i="21"/>
  <c r="F11" i="21"/>
  <c r="F10" i="21"/>
  <c r="F9" i="21"/>
  <c r="F8" i="21"/>
  <c r="F7" i="21"/>
  <c r="F6" i="21"/>
  <c r="F5" i="21"/>
  <c r="F4" i="21"/>
  <c r="F3" i="21"/>
  <c r="I38" i="20"/>
  <c r="F38" i="20"/>
  <c r="M37" i="20"/>
  <c r="C38" i="20"/>
  <c r="F43" i="20" s="1"/>
  <c r="F16" i="21" l="1"/>
  <c r="F36" i="21" s="1"/>
  <c r="K40" i="20"/>
  <c r="F41" i="20" s="1"/>
  <c r="F44" i="20" s="1"/>
  <c r="F48" i="20" s="1"/>
  <c r="K44" i="20" s="1"/>
  <c r="K49" i="20" s="1"/>
  <c r="N39" i="18"/>
  <c r="N40" i="18"/>
  <c r="N41" i="18"/>
  <c r="N42" i="18"/>
  <c r="N43" i="18"/>
  <c r="N44" i="18"/>
  <c r="N45" i="18"/>
  <c r="N46" i="18"/>
  <c r="N38" i="18"/>
  <c r="E67" i="18" l="1"/>
  <c r="B67" i="18"/>
  <c r="M33" i="16" l="1"/>
  <c r="E38" i="18" l="1"/>
  <c r="B38" i="18"/>
  <c r="K47" i="18" l="1"/>
  <c r="N37" i="18"/>
  <c r="N36" i="18"/>
  <c r="N35" i="18"/>
  <c r="N34" i="18"/>
  <c r="N33" i="18"/>
  <c r="N32" i="18"/>
  <c r="N31" i="18"/>
  <c r="N30" i="18"/>
  <c r="N29" i="18"/>
  <c r="N28" i="18"/>
  <c r="N27" i="18"/>
  <c r="N26" i="18"/>
  <c r="N25" i="18"/>
  <c r="N24" i="18"/>
  <c r="N23" i="18"/>
  <c r="N22" i="18"/>
  <c r="N21" i="18"/>
  <c r="N20" i="18"/>
  <c r="N19" i="18"/>
  <c r="N18" i="18"/>
  <c r="N17" i="18"/>
  <c r="N16" i="18"/>
  <c r="N15" i="18"/>
  <c r="N14" i="18"/>
  <c r="N13" i="18"/>
  <c r="N12" i="18"/>
  <c r="N11" i="18"/>
  <c r="N10" i="18"/>
  <c r="M47" i="18"/>
  <c r="N8" i="18"/>
  <c r="N7" i="18"/>
  <c r="N6" i="18"/>
  <c r="N5" i="18"/>
  <c r="N4" i="18"/>
  <c r="N3" i="18"/>
  <c r="N9" i="18" l="1"/>
  <c r="N47" i="18" s="1"/>
  <c r="M13" i="16"/>
  <c r="M23" i="16" l="1"/>
  <c r="E75" i="16"/>
  <c r="B75" i="16"/>
  <c r="M9" i="16" l="1"/>
  <c r="E47" i="16" l="1"/>
  <c r="B47" i="16"/>
  <c r="M28" i="13" l="1"/>
  <c r="K39" i="16" l="1"/>
  <c r="N38" i="16"/>
  <c r="N37" i="16"/>
  <c r="N36" i="16"/>
  <c r="N35" i="16"/>
  <c r="N34" i="16"/>
  <c r="N33" i="16"/>
  <c r="N32" i="16"/>
  <c r="N31" i="16"/>
  <c r="N30" i="16"/>
  <c r="N29" i="16"/>
  <c r="N28" i="16"/>
  <c r="N27" i="16"/>
  <c r="N26" i="16"/>
  <c r="N25" i="16"/>
  <c r="N24" i="16"/>
  <c r="N23" i="16"/>
  <c r="N22" i="16"/>
  <c r="N21" i="16"/>
  <c r="N20" i="16"/>
  <c r="N19" i="16"/>
  <c r="N18" i="16"/>
  <c r="N17" i="16"/>
  <c r="N16" i="16"/>
  <c r="N15" i="16"/>
  <c r="N14" i="16"/>
  <c r="E19" i="16"/>
  <c r="B19" i="16"/>
  <c r="N13" i="16"/>
  <c r="N12" i="16"/>
  <c r="N11" i="16"/>
  <c r="N10" i="16"/>
  <c r="N9" i="16"/>
  <c r="M39" i="16"/>
  <c r="N7" i="16"/>
  <c r="N6" i="16"/>
  <c r="N5" i="16"/>
  <c r="N4" i="16"/>
  <c r="N3" i="16"/>
  <c r="L38" i="15"/>
  <c r="I38" i="15"/>
  <c r="K40" i="15" s="1"/>
  <c r="F38" i="15"/>
  <c r="F41" i="15" s="1"/>
  <c r="C38" i="15"/>
  <c r="F43" i="15" s="1"/>
  <c r="M37" i="15"/>
  <c r="N8" i="16" l="1"/>
  <c r="N39" i="16" s="1"/>
  <c r="F44" i="15"/>
  <c r="F48" i="15" s="1"/>
  <c r="K44" i="15" s="1"/>
  <c r="K49" i="15" s="1"/>
  <c r="L38" i="12"/>
  <c r="C38" i="12"/>
  <c r="F38" i="12"/>
  <c r="I38" i="12"/>
  <c r="K39" i="13" l="1"/>
  <c r="M25" i="13" l="1"/>
  <c r="E94" i="13" l="1"/>
  <c r="B94" i="13"/>
  <c r="M17" i="13" l="1"/>
  <c r="E78" i="13" l="1"/>
  <c r="B78" i="13"/>
  <c r="M8" i="13" l="1"/>
  <c r="E56" i="13"/>
  <c r="B56" i="13"/>
  <c r="M36" i="19" l="1"/>
  <c r="E32" i="13" l="1"/>
  <c r="B32" i="13"/>
  <c r="M39" i="13" l="1"/>
  <c r="N38" i="13"/>
  <c r="N37" i="13"/>
  <c r="N36" i="13"/>
  <c r="N35" i="13"/>
  <c r="N34" i="13"/>
  <c r="N33" i="13"/>
  <c r="N32" i="13"/>
  <c r="N31" i="13"/>
  <c r="N30" i="13"/>
  <c r="N29" i="13"/>
  <c r="N28" i="13"/>
  <c r="N27" i="13"/>
  <c r="N26" i="13"/>
  <c r="N25" i="13"/>
  <c r="N24" i="13"/>
  <c r="N23" i="13"/>
  <c r="N22" i="13"/>
  <c r="N21" i="13"/>
  <c r="N20" i="13"/>
  <c r="N19" i="13"/>
  <c r="N16" i="13"/>
  <c r="N18" i="13"/>
  <c r="N17" i="13"/>
  <c r="N15" i="13"/>
  <c r="N14" i="13"/>
  <c r="E14" i="13"/>
  <c r="B14" i="13"/>
  <c r="N13" i="13"/>
  <c r="N12" i="13"/>
  <c r="N11" i="13"/>
  <c r="N10" i="13"/>
  <c r="N9" i="13"/>
  <c r="N8" i="13"/>
  <c r="N7" i="13"/>
  <c r="N6" i="13"/>
  <c r="N5" i="13"/>
  <c r="N4" i="13"/>
  <c r="N3" i="13"/>
  <c r="N39" i="13" s="1"/>
  <c r="E69" i="19"/>
  <c r="B69" i="19"/>
  <c r="E47" i="19"/>
  <c r="B47" i="19"/>
  <c r="K40" i="19"/>
  <c r="N39" i="19"/>
  <c r="N38" i="19"/>
  <c r="N37" i="19"/>
  <c r="N36" i="19"/>
  <c r="N35" i="19"/>
  <c r="N34" i="19"/>
  <c r="N33" i="19"/>
  <c r="N32" i="19"/>
  <c r="N31" i="19"/>
  <c r="M30" i="19"/>
  <c r="N30" i="19" s="1"/>
  <c r="N29" i="19"/>
  <c r="N28" i="19"/>
  <c r="N27" i="19"/>
  <c r="N26" i="19"/>
  <c r="N25" i="19"/>
  <c r="N24" i="19"/>
  <c r="N23" i="19"/>
  <c r="E23" i="19"/>
  <c r="B23" i="19"/>
  <c r="N22" i="19"/>
  <c r="N21" i="19"/>
  <c r="N20" i="19"/>
  <c r="M19" i="19"/>
  <c r="N19" i="19" s="1"/>
  <c r="N18" i="19"/>
  <c r="N17" i="19"/>
  <c r="N16" i="19"/>
  <c r="N15" i="19"/>
  <c r="N14" i="19"/>
  <c r="N13" i="19"/>
  <c r="N12" i="19"/>
  <c r="N11" i="19"/>
  <c r="N10" i="19"/>
  <c r="E10" i="19"/>
  <c r="B10" i="19"/>
  <c r="N9" i="19"/>
  <c r="N8" i="19"/>
  <c r="N7" i="19"/>
  <c r="N6" i="19"/>
  <c r="M5" i="19"/>
  <c r="N5" i="19" s="1"/>
  <c r="M4" i="19"/>
  <c r="M40" i="19" s="1"/>
  <c r="I38" i="11"/>
  <c r="F38" i="11"/>
  <c r="C38" i="11"/>
  <c r="F43" i="11" s="1"/>
  <c r="N13" i="11"/>
  <c r="M37" i="11" s="1"/>
  <c r="L38" i="11"/>
  <c r="N4" i="19" l="1"/>
  <c r="N40" i="19" s="1"/>
  <c r="K40" i="11"/>
  <c r="F41" i="11" s="1"/>
  <c r="F44" i="11" s="1"/>
  <c r="F48" i="11" s="1"/>
  <c r="K44" i="11" s="1"/>
  <c r="K49" i="11" s="1"/>
  <c r="M49" i="14"/>
  <c r="J49" i="14"/>
  <c r="F49" i="14"/>
  <c r="C49" i="14"/>
  <c r="K51" i="14" l="1"/>
  <c r="G49" i="14"/>
  <c r="AD29" i="11"/>
  <c r="AB39" i="11" l="1"/>
  <c r="F43" i="12" l="1"/>
  <c r="M37" i="12"/>
  <c r="K40" i="12" l="1"/>
  <c r="F41" i="12" s="1"/>
  <c r="F44" i="12" s="1"/>
  <c r="F48" i="12" s="1"/>
  <c r="K44" i="12" s="1"/>
  <c r="K49" i="12" s="1"/>
  <c r="AE27" i="11" l="1"/>
  <c r="AE28" i="11"/>
  <c r="AE29" i="11"/>
  <c r="AE30" i="11"/>
  <c r="AE31" i="11"/>
  <c r="AE32" i="11"/>
  <c r="AE33" i="11"/>
  <c r="AE34" i="11"/>
  <c r="AE35" i="11"/>
  <c r="AE36" i="11"/>
  <c r="AE37" i="11"/>
  <c r="AD18" i="11"/>
  <c r="V68" i="11" l="1"/>
  <c r="S68" i="11"/>
  <c r="AD4" i="11" l="1"/>
  <c r="V46" i="11"/>
  <c r="S46" i="11"/>
  <c r="Y47" i="9" l="1"/>
  <c r="V47" i="9"/>
  <c r="Y34" i="9" l="1"/>
  <c r="V34" i="9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38" i="11"/>
  <c r="V22" i="11"/>
  <c r="S22" i="11"/>
  <c r="V9" i="11"/>
  <c r="S9" i="11"/>
  <c r="AE10" i="11"/>
  <c r="AE9" i="11"/>
  <c r="AE8" i="11"/>
  <c r="AE7" i="11"/>
  <c r="AE6" i="11"/>
  <c r="AE5" i="11"/>
  <c r="AE4" i="11"/>
  <c r="AD3" i="11"/>
  <c r="AD39" i="11" s="1"/>
  <c r="AC22" i="10"/>
  <c r="AC29" i="10"/>
  <c r="V84" i="10"/>
  <c r="S84" i="10"/>
  <c r="AE3" i="11" l="1"/>
  <c r="AE39" i="11" s="1"/>
  <c r="AA37" i="10" l="1"/>
  <c r="AD36" i="10"/>
  <c r="AD35" i="10"/>
  <c r="AD34" i="10"/>
  <c r="AD33" i="10"/>
  <c r="AD32" i="10"/>
  <c r="AD31" i="10"/>
  <c r="AD30" i="10"/>
  <c r="AC37" i="10"/>
  <c r="V70" i="10"/>
  <c r="S70" i="10"/>
  <c r="AD29" i="10" l="1"/>
  <c r="AD37" i="10"/>
  <c r="AA25" i="10" l="1"/>
  <c r="AD24" i="10"/>
  <c r="AD23" i="10"/>
  <c r="AD22" i="10"/>
  <c r="AD21" i="10"/>
  <c r="AD20" i="10"/>
  <c r="AD19" i="10"/>
  <c r="AD18" i="10"/>
  <c r="AC17" i="10"/>
  <c r="AD17" i="10" s="1"/>
  <c r="AD16" i="10"/>
  <c r="AD15" i="10"/>
  <c r="AD14" i="10"/>
  <c r="AD13" i="10"/>
  <c r="AD12" i="10"/>
  <c r="AD11" i="10"/>
  <c r="AD10" i="10"/>
  <c r="AD9" i="10"/>
  <c r="AC8" i="10"/>
  <c r="AD7" i="10"/>
  <c r="AD6" i="10"/>
  <c r="AD5" i="10"/>
  <c r="AD4" i="10"/>
  <c r="AD8" i="10" l="1"/>
  <c r="AC25" i="10"/>
  <c r="AC40" i="10" s="1"/>
  <c r="AD25" i="10"/>
  <c r="V57" i="10" l="1"/>
  <c r="S57" i="10"/>
  <c r="V44" i="10" l="1"/>
  <c r="S44" i="10"/>
  <c r="Q17" i="9" l="1"/>
  <c r="C38" i="9"/>
  <c r="V30" i="10" l="1"/>
  <c r="S30" i="10"/>
  <c r="C28" i="10" l="1"/>
  <c r="C38" i="10" s="1"/>
  <c r="N16" i="10" l="1"/>
  <c r="V14" i="10" l="1"/>
  <c r="S14" i="10"/>
  <c r="Q24" i="9" l="1"/>
  <c r="Q26" i="9"/>
  <c r="Q28" i="9" s="1"/>
  <c r="Q30" i="9" s="1"/>
  <c r="L38" i="10" l="1"/>
  <c r="I38" i="10"/>
  <c r="K40" i="10" s="1"/>
  <c r="F38" i="10"/>
  <c r="F41" i="10" s="1"/>
  <c r="F43" i="10"/>
  <c r="M37" i="10"/>
  <c r="F38" i="9"/>
  <c r="F43" i="9"/>
  <c r="F44" i="10" l="1"/>
  <c r="F48" i="10" s="1"/>
  <c r="K44" i="10"/>
  <c r="K49" i="10" s="1"/>
  <c r="L38" i="9" l="1"/>
  <c r="I38" i="9"/>
  <c r="M37" i="9"/>
  <c r="K40" i="9" l="1"/>
  <c r="F41" i="9" s="1"/>
  <c r="F44" i="9"/>
  <c r="F48" i="9" s="1"/>
  <c r="K48" i="9" s="1"/>
  <c r="C8" i="8" l="1"/>
  <c r="C38" i="8" s="1"/>
  <c r="F43" i="8"/>
  <c r="M37" i="8"/>
  <c r="K38" i="3" l="1"/>
  <c r="F38" i="3"/>
  <c r="I38" i="3"/>
  <c r="C38" i="3"/>
  <c r="L38" i="7"/>
  <c r="I38" i="7"/>
  <c r="F38" i="7"/>
  <c r="C38" i="7"/>
  <c r="I38" i="8"/>
  <c r="F38" i="8"/>
  <c r="P31" i="8" l="1"/>
  <c r="K40" i="7" l="1"/>
  <c r="F41" i="7"/>
  <c r="F42" i="7"/>
  <c r="F43" i="7" l="1"/>
  <c r="F45" i="7" s="1"/>
  <c r="L45" i="7" s="1"/>
  <c r="L38" i="8" l="1"/>
  <c r="K40" i="8" s="1"/>
  <c r="F41" i="8" s="1"/>
  <c r="F44" i="8" s="1"/>
  <c r="F48" i="8" s="1"/>
  <c r="K48" i="8" s="1"/>
  <c r="F42" i="3" l="1"/>
  <c r="J40" i="3"/>
  <c r="F41" i="3" s="1"/>
  <c r="F43" i="3"/>
  <c r="F45" i="3" s="1"/>
  <c r="K45" i="3" s="1"/>
</calcChain>
</file>

<file path=xl/comments1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ROUSS</author>
  </authors>
  <commentList>
    <comment ref="G49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|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<sst xmlns="http://schemas.openxmlformats.org/spreadsheetml/2006/main" count="2768" uniqueCount="979">
  <si>
    <t>COMPRAS</t>
  </si>
  <si>
    <t>TOTAL</t>
  </si>
  <si>
    <t>INVENTARIO INICIAL</t>
  </si>
  <si>
    <t>LUZ</t>
  </si>
  <si>
    <t>G  A  S   T  O  S</t>
  </si>
  <si>
    <t>TELEFONOS</t>
  </si>
  <si>
    <t>RENTA</t>
  </si>
  <si>
    <t>NOMINA 1</t>
  </si>
  <si>
    <t>NOMINA 2</t>
  </si>
  <si>
    <t>NOMINA 3</t>
  </si>
  <si>
    <t>NOMINA 5</t>
  </si>
  <si>
    <t>GRAN TOTAL GASTOS</t>
  </si>
  <si>
    <t>VENTAS NETAS</t>
  </si>
  <si>
    <t>INVENTARIO FINAL</t>
  </si>
  <si>
    <t>NOMINA 4</t>
  </si>
  <si>
    <t>Sub Total 1</t>
  </si>
  <si>
    <t xml:space="preserve">Sub Total 2 </t>
  </si>
  <si>
    <t xml:space="preserve"> </t>
  </si>
  <si>
    <t>GANANCIA</t>
  </si>
  <si>
    <t xml:space="preserve">VENTAS  </t>
  </si>
  <si>
    <t>AGUINALDOS</t>
  </si>
  <si>
    <t xml:space="preserve">BALANCE       DE    OCTUBRE 2014    11  S U R </t>
  </si>
  <si>
    <t>pollo</t>
  </si>
  <si>
    <t>obrador</t>
  </si>
  <si>
    <t xml:space="preserve">Notas de VENTA </t>
  </si>
  <si>
    <t># 27290---# 27306</t>
  </si>
  <si>
    <t># 27001---# 27028</t>
  </si>
  <si>
    <t># 26981---# 27000</t>
  </si>
  <si>
    <t># 27029---# 27050</t>
  </si>
  <si>
    <t># 27051---# 27080</t>
  </si>
  <si>
    <t># 27101---# 27125</t>
  </si>
  <si>
    <t># 27081---# 27100</t>
  </si>
  <si>
    <t># 27171---# 27200</t>
  </si>
  <si>
    <t># 27146---# 27170</t>
  </si>
  <si>
    <t># 27126---#2 7145</t>
  </si>
  <si>
    <t># 27201---# 27235</t>
  </si>
  <si>
    <t># 27236---# 27260</t>
  </si>
  <si>
    <t># 27261---# 27289</t>
  </si>
  <si>
    <t># 27307---# 27330</t>
  </si>
  <si>
    <t># 27331---# 27350</t>
  </si>
  <si>
    <t>cuero</t>
  </si>
  <si>
    <t># 27351---#  27375</t>
  </si>
  <si>
    <t># 27376---# 27405</t>
  </si>
  <si>
    <t># 27406---# 27440</t>
  </si>
  <si>
    <t>maiz</t>
  </si>
  <si>
    <t># 27441---# 27467</t>
  </si>
  <si>
    <t># 27468---# 27489</t>
  </si>
  <si>
    <t># 27490---# 27509</t>
  </si>
  <si>
    <t># 27510---# 27529</t>
  </si>
  <si>
    <t># 27530---# 27550</t>
  </si>
  <si>
    <t># 27551---# 27580</t>
  </si>
  <si>
    <t># 27581---# 27600</t>
  </si>
  <si>
    <t># 27601---# 27620</t>
  </si>
  <si>
    <t># 27621---# 27642</t>
  </si>
  <si>
    <t># 27643---# 27670</t>
  </si>
  <si>
    <t># 27671---# 27690</t>
  </si>
  <si>
    <t>canales</t>
  </si>
  <si>
    <t>CAMARAS</t>
  </si>
  <si>
    <t># 27691---# 27705</t>
  </si>
  <si>
    <t># 27706---# 27750</t>
  </si>
  <si>
    <t xml:space="preserve">BALANCE       DE   NOVIEMBRE     2014    11  S U R </t>
  </si>
  <si>
    <t>SEGURO Qulitas</t>
  </si>
  <si>
    <t># 28531---# 28575</t>
  </si>
  <si>
    <t># 28576--# 28630</t>
  </si>
  <si>
    <t># 28021--# 28045</t>
  </si>
  <si>
    <t># 28046--# 28070</t>
  </si>
  <si>
    <t># 28071---# 28095</t>
  </si>
  <si>
    <t># 28096--# 28125</t>
  </si>
  <si>
    <t># 28126---# 28170</t>
  </si>
  <si>
    <t># 28171---# 28200</t>
  </si>
  <si>
    <t># 28201---#28225</t>
  </si>
  <si>
    <t># 28226---# 28245</t>
  </si>
  <si>
    <t># 28246---# 28265</t>
  </si>
  <si>
    <t># 28266---# 28290</t>
  </si>
  <si>
    <t># 28291---# 28320</t>
  </si>
  <si>
    <t># 28321---# 28365</t>
  </si>
  <si>
    <t># 28366---# 28392</t>
  </si>
  <si>
    <t># 28393---# 28419</t>
  </si>
  <si>
    <t># 28420---# 28439</t>
  </si>
  <si>
    <t># 28440---# 28465</t>
  </si>
  <si>
    <t># 28466---# 28485</t>
  </si>
  <si>
    <t># 28486---# 28530</t>
  </si>
  <si>
    <t xml:space="preserve">BALANCE       DE   DICIEMBRE      2014    11  S U R </t>
  </si>
  <si>
    <t>POLLO</t>
  </si>
  <si>
    <t># 28631---# 28650</t>
  </si>
  <si>
    <t>#028671---# 28689</t>
  </si>
  <si>
    <t># 28690---# 28710</t>
  </si>
  <si>
    <t>Obrador -pollo</t>
  </si>
  <si>
    <t># 28711---# 28735</t>
  </si>
  <si>
    <t>Maiz</t>
  </si>
  <si>
    <t># 28736---# 28775</t>
  </si>
  <si>
    <t xml:space="preserve">obrador  </t>
  </si>
  <si>
    <t># 28776---# 28805</t>
  </si>
  <si>
    <t># 28806---# 28820</t>
  </si>
  <si>
    <t># 28821---# 28845</t>
  </si>
  <si>
    <t># 28846---# 28869</t>
  </si>
  <si>
    <t>Obrador</t>
  </si>
  <si>
    <t># 28870---# 28915</t>
  </si>
  <si>
    <t># 28916---# 28955</t>
  </si>
  <si>
    <t># 28956---# 28980</t>
  </si>
  <si>
    <t># 28651---# 28670</t>
  </si>
  <si>
    <t>.</t>
  </si>
  <si>
    <t># 29013---# 29042</t>
  </si>
  <si>
    <t># 28981---# 29012</t>
  </si>
  <si>
    <t># 29043---# 29085</t>
  </si>
  <si>
    <t>Verificacion-Gasolina</t>
  </si>
  <si>
    <t># 29086---# 29135</t>
  </si>
  <si>
    <t>fumigacion- bolsa -gasolina-volantes</t>
  </si>
  <si>
    <t>calendarios</t>
  </si>
  <si>
    <t>ADT</t>
  </si>
  <si>
    <t>Obrador Maiz-pollo</t>
  </si>
  <si>
    <t>MANTENIMIENTO</t>
  </si>
  <si>
    <t>Gasolina-Afilador</t>
  </si>
  <si>
    <t>cloro</t>
  </si>
  <si>
    <t>Arrachera</t>
  </si>
  <si>
    <t>gasolina-cloro-trapos</t>
  </si>
  <si>
    <t>pavos-chorizo</t>
  </si>
  <si>
    <t>imprenta</t>
  </si>
  <si>
    <t>bolsas</t>
  </si>
  <si>
    <t>fumigacion</t>
  </si>
  <si>
    <t># 29501--# 29590</t>
  </si>
  <si>
    <t>DESCANSO</t>
  </si>
  <si>
    <t>bolsas --gasolina</t>
  </si>
  <si>
    <t>combo</t>
  </si>
  <si>
    <t># 29633---# 29670</t>
  </si>
  <si>
    <t># 29591---# 29632</t>
  </si>
  <si>
    <t># 29671---# 29711</t>
  </si>
  <si>
    <t># 29712---# 29746</t>
  </si>
  <si>
    <t>gasolina</t>
  </si>
  <si>
    <t>central</t>
  </si>
  <si>
    <t>salsas</t>
  </si>
  <si>
    <t># 29747---# 29839</t>
  </si>
  <si>
    <t># 29840---# 29959</t>
  </si>
  <si>
    <t>afilador</t>
  </si>
  <si>
    <t># 29434---# 29500</t>
  </si>
  <si>
    <t># 29364---# 29433</t>
  </si>
  <si>
    <t># 29314---# 29363</t>
  </si>
  <si>
    <t># 29242---# 29313</t>
  </si>
  <si>
    <t># 29184--- # 29241</t>
  </si>
  <si>
    <t># 29136---29183</t>
  </si>
  <si>
    <t>COMPRAS A ALMACEN</t>
  </si>
  <si>
    <t>50 K</t>
  </si>
  <si>
    <t>63 K</t>
  </si>
  <si>
    <t>69 K</t>
  </si>
  <si>
    <t>75 K</t>
  </si>
  <si>
    <t>99 K</t>
  </si>
  <si>
    <t>107 K</t>
  </si>
  <si>
    <t>119 K</t>
  </si>
  <si>
    <t>129 K</t>
  </si>
  <si>
    <t>143 K</t>
  </si>
  <si>
    <t>166 K</t>
  </si>
  <si>
    <t>181 K</t>
  </si>
  <si>
    <t>205 K</t>
  </si>
  <si>
    <t>252 K</t>
  </si>
  <si>
    <t>262 K</t>
  </si>
  <si>
    <t>271 K</t>
  </si>
  <si>
    <t>290 K</t>
  </si>
  <si>
    <t>291 K</t>
  </si>
  <si>
    <t>Elaborado por Rosy Tellez</t>
  </si>
  <si>
    <t>BANCO</t>
  </si>
  <si>
    <t>COMPRAS ALMACEN</t>
  </si>
  <si>
    <t xml:space="preserve">Bolsas  </t>
  </si>
  <si>
    <t>al dia 2 de enero</t>
  </si>
  <si>
    <t>NOTAS OBRADOR PENDIENTES</t>
  </si>
  <si>
    <t xml:space="preserve">BALANCE       DE   ENERO      2015    11  S U R </t>
  </si>
  <si>
    <t># 7943</t>
  </si>
  <si>
    <t># 8032</t>
  </si>
  <si>
    <t># 8041</t>
  </si>
  <si>
    <t># 8044</t>
  </si>
  <si>
    <t># 8076</t>
  </si>
  <si>
    <t># 8159</t>
  </si>
  <si>
    <t># 29960--# 30000</t>
  </si>
  <si>
    <t>,,,,,,,,,,,,,,,,,,,,,</t>
  </si>
  <si>
    <t># 30001--# 30032</t>
  </si>
  <si>
    <t># 30033--# 30047</t>
  </si>
  <si>
    <t># 30048--# 30066</t>
  </si>
  <si>
    <t>Pago 5-Enero</t>
  </si>
  <si>
    <t>7568--7678</t>
  </si>
  <si>
    <t>PAGADAS</t>
  </si>
  <si>
    <t># 30067--# 30097</t>
  </si>
  <si>
    <t># 30098--# 30119</t>
  </si>
  <si>
    <t># 30120--# 30146</t>
  </si>
  <si>
    <t># 30147--# 30191</t>
  </si>
  <si>
    <t># 8288</t>
  </si>
  <si>
    <t># 30192--# 30225</t>
  </si>
  <si>
    <t># 30226--# 30265</t>
  </si>
  <si>
    <t>Uniformes</t>
  </si>
  <si>
    <t>Botanas</t>
  </si>
  <si>
    <t># 8384</t>
  </si>
  <si>
    <t># 8579</t>
  </si>
  <si>
    <t># 8679</t>
  </si>
  <si>
    <t>BALANCE       DE   ENERO      2015    11  S U R   ( 2 )</t>
  </si>
  <si>
    <t># 30266--# 30376</t>
  </si>
  <si>
    <t># 30377--# 30483</t>
  </si>
  <si>
    <t># 30484--# 30592</t>
  </si>
  <si>
    <t>IMPORTE</t>
  </si>
  <si>
    <t>PAGOS</t>
  </si>
  <si>
    <t>SALDO</t>
  </si>
  <si>
    <t># 8756</t>
  </si>
  <si>
    <t>prestamos</t>
  </si>
  <si>
    <t>efectivo</t>
  </si>
  <si>
    <t>11 SUR</t>
  </si>
  <si>
    <t>Remision</t>
  </si>
  <si>
    <t># transfer</t>
  </si>
  <si>
    <t>IMPORTE Transfer</t>
  </si>
  <si>
    <t xml:space="preserve">PAGOS DE 11 SUR </t>
  </si>
  <si>
    <t>T-00813252</t>
  </si>
  <si>
    <t>OBRADOR</t>
  </si>
  <si>
    <t>TRIPAS</t>
  </si>
  <si>
    <t>Pollo</t>
  </si>
  <si>
    <t># 30710---# 30828</t>
  </si>
  <si>
    <t># 30593---# 30709</t>
  </si>
  <si>
    <t># 30829---# 30978</t>
  </si>
  <si>
    <t>salchicha</t>
  </si>
  <si>
    <t>#30979---# 31090</t>
  </si>
  <si>
    <t># 31091---# 31234</t>
  </si>
  <si>
    <t># 31235---# 31350</t>
  </si>
  <si>
    <t># 31456---# 31456</t>
  </si>
  <si>
    <t># 31457---# 31575</t>
  </si>
  <si>
    <t>policia-basura</t>
  </si>
  <si>
    <t># 31576--- # 31695</t>
  </si>
  <si>
    <t>pollo--Maiz</t>
  </si>
  <si>
    <t># 31696---# 31810</t>
  </si>
  <si>
    <t># 31811---# 31914</t>
  </si>
  <si>
    <t># 31915---# 32021</t>
  </si>
  <si>
    <t>DEPOSITO</t>
  </si>
  <si>
    <t>21-Ene 61,395.10--28-Ene 20,481.31</t>
  </si>
  <si>
    <t>a cuenta</t>
  </si>
  <si>
    <t>Deposito EFECTIV O</t>
  </si>
  <si>
    <t xml:space="preserve">DEPOSITO </t>
  </si>
  <si>
    <t>Transfer</t>
  </si>
  <si>
    <t>R-9881</t>
  </si>
  <si>
    <t>R-9923</t>
  </si>
  <si>
    <t>R-10249</t>
  </si>
  <si>
    <t>R=9473</t>
  </si>
  <si>
    <t>R-10403</t>
  </si>
  <si>
    <t>abono</t>
  </si>
  <si>
    <t># 32122---# 32124</t>
  </si>
  <si>
    <t>Licencia-gasolina-basura-hipoclorito</t>
  </si>
  <si>
    <t># 32125---# 32206</t>
  </si>
  <si>
    <t>Vacaciones</t>
  </si>
  <si>
    <t># 32207---# 32330</t>
  </si>
  <si>
    <t>pollo-maiz</t>
  </si>
  <si>
    <t># 32331---32454</t>
  </si>
  <si>
    <t>R-10501</t>
  </si>
  <si>
    <t>28-Ene 14,270.66--31-Ene 47,014.03</t>
  </si>
  <si>
    <t>COMPRAS OBRADOR</t>
  </si>
  <si>
    <t>CREDITOS</t>
  </si>
  <si>
    <t>SUB TOTAL</t>
  </si>
  <si>
    <t xml:space="preserve">GANANCIA </t>
  </si>
  <si>
    <t>#32455--# 32585</t>
  </si>
  <si>
    <t>CH-1037</t>
  </si>
  <si>
    <t xml:space="preserve">TOTAL PAGOS </t>
  </si>
  <si>
    <t>MAS</t>
  </si>
  <si>
    <t>INVENTARIO INICIAL  -</t>
  </si>
  <si>
    <t>REMISIONES 11 SUR</t>
  </si>
  <si>
    <t>ESTA NO ME LA ENTREGARON</t>
  </si>
  <si>
    <t>saldo</t>
  </si>
  <si>
    <t>02-Feb--03-Feb</t>
  </si>
  <si>
    <t xml:space="preserve">31-Ene ---03-Ene </t>
  </si>
  <si>
    <t>BALANCE       DE  FEBRERO      2015    11  S U R   ( 2 )</t>
  </si>
  <si>
    <t>REMISIONES  11 SUR   FEBRERO 2015</t>
  </si>
  <si>
    <t>JULIANA</t>
  </si>
  <si>
    <t>NOMINA 6</t>
  </si>
  <si>
    <t>NOMINA 7</t>
  </si>
  <si>
    <t>NOMINA 8</t>
  </si>
  <si>
    <t>NOMINA 9</t>
  </si>
  <si>
    <t>NOMINA 10</t>
  </si>
  <si>
    <t xml:space="preserve">NOMINA </t>
  </si>
  <si>
    <t>Chorizo</t>
  </si>
  <si>
    <t># 32586---# 32697</t>
  </si>
  <si>
    <t># 32698---# 32800</t>
  </si>
  <si>
    <t># 32801---# 32911</t>
  </si>
  <si>
    <t>pollo-chorizo-salchicha</t>
  </si>
  <si>
    <t># 32997---# 33100</t>
  </si>
  <si>
    <t># 32912---# 32996</t>
  </si>
  <si>
    <t>mecanico-+gasolina+vigilancia+garrafon</t>
  </si>
  <si>
    <t>gasolina--basura</t>
  </si>
  <si>
    <t>gasolina-casetas</t>
  </si>
  <si>
    <t># 33101---# 33248</t>
  </si>
  <si>
    <t># 33249---#33384</t>
  </si>
  <si>
    <t># 333854---# 33451</t>
  </si>
  <si>
    <t>Jabon</t>
  </si>
  <si>
    <t># 333501---33600</t>
  </si>
  <si>
    <t>arrachera-pollo</t>
  </si>
  <si>
    <t>bolsa-basura-gasolina</t>
  </si>
  <si>
    <t># 33601---# 33711</t>
  </si>
  <si>
    <t>arreglos-emplaye-basura-agua</t>
  </si>
  <si>
    <t># 33712---# 33797</t>
  </si>
  <si>
    <t xml:space="preserve">nota 30049 </t>
  </si>
  <si>
    <t>2,496.00 kg cuero de pierna   a   $ 17.00</t>
  </si>
  <si>
    <t>CORTE OBRADOR  5 DE ENERO 2015</t>
  </si>
  <si>
    <t>deposito</t>
  </si>
  <si>
    <t>31-Ene 24,971.93---20-Ene 3,949.07</t>
  </si>
  <si>
    <t>al dia 11 de enero</t>
  </si>
  <si>
    <t># 33798---# 33907</t>
  </si>
  <si>
    <t>tripa-pollo-condimentos</t>
  </si>
  <si>
    <t># 33908---# 34010</t>
  </si>
  <si>
    <t># 34017---# 34150</t>
  </si>
  <si>
    <t>ELIAS</t>
  </si>
  <si>
    <t># 34151---# 34267</t>
  </si>
  <si>
    <t>manteca</t>
  </si>
  <si>
    <t>LONA</t>
  </si>
  <si>
    <t># 34267---# 34364</t>
  </si>
  <si>
    <t>pollio-pozole</t>
  </si>
  <si>
    <t># 34492---# 34549</t>
  </si>
  <si>
    <t># 34365---# 34491</t>
  </si>
  <si>
    <t># 34550---# 34650</t>
  </si>
  <si>
    <t># 34651---# 34750</t>
  </si>
  <si>
    <t># 34751---# 34882</t>
  </si>
  <si>
    <t># 34883---# 34984</t>
  </si>
  <si>
    <t># 34985---# 35064</t>
  </si>
  <si>
    <t># 35065---# 35184</t>
  </si>
  <si>
    <t>DIA VENTA</t>
  </si>
  <si>
    <t xml:space="preserve">20-Feb---26-Feb </t>
  </si>
  <si>
    <t xml:space="preserve">     </t>
  </si>
  <si>
    <t>pollo-sancocho</t>
  </si>
  <si>
    <t># 35185---# 35285</t>
  </si>
  <si>
    <t># 35286---# 35400</t>
  </si>
  <si>
    <t># 35401---# 35510</t>
  </si>
  <si>
    <t>BALANCE       DE  M A R Z O       2015    11  S U R   ( 2 )</t>
  </si>
  <si>
    <t>NOMINA 11</t>
  </si>
  <si>
    <t>NOMINA 12</t>
  </si>
  <si>
    <t>NOMINA 13</t>
  </si>
  <si>
    <t>REMISIONES  11 SUR   M A R Z O    2015</t>
  </si>
  <si>
    <t>ABONO</t>
  </si>
  <si>
    <t xml:space="preserve">26-Feb --03-Mar </t>
  </si>
  <si>
    <t xml:space="preserve">MARCOS </t>
  </si>
  <si>
    <t>CHOQUE CAMIONETA</t>
  </si>
  <si>
    <t>FECHA</t>
  </si>
  <si>
    <t>#</t>
  </si>
  <si>
    <t># 35511---# 35638</t>
  </si>
  <si>
    <t># 35639---# 35772</t>
  </si>
  <si>
    <t># 35773---# 35892</t>
  </si>
  <si>
    <t># 35893---# 35990</t>
  </si>
  <si>
    <t>chorizo--longaniza</t>
  </si>
  <si>
    <t>pozole-vinagre</t>
  </si>
  <si>
    <t># 35991---# 36080</t>
  </si>
  <si>
    <t># 36081---# 36174</t>
  </si>
  <si>
    <t>#  36175---# 36277</t>
  </si>
  <si>
    <t># 36278---# 36408</t>
  </si>
  <si>
    <t># 36409---# 36532</t>
  </si>
  <si>
    <t xml:space="preserve">03-Mar--11-Mar </t>
  </si>
  <si>
    <t>Salchicha</t>
  </si>
  <si>
    <t># 36757---# 36869</t>
  </si>
  <si>
    <t># 36533---# 36646</t>
  </si>
  <si>
    <t># 36647---# 36756</t>
  </si>
  <si>
    <t># 36870---# 36971</t>
  </si>
  <si>
    <t># 36972---# 37070</t>
  </si>
  <si>
    <t># 37071---# 37221</t>
  </si>
  <si>
    <t>Pollo--tortilla</t>
  </si>
  <si>
    <t># 37222---# 37324</t>
  </si>
  <si>
    <t># 37325---# 37457</t>
  </si>
  <si>
    <t xml:space="preserve">11-Mar--18-Mar </t>
  </si>
  <si>
    <t>NUEVO SUELDO 1,700.00</t>
  </si>
  <si>
    <t># 37458---# 37564</t>
  </si>
  <si>
    <t># 37565---# 37678</t>
  </si>
  <si>
    <t># 37679---# 37782</t>
  </si>
  <si>
    <t># 37783---# 37884</t>
  </si>
  <si>
    <t>MAIZ --POLLO</t>
  </si>
  <si>
    <t># 37885---# 38532</t>
  </si>
  <si>
    <t># 38533---# 38100</t>
  </si>
  <si>
    <t># 38101---# 38229</t>
  </si>
  <si>
    <t xml:space="preserve">18-Mar --25-Mar </t>
  </si>
  <si>
    <t>POLLO-POZOLE</t>
  </si>
  <si>
    <t># 38336---# 38460</t>
  </si>
  <si>
    <t>pollo-chorizo</t>
  </si>
  <si>
    <t># 38461---# 38615</t>
  </si>
  <si>
    <t># 38616---# 38712</t>
  </si>
  <si>
    <t># 38713---# 38860</t>
  </si>
  <si>
    <t>NOMINA 14</t>
  </si>
  <si>
    <t># 38861---# 38953</t>
  </si>
  <si>
    <t xml:space="preserve">25-Mar--30-Mar </t>
  </si>
  <si>
    <t xml:space="preserve">PRESTAMO A EDUARDO  </t>
  </si>
  <si>
    <t>ADT 02-Mar</t>
  </si>
  <si>
    <t>ADT 30-Mar</t>
  </si>
  <si>
    <t>sancocho</t>
  </si>
  <si>
    <t># 39078---# 39172</t>
  </si>
  <si>
    <t># 38954---# 39077</t>
  </si>
  <si>
    <t># 38230---# 38335</t>
  </si>
  <si>
    <t>Fumigacion 24-mar</t>
  </si>
  <si>
    <t>BALANCE       DE      A B R I L        2015    11  S U R   ( 2 )</t>
  </si>
  <si>
    <t>NOMINA 15</t>
  </si>
  <si>
    <t>NOMINA 16</t>
  </si>
  <si>
    <t>NOMINA 17</t>
  </si>
  <si>
    <t>NOMINA 18</t>
  </si>
  <si>
    <t xml:space="preserve">ADT </t>
  </si>
  <si>
    <t>REMISIONES  11 SUR   A B R I L     2015</t>
  </si>
  <si>
    <t>IMPRENTA</t>
  </si>
  <si>
    <t># 39173--# 39276</t>
  </si>
  <si>
    <t># 39277--# 39338</t>
  </si>
  <si>
    <t># 39339---# 39527</t>
  </si>
  <si>
    <t>#  39528--# 39655</t>
  </si>
  <si>
    <t># 39656---# 39767</t>
  </si>
  <si>
    <t>Tripas</t>
  </si>
  <si>
    <t># 39768---# 39882</t>
  </si>
  <si>
    <t>Deposito</t>
  </si>
  <si>
    <t>30-Mar--09-Abril</t>
  </si>
  <si>
    <t>MOLINO 8 Abril</t>
  </si>
  <si>
    <t># 39883---#  39991</t>
  </si>
  <si>
    <t># 39992---# 40133</t>
  </si>
  <si>
    <t>3 SEMANAS NO PAGO</t>
  </si>
  <si>
    <t>condimentos</t>
  </si>
  <si>
    <t># 40134---# 40270</t>
  </si>
  <si>
    <t>pozole</t>
  </si>
  <si>
    <t># 40271---# 40413</t>
  </si>
  <si>
    <t xml:space="preserve">SE LE DESCONTO EL DIA 5 DE ABRIL </t>
  </si>
  <si>
    <t xml:space="preserve">SE LE DESCONTO EL DIA 12 DE ABRIL </t>
  </si>
  <si>
    <t>en su vale de sueldo se le pago los menos 500 C/U</t>
  </si>
  <si>
    <t># 40414---# 40520</t>
  </si>
  <si>
    <t># 40521---# 40634</t>
  </si>
  <si>
    <t>chorizo</t>
  </si>
  <si>
    <t># 40635---# 40756</t>
  </si>
  <si>
    <t># 40757---# 40878</t>
  </si>
  <si>
    <t xml:space="preserve">Fumigacion 16-Abril </t>
  </si>
  <si>
    <t># 40879---# 40997</t>
  </si>
  <si>
    <t>dif precio</t>
  </si>
  <si>
    <t xml:space="preserve">09-Abril  --18-Abril </t>
  </si>
  <si>
    <t>dif de precio</t>
  </si>
  <si>
    <t># 1</t>
  </si>
  <si>
    <t># 2</t>
  </si>
  <si>
    <t># 3</t>
  </si>
  <si>
    <t># 4</t>
  </si>
  <si>
    <t># 5</t>
  </si>
  <si>
    <t># 6</t>
  </si>
  <si>
    <t># 7</t>
  </si>
  <si>
    <t># 8</t>
  </si>
  <si>
    <t># 9</t>
  </si>
  <si>
    <t># 10</t>
  </si>
  <si>
    <t># 11</t>
  </si>
  <si>
    <t># 12</t>
  </si>
  <si>
    <t># 13</t>
  </si>
  <si>
    <t># 14</t>
  </si>
  <si>
    <t># 15</t>
  </si>
  <si>
    <t># 40998---# 41136</t>
  </si>
  <si>
    <t># 41137---# 41280</t>
  </si>
  <si>
    <t># 41281---# 41408</t>
  </si>
  <si>
    <t># 41409 ---# 41523</t>
  </si>
  <si>
    <t># 41524---# 41636</t>
  </si>
  <si>
    <t>ADT 22-abril</t>
  </si>
  <si>
    <t># 41637---# 41745</t>
  </si>
  <si>
    <t># 41746---# 41861</t>
  </si>
  <si>
    <t># 41862---# 42004</t>
  </si>
  <si>
    <t># 42005---# 42146</t>
  </si>
  <si>
    <t># 42279---# 42396</t>
  </si>
  <si>
    <t>sancocho-+tocino-pollo-chiles</t>
  </si>
  <si>
    <t># 42397---# 42512</t>
  </si>
  <si>
    <t># 42513---# 42647</t>
  </si>
  <si>
    <t>chile</t>
  </si>
  <si>
    <t># 42648---# 42782</t>
  </si>
  <si>
    <t># 42150---# 42278</t>
  </si>
  <si>
    <t>18-Abril--01-Mayo</t>
  </si>
  <si>
    <t>NOMINA 19</t>
  </si>
  <si>
    <t>NOMINA 20</t>
  </si>
  <si>
    <t>NOMINA 21</t>
  </si>
  <si>
    <t>NOMINA 22</t>
  </si>
  <si>
    <t>REMISIONES  11 SUR    M A Y O       2015</t>
  </si>
  <si>
    <t>Elias 25-Abril</t>
  </si>
  <si>
    <t># 42783---# 42936</t>
  </si>
  <si>
    <t>PENSION 2-MAY</t>
  </si>
  <si>
    <t># 42937---# 43091</t>
  </si>
  <si>
    <t># 43092---# 43206</t>
  </si>
  <si>
    <t>BETY</t>
  </si>
  <si>
    <t>INES</t>
  </si>
  <si>
    <t>ROSA BERMUDES</t>
  </si>
  <si>
    <t># 43207---# 43320</t>
  </si>
  <si>
    <t># 43321---# 43421</t>
  </si>
  <si>
    <t># 43422---# 43550</t>
  </si>
  <si>
    <t># 43551---# 43679</t>
  </si>
  <si>
    <t># 43680---# 43836</t>
  </si>
  <si>
    <t>Reparacion</t>
  </si>
  <si>
    <t># 43837---# 44020</t>
  </si>
  <si>
    <t>del local</t>
  </si>
  <si>
    <t># 44021---# 44180</t>
  </si>
  <si>
    <t># 44181---# 44306</t>
  </si>
  <si>
    <t># 44307---# 44420</t>
  </si>
  <si>
    <t>Pozole--Cebolla</t>
  </si>
  <si>
    <t># 44421---# 44548</t>
  </si>
  <si>
    <t>pollo-longaniza</t>
  </si>
  <si>
    <t>Fumigacion 14-May</t>
  </si>
  <si>
    <t># 44549---# 44677</t>
  </si>
  <si>
    <t xml:space="preserve">01-Mayo--16-Mayo </t>
  </si>
  <si>
    <t># 44678---# 44845</t>
  </si>
  <si>
    <t>manteca-pollo-condimentos</t>
  </si>
  <si>
    <t># 44846---# 45008</t>
  </si>
  <si>
    <t># 45009---# 45139</t>
  </si>
  <si>
    <t># 45140---# 45289</t>
  </si>
  <si>
    <t># 45290---# 45418</t>
  </si>
  <si>
    <t># 45419---# 45556</t>
  </si>
  <si>
    <t># 45557---# 45714</t>
  </si>
  <si>
    <t>pollo --cebolla</t>
  </si>
  <si>
    <t># 45715---# 45859</t>
  </si>
  <si>
    <t>TONATIUH 23-May</t>
  </si>
  <si>
    <t># 45860---# 46029</t>
  </si>
  <si>
    <t># 46030---# 46141</t>
  </si>
  <si>
    <t># 46142---# 46282</t>
  </si>
  <si>
    <t>POLLO--Tripas</t>
  </si>
  <si>
    <t># 46283---# 46422</t>
  </si>
  <si>
    <t># 46422---# 46570</t>
  </si>
  <si>
    <t># 46713---# 46871</t>
  </si>
  <si>
    <t># 46872---# 47019</t>
  </si>
  <si>
    <t>REMISIONES  11 SUR    J U N I O        2015</t>
  </si>
  <si>
    <t>NOMINA 23</t>
  </si>
  <si>
    <t>NOMINA 24</t>
  </si>
  <si>
    <t>NOMINA 25</t>
  </si>
  <si>
    <t>NOMINA 26</t>
  </si>
  <si>
    <t>NOMINA 27</t>
  </si>
  <si>
    <t>VITRINA TORREY</t>
  </si>
  <si>
    <t>15-MAYO,</t>
  </si>
  <si>
    <t>BASCULA</t>
  </si>
  <si>
    <t>Impermebeazlizacion</t>
  </si>
  <si>
    <t># 47020---# 47145</t>
  </si>
  <si>
    <t>16-May --29-May --17-Jun</t>
  </si>
  <si>
    <t xml:space="preserve">29-May --17-Jun </t>
  </si>
  <si>
    <t>CHAROLAS 1-Jun</t>
  </si>
  <si>
    <t># 47146---# 47289</t>
  </si>
  <si>
    <t># 47290---# 47412</t>
  </si>
  <si>
    <t>POLLO --MAIZ</t>
  </si>
  <si>
    <t>Remodelacion</t>
  </si>
  <si>
    <t># 47413---# 47535</t>
  </si>
  <si>
    <t># 47536---# 47659</t>
  </si>
  <si>
    <t># 47660---# 47813</t>
  </si>
  <si>
    <t># 47814---# 47963</t>
  </si>
  <si>
    <t>#47964---# 48078</t>
  </si>
  <si>
    <t>chorizo--pollo</t>
  </si>
  <si>
    <t># 48079---# 48195</t>
  </si>
  <si>
    <t>chiles-pollo</t>
  </si>
  <si>
    <t>#48196---# 48322</t>
  </si>
  <si>
    <t>prestamo</t>
  </si>
  <si>
    <t>PRESTAMO MARCOS</t>
  </si>
  <si>
    <t># 48323---# 48450</t>
  </si>
  <si>
    <t>TONATIUH</t>
  </si>
  <si>
    <t># 48451---# 48578</t>
  </si>
  <si>
    <t># 48579---# 48731</t>
  </si>
  <si>
    <t>MAIZ</t>
  </si>
  <si>
    <t># 48732---# 48880</t>
  </si>
  <si>
    <t>POLLO--Chorizo</t>
  </si>
  <si>
    <t># 48881---# 49000</t>
  </si>
  <si>
    <t># 49001---# 49127</t>
  </si>
  <si>
    <t>08-Jun-15-Jun</t>
  </si>
  <si>
    <t># 49128--# 49200</t>
  </si>
  <si>
    <t>Fumigacion 17-Jun</t>
  </si>
  <si>
    <t># 49201---# 49333</t>
  </si>
  <si>
    <t># 49334---# 49472</t>
  </si>
  <si>
    <t>Maiz-pollo-central</t>
  </si>
  <si>
    <t>CAJA METALICA + trabajos barandal-anuncio lamina</t>
  </si>
  <si>
    <t># 49473---# 49640</t>
  </si>
  <si>
    <t>POLLO-CENTRLA</t>
  </si>
  <si>
    <t># 49641---# 49824</t>
  </si>
  <si>
    <t># 49825---# 49974</t>
  </si>
  <si>
    <t>217 A</t>
  </si>
  <si>
    <t>15-Ene--18-Feb</t>
  </si>
  <si>
    <t>pepe</t>
  </si>
  <si>
    <t>284 A</t>
  </si>
  <si>
    <t>490 A</t>
  </si>
  <si>
    <t>381 A</t>
  </si>
  <si>
    <t>674 A</t>
  </si>
  <si>
    <t>FONDO DE</t>
  </si>
  <si>
    <t>CAJA</t>
  </si>
  <si>
    <t>POLLO-condimentos</t>
  </si>
  <si>
    <t># 49975---# 49992</t>
  </si>
  <si>
    <t># 49998---# 50000 canceladas</t>
  </si>
  <si>
    <t>?????</t>
  </si>
  <si>
    <t>LETRAS EN ALUMINIO PINTADAS</t>
  </si>
  <si>
    <t>DEJAN FONDO DE CAJA $ 6,256.00</t>
  </si>
  <si>
    <t>CENTRAL--POLLO</t>
  </si>
  <si>
    <t>REMISIONES  11 SUR    J U L I O        2015</t>
  </si>
  <si>
    <t>920 A</t>
  </si>
  <si>
    <t>980 A</t>
  </si>
  <si>
    <t xml:space="preserve">17-Jun --04-Jul </t>
  </si>
  <si>
    <t>FOLIO 1342  1 MAYO 392.80</t>
  </si>
  <si>
    <t>1144 A</t>
  </si>
  <si>
    <t>1219 A</t>
  </si>
  <si>
    <t>1222 A</t>
  </si>
  <si>
    <t>1301 A</t>
  </si>
  <si>
    <t>Computo</t>
  </si>
  <si>
    <t>Serv CAMARAS</t>
  </si>
  <si>
    <t>Guante Anticorte</t>
  </si>
  <si>
    <t>r</t>
  </si>
  <si>
    <t>1448 A</t>
  </si>
  <si>
    <t>1601A</t>
  </si>
  <si>
    <t>1715 A</t>
  </si>
  <si>
    <t>1879 A</t>
  </si>
  <si>
    <t>BALANCE       DE      J U L I O          2015    11  S U R   ( 2 )</t>
  </si>
  <si>
    <t>1911 A</t>
  </si>
  <si>
    <t>2012 A</t>
  </si>
  <si>
    <t>2031 A</t>
  </si>
  <si>
    <t>2166 A</t>
  </si>
  <si>
    <t>2272 A</t>
  </si>
  <si>
    <t>2346 A</t>
  </si>
  <si>
    <t>2440 A</t>
  </si>
  <si>
    <t>2591 A</t>
  </si>
  <si>
    <t>2753 A</t>
  </si>
  <si>
    <t>2820 A</t>
  </si>
  <si>
    <t>2848 A</t>
  </si>
  <si>
    <t>2851 A</t>
  </si>
  <si>
    <t>2894 A</t>
  </si>
  <si>
    <t>CANCELADA</t>
  </si>
  <si>
    <t>3084 A</t>
  </si>
  <si>
    <t>3092 A</t>
  </si>
  <si>
    <t>TIKETS</t>
  </si>
  <si>
    <t>afinacion</t>
  </si>
  <si>
    <t>verificacion</t>
  </si>
  <si>
    <t>PERDIDA</t>
  </si>
  <si>
    <t>pollo-salchichoneria</t>
  </si>
  <si>
    <t>NOMINA 28</t>
  </si>
  <si>
    <t>NOMINA 29</t>
  </si>
  <si>
    <t>NOMINA 30</t>
  </si>
  <si>
    <t>cable</t>
  </si>
  <si>
    <t>trapos</t>
  </si>
  <si>
    <t>pollo-carnes frias</t>
  </si>
  <si>
    <t>FALTAN TIKES</t>
  </si>
  <si>
    <t>3304 A</t>
  </si>
  <si>
    <t>3334 A</t>
  </si>
  <si>
    <t xml:space="preserve">4-Jul --25-Jul </t>
  </si>
  <si>
    <t>3468 A</t>
  </si>
  <si>
    <t>3482 A</t>
  </si>
  <si>
    <t>3590 A</t>
  </si>
  <si>
    <t>pollo-maiz-chorizo</t>
  </si>
  <si>
    <t>pollo-vinagre-cebolla</t>
  </si>
  <si>
    <t>pollo-cenrtral</t>
  </si>
  <si>
    <t>3591 A</t>
  </si>
  <si>
    <t>3699 A</t>
  </si>
  <si>
    <t>3790 A</t>
  </si>
  <si>
    <t>3932 A</t>
  </si>
  <si>
    <t xml:space="preserve">25-Jul --31-jul </t>
  </si>
  <si>
    <t>4112 A</t>
  </si>
  <si>
    <t>VINIL EN PARED</t>
  </si>
  <si>
    <t>dev</t>
  </si>
  <si>
    <t>ADT 31 jul</t>
  </si>
  <si>
    <t>REMISIONES  11 SUR    A G O S T O         2015</t>
  </si>
  <si>
    <t>4321 A</t>
  </si>
  <si>
    <t>4426 A</t>
  </si>
  <si>
    <t>4536 A</t>
  </si>
  <si>
    <t>4580 A</t>
  </si>
  <si>
    <t>4643 A</t>
  </si>
  <si>
    <t>4721 A</t>
  </si>
  <si>
    <t>4749 A</t>
  </si>
  <si>
    <t>5014 A</t>
  </si>
  <si>
    <t>POLLO-MAIZ-Chorizo</t>
  </si>
  <si>
    <t>PRESTAMO</t>
  </si>
  <si>
    <t>SERGIO</t>
  </si>
  <si>
    <t>NOMINA 31</t>
  </si>
  <si>
    <t>NOMINA 32</t>
  </si>
  <si>
    <t>NOMINA 33</t>
  </si>
  <si>
    <t>NOMINA 34</t>
  </si>
  <si>
    <t xml:space="preserve">  </t>
  </si>
  <si>
    <t>Vacaciones Beatriz</t>
  </si>
  <si>
    <t>pollo-maiz-condimentos</t>
  </si>
  <si>
    <t>basura</t>
  </si>
  <si>
    <t>cinta sierra</t>
  </si>
  <si>
    <t>carnes frias</t>
  </si>
  <si>
    <t xml:space="preserve">Deposito </t>
  </si>
  <si>
    <t xml:space="preserve">31-Jul --11-Ago </t>
  </si>
  <si>
    <t>4855 A</t>
  </si>
  <si>
    <t>5098 A</t>
  </si>
  <si>
    <t>5349 A</t>
  </si>
  <si>
    <t>5679 A</t>
  </si>
  <si>
    <t>5875 A</t>
  </si>
  <si>
    <t>5948 A</t>
  </si>
  <si>
    <t>dev Efec</t>
  </si>
  <si>
    <t>pollo--mazi</t>
  </si>
  <si>
    <t xml:space="preserve">Fumigacion 12-Ago </t>
  </si>
  <si>
    <t>5495 A</t>
  </si>
  <si>
    <t>5826 A</t>
  </si>
  <si>
    <t>6091 A</t>
  </si>
  <si>
    <t>6177 A</t>
  </si>
  <si>
    <t>6435 A</t>
  </si>
  <si>
    <t>6536 A</t>
  </si>
  <si>
    <t>6626 A</t>
  </si>
  <si>
    <t>6649 A</t>
  </si>
  <si>
    <t>6766 A</t>
  </si>
  <si>
    <t>cebolla</t>
  </si>
  <si>
    <t>PEPE</t>
  </si>
  <si>
    <t>Santander</t>
  </si>
  <si>
    <t xml:space="preserve">12-Ago--26-Ago </t>
  </si>
  <si>
    <t>6961 A</t>
  </si>
  <si>
    <t>7048 A</t>
  </si>
  <si>
    <t>7233 A</t>
  </si>
  <si>
    <t>7307 A</t>
  </si>
  <si>
    <t>7413 A</t>
  </si>
  <si>
    <t xml:space="preserve">26-Ago --01-Sep </t>
  </si>
  <si>
    <t xml:space="preserve">ELIAS 21-Ago </t>
  </si>
  <si>
    <t>pollo-pozole</t>
  </si>
  <si>
    <t>Central</t>
  </si>
  <si>
    <t xml:space="preserve">ELIAS 27-Ago </t>
  </si>
  <si>
    <t>NOMINA 35</t>
  </si>
  <si>
    <t>POLLO-CENTRAL</t>
  </si>
  <si>
    <t>BALANCE       DE      SEPTIEMBRE           2015    11  S U R   ( 2 )</t>
  </si>
  <si>
    <t>REMISIONES  11 SUR    SEPTIEMBRE         2015</t>
  </si>
  <si>
    <t>7695 A</t>
  </si>
  <si>
    <t>7697 A</t>
  </si>
  <si>
    <t>6493 A</t>
  </si>
  <si>
    <t>7018 A</t>
  </si>
  <si>
    <t>7775 A</t>
  </si>
  <si>
    <t>FALTA ENTREGAR  ELIAS</t>
  </si>
  <si>
    <t>faltan  original compras a CENTRAL ( ELIAS )</t>
  </si>
  <si>
    <t xml:space="preserve">BALANCE       DE      A G O S T O           2015    11  S U R   </t>
  </si>
  <si>
    <t xml:space="preserve"> ELIAS 03-Ago</t>
  </si>
  <si>
    <t xml:space="preserve">ELIAS 15-Ago </t>
  </si>
  <si>
    <t xml:space="preserve">PEPE  22-Ago </t>
  </si>
  <si>
    <t>pollo-central</t>
  </si>
  <si>
    <t>DEBE ELIAS</t>
  </si>
  <si>
    <t xml:space="preserve">BALANCE       DE      J U N I O          2015    11  S U R   </t>
  </si>
  <si>
    <r>
      <t xml:space="preserve">BALANCE       DE      M A Y O         2015    11  S U R </t>
    </r>
    <r>
      <rPr>
        <b/>
        <u/>
        <sz val="18"/>
        <color theme="0"/>
        <rFont val="Calibri"/>
        <family val="2"/>
        <scheme val="minor"/>
      </rPr>
      <t xml:space="preserve">  ( 2 )</t>
    </r>
  </si>
  <si>
    <t>notas y tikets</t>
  </si>
  <si>
    <t>8049 A</t>
  </si>
  <si>
    <t>8137 A</t>
  </si>
  <si>
    <t>7884 A</t>
  </si>
  <si>
    <t>8009 A</t>
  </si>
  <si>
    <t>8310 A</t>
  </si>
  <si>
    <t>8357 A</t>
  </si>
  <si>
    <t>8572 A</t>
  </si>
  <si>
    <t>8796 A</t>
  </si>
  <si>
    <t>8970 A</t>
  </si>
  <si>
    <t>9017 A</t>
  </si>
  <si>
    <t>9084 A</t>
  </si>
  <si>
    <t>9085 A</t>
  </si>
  <si>
    <t>9282 A</t>
  </si>
  <si>
    <t>PEREJIL-CEBOLLA</t>
  </si>
  <si>
    <t>Pollo--chorizo--central</t>
  </si>
  <si>
    <t>NOMINA 36</t>
  </si>
  <si>
    <t>NOMINA 37</t>
  </si>
  <si>
    <t>NOMINA 38</t>
  </si>
  <si>
    <t>NOMINA 39</t>
  </si>
  <si>
    <t>NOMINA 40</t>
  </si>
  <si>
    <t>pollo-condimentos</t>
  </si>
  <si>
    <t xml:space="preserve">Fumigacion </t>
  </si>
  <si>
    <t xml:space="preserve">11-15 Ago </t>
  </si>
  <si>
    <t>9426 A</t>
  </si>
  <si>
    <t>01-Sep --17-Sep</t>
  </si>
  <si>
    <t>Medicina SERGIO</t>
  </si>
  <si>
    <t>9369 A</t>
  </si>
  <si>
    <t>9100 A</t>
  </si>
  <si>
    <t>9501 A</t>
  </si>
  <si>
    <t>9828 A</t>
  </si>
  <si>
    <t>gastos</t>
  </si>
  <si>
    <t>9782 A</t>
  </si>
  <si>
    <t>9784 A</t>
  </si>
  <si>
    <t>9785 A</t>
  </si>
  <si>
    <t>10099 A</t>
  </si>
  <si>
    <t xml:space="preserve">17-Sep --24-Sep </t>
  </si>
  <si>
    <t>10210 A</t>
  </si>
  <si>
    <t>SALSA-POLLO</t>
  </si>
  <si>
    <t>10335 A</t>
  </si>
  <si>
    <t>10443 A</t>
  </si>
  <si>
    <t>10517 A</t>
  </si>
  <si>
    <t>10099A</t>
  </si>
  <si>
    <t xml:space="preserve">24-Sep --29-Sep </t>
  </si>
  <si>
    <t>10828 A</t>
  </si>
  <si>
    <t>efectivo NLP</t>
  </si>
  <si>
    <t xml:space="preserve">LUZ 28-Sep </t>
  </si>
  <si>
    <t>11070 A</t>
  </si>
  <si>
    <t>10662 A</t>
  </si>
  <si>
    <t>BALANCE       DE      OCTUBRE          2015    11  S U R   ( 2 )</t>
  </si>
  <si>
    <t xml:space="preserve">LUZ </t>
  </si>
  <si>
    <t>REMISIONES  11 SUR    OCTUBRE        2015</t>
  </si>
  <si>
    <t>11321 A</t>
  </si>
  <si>
    <t xml:space="preserve">29-Sep --03-Oct </t>
  </si>
  <si>
    <t>camara de comercio</t>
  </si>
  <si>
    <t>11470 A</t>
  </si>
  <si>
    <t>11471 A</t>
  </si>
  <si>
    <t>11521 A</t>
  </si>
  <si>
    <t>11742 A</t>
  </si>
  <si>
    <t>11830 A</t>
  </si>
  <si>
    <t>11782 A</t>
  </si>
  <si>
    <t>11835 A</t>
  </si>
  <si>
    <t>11946 A</t>
  </si>
  <si>
    <t>12012 A</t>
  </si>
  <si>
    <t>12084 A</t>
  </si>
  <si>
    <t>12184 A</t>
  </si>
  <si>
    <t>12248 A</t>
  </si>
  <si>
    <t>12338 A</t>
  </si>
  <si>
    <t>03-Oct --12-Oct</t>
  </si>
  <si>
    <t>NOMINA 41</t>
  </si>
  <si>
    <t>NOMINA 42</t>
  </si>
  <si>
    <t>NOMINA 43</t>
  </si>
  <si>
    <t>SERGIO 4-10</t>
  </si>
  <si>
    <t>pechuga---chorizo</t>
  </si>
  <si>
    <t>HAMBURGUESA</t>
  </si>
  <si>
    <t>pollo--condimentos</t>
  </si>
  <si>
    <t>pollo---chorizo</t>
  </si>
  <si>
    <t>12376 A</t>
  </si>
  <si>
    <t>12517 A</t>
  </si>
  <si>
    <t>12591 A</t>
  </si>
  <si>
    <t>12599 A</t>
  </si>
  <si>
    <t xml:space="preserve">VENTAS DE 11 SUR </t>
  </si>
  <si>
    <t>OCT,2014</t>
  </si>
  <si>
    <t>NOV,2014</t>
  </si>
  <si>
    <t>Dic,2014</t>
  </si>
  <si>
    <t>ENERO,2015</t>
  </si>
  <si>
    <t>FEBRERO,2015</t>
  </si>
  <si>
    <t>MARZO,2015</t>
  </si>
  <si>
    <t>ABRIL .,2015</t>
  </si>
  <si>
    <t>MAYO,2015</t>
  </si>
  <si>
    <t>JUNIO.,2015</t>
  </si>
  <si>
    <t>JULIO.,2015</t>
  </si>
  <si>
    <t>AGOSTO,.2015</t>
  </si>
  <si>
    <t>SEPTIEMBRE.,2015</t>
  </si>
  <si>
    <t>ENERO,2014  a   SEPT 2014</t>
  </si>
  <si>
    <t>NO ME DIERON LA INFORMACION</t>
  </si>
  <si>
    <t>12271 A</t>
  </si>
  <si>
    <t>12669 A</t>
  </si>
  <si>
    <t>13007 A</t>
  </si>
  <si>
    <t>13090 A</t>
  </si>
  <si>
    <t>13176 A</t>
  </si>
  <si>
    <t>13223 A</t>
  </si>
  <si>
    <t>sin remision</t>
  </si>
  <si>
    <t>Sin remision</t>
  </si>
  <si>
    <t xml:space="preserve">12-Oct --19-Oct </t>
  </si>
  <si>
    <t>13378 A</t>
  </si>
  <si>
    <t xml:space="preserve">ELIAS 07-Oct </t>
  </si>
  <si>
    <t xml:space="preserve">ELIAS 4-Oct </t>
  </si>
  <si>
    <t xml:space="preserve">ELIAS 2-Oct </t>
  </si>
  <si>
    <t xml:space="preserve">ELIAS 13-Oct </t>
  </si>
  <si>
    <t>llanta 13-Oct</t>
  </si>
  <si>
    <t>Bascula 13-Oct</t>
  </si>
  <si>
    <t>Fumigacion 15-Oct</t>
  </si>
  <si>
    <t>Ayuntamiento mordida</t>
  </si>
  <si>
    <t>13622 A</t>
  </si>
  <si>
    <t xml:space="preserve">19-Oct --23-Oct </t>
  </si>
  <si>
    <t>13718 A</t>
  </si>
  <si>
    <t>13887 A</t>
  </si>
  <si>
    <t>14074 A</t>
  </si>
  <si>
    <t>14217 A</t>
  </si>
  <si>
    <t>14336 A</t>
  </si>
  <si>
    <t>14013 A</t>
  </si>
  <si>
    <t>14467 A</t>
  </si>
  <si>
    <t xml:space="preserve">23-Oct ---29 Oct </t>
  </si>
  <si>
    <t>14761 A</t>
  </si>
  <si>
    <t>14982 A</t>
  </si>
  <si>
    <t>14594-A</t>
  </si>
  <si>
    <t>14595 A</t>
  </si>
  <si>
    <t>REMISIONES  11 SUR    NOVIEMBRE         2015</t>
  </si>
  <si>
    <t>15252 A</t>
  </si>
  <si>
    <t>15253 A</t>
  </si>
  <si>
    <t xml:space="preserve">29-Oct --04-Nov </t>
  </si>
  <si>
    <t>15321 A</t>
  </si>
  <si>
    <t>15588 A</t>
  </si>
  <si>
    <t>15595 A</t>
  </si>
  <si>
    <t>15764 A</t>
  </si>
  <si>
    <t>15839 A</t>
  </si>
  <si>
    <t xml:space="preserve">ELIAS 23-Oct </t>
  </si>
  <si>
    <t xml:space="preserve">ELIAS 25-Oct </t>
  </si>
  <si>
    <t>POLLO*CEBOLLA-PEREJIL</t>
  </si>
  <si>
    <t>faltan ELIAS</t>
  </si>
  <si>
    <t xml:space="preserve">04-Nov --10-Nov </t>
  </si>
  <si>
    <t>16207 A</t>
  </si>
  <si>
    <t>16037 A</t>
  </si>
  <si>
    <t>15983 A</t>
  </si>
  <si>
    <t>16336 A</t>
  </si>
  <si>
    <t xml:space="preserve">10-Nov --12-Nov </t>
  </si>
  <si>
    <t>16431 A</t>
  </si>
  <si>
    <t>16582 A</t>
  </si>
  <si>
    <t>16748 A</t>
  </si>
  <si>
    <t>16751 A</t>
  </si>
  <si>
    <t>resto</t>
  </si>
  <si>
    <t xml:space="preserve">12-Nov--13-Nov </t>
  </si>
  <si>
    <t>BALANCE       DE      NOVIEMBRE           2015    11  S U R   ( 2 )</t>
  </si>
  <si>
    <t>NOMINA 44</t>
  </si>
  <si>
    <t>NOMINA 45</t>
  </si>
  <si>
    <t>NOMINA 46</t>
  </si>
  <si>
    <t>NOMINA 47</t>
  </si>
  <si>
    <t>faltan Elias</t>
  </si>
  <si>
    <t xml:space="preserve">Elias 03-Nov </t>
  </si>
  <si>
    <t>POLLO-CHORIZO -SALSA</t>
  </si>
  <si>
    <t>arabe</t>
  </si>
  <si>
    <t xml:space="preserve">Elias 06-Nov </t>
  </si>
  <si>
    <t xml:space="preserve">Bascula 11-Nov </t>
  </si>
  <si>
    <t xml:space="preserve">Fumigacion 11-Nov </t>
  </si>
  <si>
    <t xml:space="preserve">CAMARAS 12-Nov </t>
  </si>
  <si>
    <t>16653 A</t>
  </si>
  <si>
    <t>16990 A</t>
  </si>
  <si>
    <t>17208 A</t>
  </si>
  <si>
    <t>17323 A</t>
  </si>
  <si>
    <t>salsa</t>
  </si>
  <si>
    <t xml:space="preserve">13-Nov --19-Nov </t>
  </si>
  <si>
    <t>transfer</t>
  </si>
  <si>
    <t xml:space="preserve">Elias 08-Nov </t>
  </si>
  <si>
    <t>FALTA PAGO SERGIO</t>
  </si>
  <si>
    <t xml:space="preserve">Elias 15-Nov </t>
  </si>
  <si>
    <t>PRESTAMO EN 5 SEMANAS</t>
  </si>
  <si>
    <t xml:space="preserve">ELIAS  17-Nov </t>
  </si>
  <si>
    <t>pollo---maiz</t>
  </si>
  <si>
    <t>17823 A</t>
  </si>
  <si>
    <t>17690 A</t>
  </si>
  <si>
    <t>17978 A</t>
  </si>
  <si>
    <t>18087 A</t>
  </si>
  <si>
    <t xml:space="preserve">Folio 2195 --19-Nov --24-Nov </t>
  </si>
  <si>
    <t>18478 A</t>
  </si>
  <si>
    <t>18796 A</t>
  </si>
  <si>
    <t xml:space="preserve">Pollo-chorizo  </t>
  </si>
  <si>
    <t xml:space="preserve">Elias 25-Nov </t>
  </si>
  <si>
    <t>prestamo   MARCOS  2.500.00</t>
  </si>
  <si>
    <t>18308 A</t>
  </si>
  <si>
    <t>18577 A</t>
  </si>
  <si>
    <t>18970 A</t>
  </si>
  <si>
    <t>18991 A</t>
  </si>
  <si>
    <t>19137 A</t>
  </si>
  <si>
    <t>REMISIONES  11 SUR    DICIEMBRE          2015</t>
  </si>
  <si>
    <t>19327 A</t>
  </si>
  <si>
    <t>Resto</t>
  </si>
  <si>
    <t>Abono</t>
  </si>
  <si>
    <t xml:space="preserve">24-Nov--02-Dic </t>
  </si>
  <si>
    <t>DEBO  $ 425.00</t>
  </si>
  <si>
    <t>19417 A</t>
  </si>
  <si>
    <t>19624 A</t>
  </si>
  <si>
    <t>19707 A</t>
  </si>
  <si>
    <t>RESTO</t>
  </si>
  <si>
    <t>DEBO</t>
  </si>
  <si>
    <t xml:space="preserve">02-Dic --05-Dic </t>
  </si>
  <si>
    <t>19967 A</t>
  </si>
  <si>
    <t>20354 A</t>
  </si>
  <si>
    <t>20672 A</t>
  </si>
  <si>
    <t>20794 A</t>
  </si>
  <si>
    <t>21055 A</t>
  </si>
  <si>
    <t>21064 A</t>
  </si>
  <si>
    <t>21067 A</t>
  </si>
  <si>
    <t>21106 A</t>
  </si>
  <si>
    <t>21226 A</t>
  </si>
  <si>
    <t>21514 A</t>
  </si>
  <si>
    <t>21784A</t>
  </si>
  <si>
    <t xml:space="preserve">05-Dic --18-Dic </t>
  </si>
  <si>
    <t>BALANCE       DE      DICIEMBRE            2015    11  S U R   ( 2 )</t>
  </si>
  <si>
    <t xml:space="preserve">CAMARAS </t>
  </si>
  <si>
    <t xml:space="preserve">Bascula </t>
  </si>
  <si>
    <t>NOMINA 48</t>
  </si>
  <si>
    <t>NOMINA 49</t>
  </si>
  <si>
    <t>NOMINA 50</t>
  </si>
  <si>
    <t>NOMINA 51</t>
  </si>
  <si>
    <t>NOMINA 52</t>
  </si>
  <si>
    <t>salsa arabe</t>
  </si>
  <si>
    <t xml:space="preserve">ELIAS 22-Nov </t>
  </si>
  <si>
    <t>Dev mal cobro</t>
  </si>
  <si>
    <t>ajo --perejil</t>
  </si>
  <si>
    <t xml:space="preserve">ELIAS </t>
  </si>
  <si>
    <t xml:space="preserve">Elias 29-Nov </t>
  </si>
  <si>
    <t>liquidado</t>
  </si>
  <si>
    <t>chorizo--perejil</t>
  </si>
  <si>
    <t>Maiz-pollo--</t>
  </si>
  <si>
    <t>faltante</t>
  </si>
  <si>
    <t xml:space="preserve">ELIAS 6-Dic </t>
  </si>
  <si>
    <t xml:space="preserve">Fumigacion 09-Dic </t>
  </si>
  <si>
    <t xml:space="preserve">ELIAS 13-Dic </t>
  </si>
  <si>
    <t xml:space="preserve">Elias 14-Dic </t>
  </si>
  <si>
    <t>pollo--arabe</t>
  </si>
  <si>
    <t xml:space="preserve">ELIAS 16-Dic </t>
  </si>
  <si>
    <t>pollo--pejil</t>
  </si>
  <si>
    <t>22084 A</t>
  </si>
  <si>
    <t>21454 A</t>
  </si>
  <si>
    <t>22384 A</t>
  </si>
  <si>
    <t>22534 A</t>
  </si>
  <si>
    <t>22780 A</t>
  </si>
  <si>
    <t>22962 A</t>
  </si>
  <si>
    <t>23180A</t>
  </si>
  <si>
    <t xml:space="preserve">11 SUR </t>
  </si>
  <si>
    <t>VENTAS BRUTAS</t>
  </si>
  <si>
    <t>COMERCIO</t>
  </si>
  <si>
    <t>HERERADURA</t>
  </si>
  <si>
    <t>CENTRAL</t>
  </si>
  <si>
    <t>23517 A</t>
  </si>
  <si>
    <t>23518 A</t>
  </si>
  <si>
    <t>21784 A</t>
  </si>
  <si>
    <t>22083 A</t>
  </si>
  <si>
    <t xml:space="preserve">18-Dic --30-Dic </t>
  </si>
  <si>
    <t>23455 A</t>
  </si>
  <si>
    <t>23856 A</t>
  </si>
  <si>
    <t>23861 A</t>
  </si>
  <si>
    <t>23972 A</t>
  </si>
  <si>
    <t>pollo-cebolla</t>
  </si>
  <si>
    <t xml:space="preserve">Maiz </t>
  </si>
  <si>
    <t>pollo--cebolla</t>
  </si>
  <si>
    <t>bocina-microfono</t>
  </si>
  <si>
    <t>maiz-cebolla</t>
  </si>
  <si>
    <t xml:space="preserve">chorizo  </t>
  </si>
  <si>
    <t xml:space="preserve">30-Dic --16-Ene </t>
  </si>
  <si>
    <t xml:space="preserve">ELIAS 31-Dic </t>
  </si>
  <si>
    <t xml:space="preserve">ELIAS 20-Dic </t>
  </si>
  <si>
    <t xml:space="preserve">DEBE ELIAS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</si>
</sst>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.00"/>
    <numFmt numFmtId="165" formatCode="[$-C0A]dd\-mmm\-yy;@"/>
    <numFmt numFmtId="166" formatCode="[$$-80A]#,##0.00"/>
    <numFmt numFmtId="167" formatCode="[$-C0A]d\-mmm\-yy;@"/>
  </numFmts>
  <fonts count="5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0B0F0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b/>
      <sz val="11"/>
      <color theme="1"/>
      <name val="Calibri"/>
      <family val="2"/>
    </font>
    <font>
      <b/>
      <sz val="11"/>
      <color indexed="8"/>
      <name val="Calibri"/>
      <family val="2"/>
    </font>
    <font>
      <b/>
      <sz val="14"/>
      <color theme="1"/>
      <name val="Calibri"/>
      <family val="2"/>
    </font>
    <font>
      <b/>
      <sz val="12"/>
      <color rgb="FF0000FF"/>
      <name val="Cambria"/>
      <family val="1"/>
      <scheme val="major"/>
    </font>
    <font>
      <b/>
      <i/>
      <u/>
      <sz val="11"/>
      <color theme="1"/>
      <name val="Cambria"/>
      <family val="1"/>
      <scheme val="major"/>
    </font>
    <font>
      <b/>
      <sz val="11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theme="8" tint="-0.249977111117893"/>
      <name val="Calibri"/>
      <family val="2"/>
    </font>
    <font>
      <b/>
      <sz val="8"/>
      <color theme="8" tint="-0.249977111117893"/>
      <name val="Calibri"/>
      <family val="2"/>
    </font>
    <font>
      <b/>
      <sz val="11"/>
      <color theme="8" tint="-0.249977111117893"/>
      <name val="Calibri"/>
      <family val="2"/>
      <scheme val="minor"/>
    </font>
    <font>
      <b/>
      <sz val="11"/>
      <color rgb="FF0000FF"/>
      <name val="Calibri"/>
      <family val="2"/>
    </font>
    <font>
      <b/>
      <sz val="8"/>
      <color rgb="FF0000FF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8"/>
      <color rgb="FF0000FF"/>
      <name val="Calibri"/>
      <family val="2"/>
    </font>
    <font>
      <sz val="8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mbria"/>
      <family val="1"/>
      <scheme val="major"/>
    </font>
    <font>
      <sz val="12"/>
      <color rgb="FF0000FF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8"/>
      <color rgb="FF00B0F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u/>
      <sz val="18"/>
      <color theme="0"/>
      <name val="Calibri"/>
      <family val="2"/>
      <scheme val="minor"/>
    </font>
    <font>
      <b/>
      <sz val="9"/>
      <color rgb="FF0000FF"/>
      <name val="Calibri"/>
      <family val="2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66CC"/>
        <bgColor indexed="64"/>
      </patternFill>
    </fill>
  </fills>
  <borders count="8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Dashed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 style="thick">
        <color indexed="64"/>
      </left>
      <right style="mediumDashed">
        <color indexed="64"/>
      </right>
      <top style="double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  <border>
      <left style="mediumDashed">
        <color indexed="64"/>
      </left>
      <right style="double">
        <color indexed="64"/>
      </right>
      <top style="double">
        <color auto="1"/>
      </top>
      <bottom/>
      <diagonal/>
    </border>
    <border>
      <left style="mediumDashed">
        <color indexed="64"/>
      </left>
      <right style="double">
        <color indexed="64"/>
      </right>
      <top/>
      <bottom/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mediumDashed">
        <color auto="1"/>
      </left>
      <right style="thick">
        <color auto="1"/>
      </right>
      <top style="mediumDashed">
        <color auto="1"/>
      </top>
      <bottom style="thin">
        <color auto="1"/>
      </bottom>
      <diagonal/>
    </border>
    <border>
      <left/>
      <right style="mediumDashed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mediumDashed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indexed="64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indexed="64"/>
      </right>
      <top style="thin">
        <color auto="1"/>
      </top>
      <bottom style="thin">
        <color auto="1"/>
      </bottom>
      <diagonal/>
    </border>
    <border>
      <left/>
      <right style="double">
        <color indexed="64"/>
      </right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mediumDashed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thick">
        <color auto="1"/>
      </right>
      <top/>
      <bottom/>
      <diagonal/>
    </border>
    <border>
      <left style="mediumDashDot">
        <color auto="1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</borders>
  <cellStyleXfs count="2">
    <xf numFmtId="0" fontId="0" fillId="0" borderId="0"/>
    <xf numFmtId="44" fontId="15" fillId="0" borderId="0" applyFont="0" applyFill="0" applyBorder="0" applyAlignment="0" applyProtection="0"/>
  </cellStyleXfs>
  <cellXfs count="852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 applyBorder="1" applyAlignment="1">
      <alignment horizontal="center"/>
    </xf>
    <xf numFmtId="164" fontId="1" fillId="0" borderId="0" xfId="0" applyNumberFormat="1" applyFont="1"/>
    <xf numFmtId="0" fontId="1" fillId="0" borderId="0" xfId="0" applyFont="1"/>
    <xf numFmtId="0" fontId="3" fillId="0" borderId="0" xfId="0" applyFont="1"/>
    <xf numFmtId="164" fontId="0" fillId="0" borderId="11" xfId="0" applyNumberFormat="1" applyBorder="1"/>
    <xf numFmtId="0" fontId="0" fillId="0" borderId="10" xfId="0" applyBorder="1"/>
    <xf numFmtId="0" fontId="0" fillId="0" borderId="12" xfId="0" applyBorder="1"/>
    <xf numFmtId="164" fontId="0" fillId="0" borderId="13" xfId="0" applyNumberFormat="1" applyBorder="1"/>
    <xf numFmtId="0" fontId="0" fillId="0" borderId="15" xfId="0" applyBorder="1"/>
    <xf numFmtId="0" fontId="4" fillId="0" borderId="0" xfId="0" applyFont="1" applyAlignment="1">
      <alignment horizontal="center"/>
    </xf>
    <xf numFmtId="0" fontId="0" fillId="0" borderId="0" xfId="0" applyBorder="1"/>
    <xf numFmtId="0" fontId="4" fillId="0" borderId="1" xfId="0" applyFont="1" applyBorder="1"/>
    <xf numFmtId="0" fontId="8" fillId="0" borderId="1" xfId="0" applyFont="1" applyBorder="1"/>
    <xf numFmtId="0" fontId="0" fillId="0" borderId="9" xfId="0" applyBorder="1"/>
    <xf numFmtId="0" fontId="0" fillId="0" borderId="23" xfId="0" applyBorder="1"/>
    <xf numFmtId="164" fontId="1" fillId="0" borderId="0" xfId="0" applyNumberFormat="1" applyFont="1" applyAlignment="1">
      <alignment horizontal="center"/>
    </xf>
    <xf numFmtId="0" fontId="0" fillId="0" borderId="24" xfId="0" applyBorder="1"/>
    <xf numFmtId="164" fontId="0" fillId="0" borderId="0" xfId="0" applyNumberFormat="1" applyFill="1" applyBorder="1"/>
    <xf numFmtId="16" fontId="0" fillId="0" borderId="0" xfId="0" applyNumberFormat="1"/>
    <xf numFmtId="16" fontId="0" fillId="0" borderId="11" xfId="0" applyNumberFormat="1" applyBorder="1" applyAlignment="1">
      <alignment horizontal="center"/>
    </xf>
    <xf numFmtId="16" fontId="0" fillId="0" borderId="0" xfId="0" applyNumberFormat="1" applyFill="1" applyBorder="1" applyAlignment="1">
      <alignment horizontal="center"/>
    </xf>
    <xf numFmtId="164" fontId="0" fillId="0" borderId="0" xfId="0" applyNumberFormat="1" applyFill="1"/>
    <xf numFmtId="0" fontId="0" fillId="0" borderId="0" xfId="0" applyFill="1"/>
    <xf numFmtId="15" fontId="0" fillId="0" borderId="14" xfId="0" applyNumberFormat="1" applyFill="1" applyBorder="1"/>
    <xf numFmtId="16" fontId="0" fillId="0" borderId="15" xfId="0" applyNumberFormat="1" applyBorder="1"/>
    <xf numFmtId="15" fontId="0" fillId="0" borderId="10" xfId="0" applyNumberFormat="1" applyFill="1" applyBorder="1"/>
    <xf numFmtId="15" fontId="0" fillId="0" borderId="15" xfId="0" applyNumberFormat="1" applyFill="1" applyBorder="1"/>
    <xf numFmtId="164" fontId="9" fillId="0" borderId="0" xfId="0" applyNumberFormat="1" applyFont="1" applyFill="1"/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164" fontId="5" fillId="0" borderId="0" xfId="0" applyNumberFormat="1" applyFont="1" applyFill="1"/>
    <xf numFmtId="164" fontId="14" fillId="0" borderId="0" xfId="0" applyNumberFormat="1" applyFont="1"/>
    <xf numFmtId="0" fontId="0" fillId="0" borderId="29" xfId="0" applyBorder="1"/>
    <xf numFmtId="0" fontId="10" fillId="0" borderId="0" xfId="0" applyFont="1" applyBorder="1"/>
    <xf numFmtId="16" fontId="0" fillId="0" borderId="0" xfId="0" applyNumberFormat="1" applyBorder="1"/>
    <xf numFmtId="165" fontId="0" fillId="0" borderId="0" xfId="0" applyNumberFormat="1" applyAlignment="1">
      <alignment horizontal="center"/>
    </xf>
    <xf numFmtId="165" fontId="0" fillId="0" borderId="18" xfId="0" applyNumberFormat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165" fontId="5" fillId="0" borderId="18" xfId="0" applyNumberFormat="1" applyFont="1" applyBorder="1" applyAlignment="1">
      <alignment horizontal="center"/>
    </xf>
    <xf numFmtId="165" fontId="4" fillId="0" borderId="6" xfId="0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44" fontId="0" fillId="0" borderId="0" xfId="1" applyFont="1"/>
    <xf numFmtId="44" fontId="2" fillId="0" borderId="19" xfId="1" applyFont="1" applyBorder="1" applyAlignment="1">
      <alignment horizontal="center"/>
    </xf>
    <xf numFmtId="44" fontId="1" fillId="0" borderId="5" xfId="1" applyFont="1" applyFill="1" applyBorder="1"/>
    <xf numFmtId="44" fontId="0" fillId="0" borderId="5" xfId="1" applyFont="1" applyBorder="1"/>
    <xf numFmtId="44" fontId="1" fillId="0" borderId="7" xfId="1" applyFont="1" applyBorder="1"/>
    <xf numFmtId="44" fontId="3" fillId="0" borderId="0" xfId="1" applyFont="1"/>
    <xf numFmtId="44" fontId="0" fillId="0" borderId="0" xfId="1" applyFont="1" applyFill="1" applyBorder="1"/>
    <xf numFmtId="44" fontId="1" fillId="0" borderId="0" xfId="1" applyFont="1" applyAlignment="1">
      <alignment horizontal="center"/>
    </xf>
    <xf numFmtId="44" fontId="1" fillId="0" borderId="11" xfId="1" applyFont="1" applyFill="1" applyBorder="1"/>
    <xf numFmtId="44" fontId="0" fillId="0" borderId="11" xfId="1" applyFont="1" applyBorder="1"/>
    <xf numFmtId="44" fontId="0" fillId="0" borderId="13" xfId="1" applyFont="1" applyBorder="1"/>
    <xf numFmtId="44" fontId="4" fillId="0" borderId="0" xfId="1" applyFont="1"/>
    <xf numFmtId="44" fontId="0" fillId="0" borderId="0" xfId="1" applyFont="1" applyBorder="1"/>
    <xf numFmtId="44" fontId="1" fillId="0" borderId="0" xfId="1" applyFont="1" applyBorder="1"/>
    <xf numFmtId="44" fontId="0" fillId="0" borderId="24" xfId="1" applyFont="1" applyBorder="1"/>
    <xf numFmtId="44" fontId="1" fillId="0" borderId="0" xfId="1" applyFont="1"/>
    <xf numFmtId="44" fontId="4" fillId="0" borderId="28" xfId="1" applyFont="1" applyBorder="1"/>
    <xf numFmtId="44" fontId="1" fillId="0" borderId="32" xfId="1" applyFont="1" applyFill="1" applyBorder="1"/>
    <xf numFmtId="44" fontId="1" fillId="0" borderId="33" xfId="1" applyFont="1" applyFill="1" applyBorder="1"/>
    <xf numFmtId="44" fontId="1" fillId="0" borderId="16" xfId="1" applyFont="1" applyFill="1" applyBorder="1"/>
    <xf numFmtId="44" fontId="0" fillId="0" borderId="16" xfId="1" applyFont="1" applyBorder="1"/>
    <xf numFmtId="44" fontId="0" fillId="0" borderId="17" xfId="1" applyFont="1" applyBorder="1"/>
    <xf numFmtId="44" fontId="6" fillId="0" borderId="0" xfId="1" applyFont="1" applyAlignment="1">
      <alignment horizontal="center" vertical="center" wrapText="1"/>
    </xf>
    <xf numFmtId="44" fontId="1" fillId="0" borderId="20" xfId="1" applyFont="1" applyBorder="1"/>
    <xf numFmtId="164" fontId="1" fillId="0" borderId="11" xfId="0" applyNumberFormat="1" applyFont="1" applyBorder="1"/>
    <xf numFmtId="0" fontId="6" fillId="0" borderId="34" xfId="0" applyFont="1" applyBorder="1"/>
    <xf numFmtId="164" fontId="10" fillId="0" borderId="0" xfId="0" applyNumberFormat="1" applyFont="1" applyFill="1"/>
    <xf numFmtId="0" fontId="0" fillId="0" borderId="0" xfId="0" applyFill="1" applyBorder="1" applyAlignment="1"/>
    <xf numFmtId="0" fontId="0" fillId="0" borderId="0" xfId="0" applyAlignment="1"/>
    <xf numFmtId="0" fontId="0" fillId="0" borderId="0" xfId="0" applyFill="1" applyBorder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4" fontId="1" fillId="0" borderId="11" xfId="1" applyFont="1" applyBorder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0" fillId="0" borderId="0" xfId="0" applyFont="1" applyFill="1"/>
    <xf numFmtId="0" fontId="16" fillId="0" borderId="1" xfId="0" applyFont="1" applyBorder="1"/>
    <xf numFmtId="44" fontId="1" fillId="0" borderId="29" xfId="1" applyFont="1" applyFill="1" applyBorder="1"/>
    <xf numFmtId="44" fontId="1" fillId="0" borderId="0" xfId="1" applyFont="1" applyFill="1" applyBorder="1"/>
    <xf numFmtId="44" fontId="17" fillId="0" borderId="0" xfId="1" applyFont="1" applyFill="1" applyBorder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6" fontId="0" fillId="0" borderId="11" xfId="0" applyNumberFormat="1" applyBorder="1"/>
    <xf numFmtId="166" fontId="1" fillId="0" borderId="11" xfId="0" applyNumberFormat="1" applyFont="1" applyBorder="1" applyAlignment="1">
      <alignment horizontal="right"/>
    </xf>
    <xf numFmtId="166" fontId="1" fillId="0" borderId="0" xfId="0" applyNumberFormat="1" applyFont="1" applyFill="1" applyBorder="1" applyAlignment="1">
      <alignment horizontal="right"/>
    </xf>
    <xf numFmtId="44" fontId="1" fillId="0" borderId="37" xfId="1" applyFont="1" applyFill="1" applyBorder="1"/>
    <xf numFmtId="44" fontId="1" fillId="0" borderId="38" xfId="1" applyFont="1" applyFill="1" applyBorder="1"/>
    <xf numFmtId="44" fontId="0" fillId="0" borderId="38" xfId="1" applyFont="1" applyBorder="1"/>
    <xf numFmtId="44" fontId="1" fillId="3" borderId="11" xfId="1" applyFont="1" applyFill="1" applyBorder="1"/>
    <xf numFmtId="44" fontId="1" fillId="3" borderId="5" xfId="1" applyFont="1" applyFill="1" applyBorder="1"/>
    <xf numFmtId="44" fontId="1" fillId="3" borderId="16" xfId="1" applyFont="1" applyFill="1" applyBorder="1"/>
    <xf numFmtId="0" fontId="1" fillId="3" borderId="0" xfId="0" applyFont="1" applyFill="1" applyBorder="1" applyAlignment="1"/>
    <xf numFmtId="164" fontId="0" fillId="0" borderId="0" xfId="0" applyNumberFormat="1" applyFont="1" applyFill="1"/>
    <xf numFmtId="44" fontId="3" fillId="0" borderId="20" xfId="1" applyFont="1" applyBorder="1"/>
    <xf numFmtId="44" fontId="18" fillId="0" borderId="0" xfId="1" applyFont="1" applyFill="1" applyBorder="1"/>
    <xf numFmtId="0" fontId="11" fillId="0" borderId="0" xfId="0" applyFont="1"/>
    <xf numFmtId="44" fontId="0" fillId="0" borderId="4" xfId="1" applyFont="1" applyBorder="1"/>
    <xf numFmtId="44" fontId="0" fillId="2" borderId="5" xfId="1" applyFont="1" applyFill="1" applyBorder="1"/>
    <xf numFmtId="44" fontId="0" fillId="0" borderId="5" xfId="1" applyFont="1" applyFill="1" applyBorder="1"/>
    <xf numFmtId="44" fontId="0" fillId="0" borderId="7" xfId="1" applyFont="1" applyBorder="1"/>
    <xf numFmtId="164" fontId="6" fillId="0" borderId="0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9" fillId="0" borderId="0" xfId="0" applyFont="1"/>
    <xf numFmtId="0" fontId="19" fillId="3" borderId="0" xfId="0" applyFont="1" applyFill="1"/>
    <xf numFmtId="165" fontId="0" fillId="3" borderId="0" xfId="0" applyNumberFormat="1" applyFill="1" applyAlignment="1">
      <alignment horizontal="center"/>
    </xf>
    <xf numFmtId="0" fontId="20" fillId="0" borderId="0" xfId="0" applyFont="1"/>
    <xf numFmtId="0" fontId="0" fillId="0" borderId="0" xfId="0" applyAlignment="1">
      <alignment horizontal="center"/>
    </xf>
    <xf numFmtId="44" fontId="21" fillId="3" borderId="0" xfId="1" applyFont="1" applyFill="1" applyAlignment="1">
      <alignment horizontal="center"/>
    </xf>
    <xf numFmtId="44" fontId="19" fillId="0" borderId="0" xfId="1" applyFont="1"/>
    <xf numFmtId="44" fontId="0" fillId="0" borderId="40" xfId="1" applyFont="1" applyBorder="1"/>
    <xf numFmtId="44" fontId="0" fillId="0" borderId="41" xfId="1" applyFont="1" applyBorder="1"/>
    <xf numFmtId="44" fontId="0" fillId="0" borderId="41" xfId="1" applyFont="1" applyFill="1" applyBorder="1"/>
    <xf numFmtId="164" fontId="0" fillId="0" borderId="24" xfId="0" applyNumberFormat="1" applyBorder="1"/>
    <xf numFmtId="165" fontId="18" fillId="0" borderId="1" xfId="0" applyNumberFormat="1" applyFont="1" applyBorder="1" applyAlignment="1">
      <alignment horizontal="center"/>
    </xf>
    <xf numFmtId="44" fontId="1" fillId="0" borderId="42" xfId="1" applyFont="1" applyFill="1" applyBorder="1"/>
    <xf numFmtId="0" fontId="1" fillId="0" borderId="24" xfId="0" applyFont="1" applyBorder="1"/>
    <xf numFmtId="44" fontId="1" fillId="0" borderId="24" xfId="1" applyFont="1" applyBorder="1"/>
    <xf numFmtId="0" fontId="0" fillId="0" borderId="29" xfId="0" applyFill="1" applyBorder="1"/>
    <xf numFmtId="0" fontId="0" fillId="0" borderId="9" xfId="0" applyFill="1" applyBorder="1"/>
    <xf numFmtId="164" fontId="0" fillId="0" borderId="11" xfId="0" applyNumberFormat="1" applyFill="1" applyBorder="1"/>
    <xf numFmtId="164" fontId="1" fillId="0" borderId="11" xfId="0" applyNumberFormat="1" applyFont="1" applyFill="1" applyBorder="1"/>
    <xf numFmtId="166" fontId="1" fillId="0" borderId="11" xfId="0" applyNumberFormat="1" applyFont="1" applyFill="1" applyBorder="1"/>
    <xf numFmtId="0" fontId="10" fillId="0" borderId="0" xfId="0" applyFont="1" applyFill="1" applyBorder="1"/>
    <xf numFmtId="166" fontId="1" fillId="0" borderId="11" xfId="1" applyNumberFormat="1" applyFont="1" applyFill="1" applyBorder="1" applyAlignment="1">
      <alignment horizontal="right"/>
    </xf>
    <xf numFmtId="166" fontId="1" fillId="0" borderId="11" xfId="0" applyNumberFormat="1" applyFont="1" applyFill="1" applyBorder="1" applyAlignment="1">
      <alignment horizontal="right"/>
    </xf>
    <xf numFmtId="16" fontId="9" fillId="0" borderId="0" xfId="0" applyNumberFormat="1" applyFont="1" applyFill="1" applyBorder="1"/>
    <xf numFmtId="16" fontId="0" fillId="0" borderId="15" xfId="0" applyNumberFormat="1" applyFill="1" applyBorder="1"/>
    <xf numFmtId="0" fontId="0" fillId="0" borderId="15" xfId="0" applyFill="1" applyBorder="1"/>
    <xf numFmtId="0" fontId="19" fillId="4" borderId="0" xfId="0" applyFont="1" applyFill="1"/>
    <xf numFmtId="165" fontId="0" fillId="4" borderId="0" xfId="0" applyNumberFormat="1" applyFill="1" applyAlignment="1">
      <alignment horizontal="center"/>
    </xf>
    <xf numFmtId="0" fontId="0" fillId="0" borderId="3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8" xfId="0" applyBorder="1" applyAlignment="1">
      <alignment horizontal="center"/>
    </xf>
    <xf numFmtId="44" fontId="1" fillId="0" borderId="11" xfId="1" applyFont="1" applyBorder="1"/>
    <xf numFmtId="44" fontId="4" fillId="0" borderId="0" xfId="1" applyFont="1" applyBorder="1"/>
    <xf numFmtId="0" fontId="1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 applyBorder="1" applyAlignment="1">
      <alignment horizontal="center" vertical="center" wrapText="1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5" fontId="17" fillId="0" borderId="18" xfId="0" applyNumberFormat="1" applyFont="1" applyBorder="1" applyAlignment="1">
      <alignment horizontal="right"/>
    </xf>
    <xf numFmtId="44" fontId="1" fillId="0" borderId="5" xfId="1" applyFont="1" applyBorder="1"/>
    <xf numFmtId="0" fontId="4" fillId="0" borderId="30" xfId="0" applyFont="1" applyFill="1" applyBorder="1" applyAlignment="1">
      <alignment horizontal="center"/>
    </xf>
    <xf numFmtId="44" fontId="0" fillId="0" borderId="16" xfId="1" applyFont="1" applyFill="1" applyBorder="1"/>
    <xf numFmtId="44" fontId="17" fillId="0" borderId="15" xfId="1" applyFont="1" applyFill="1" applyBorder="1" applyAlignment="1"/>
    <xf numFmtId="44" fontId="17" fillId="0" borderId="0" xfId="1" applyFont="1" applyFill="1" applyBorder="1" applyAlignment="1"/>
    <xf numFmtId="44" fontId="0" fillId="0" borderId="40" xfId="1" applyFont="1" applyFill="1" applyBorder="1"/>
    <xf numFmtId="0" fontId="0" fillId="0" borderId="0" xfId="0" applyFill="1" applyAlignment="1">
      <alignment horizontal="center"/>
    </xf>
    <xf numFmtId="0" fontId="1" fillId="0" borderId="0" xfId="0" applyFont="1" applyFill="1" applyBorder="1" applyAlignment="1"/>
    <xf numFmtId="0" fontId="0" fillId="0" borderId="43" xfId="0" applyFill="1" applyBorder="1" applyAlignment="1">
      <alignment horizontal="center"/>
    </xf>
    <xf numFmtId="0" fontId="0" fillId="0" borderId="0" xfId="0" applyFont="1"/>
    <xf numFmtId="164" fontId="0" fillId="0" borderId="0" xfId="0" applyNumberFormat="1" applyFont="1"/>
    <xf numFmtId="0" fontId="0" fillId="0" borderId="0" xfId="0" applyFont="1" applyBorder="1"/>
    <xf numFmtId="164" fontId="3" fillId="0" borderId="0" xfId="0" applyNumberFormat="1" applyFont="1" applyBorder="1" applyAlignment="1">
      <alignment horizontal="center" vertical="center" wrapText="1"/>
    </xf>
    <xf numFmtId="0" fontId="0" fillId="0" borderId="24" xfId="0" applyFont="1" applyBorder="1"/>
    <xf numFmtId="164" fontId="0" fillId="0" borderId="0" xfId="0" applyNumberFormat="1" applyFont="1" applyFill="1" applyBorder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5" fontId="0" fillId="0" borderId="0" xfId="1" applyNumberFormat="1" applyFont="1" applyFill="1" applyAlignment="1">
      <alignment horizontal="center"/>
    </xf>
    <xf numFmtId="0" fontId="0" fillId="0" borderId="0" xfId="0" applyFont="1" applyFill="1" applyBorder="1"/>
    <xf numFmtId="44" fontId="1" fillId="2" borderId="5" xfId="1" applyFont="1" applyFill="1" applyBorder="1"/>
    <xf numFmtId="164" fontId="0" fillId="2" borderId="0" xfId="0" applyNumberFormat="1" applyFont="1" applyFill="1"/>
    <xf numFmtId="16" fontId="11" fillId="2" borderId="12" xfId="0" applyNumberFormat="1" applyFont="1" applyFill="1" applyBorder="1"/>
    <xf numFmtId="44" fontId="1" fillId="2" borderId="13" xfId="1" applyFont="1" applyFill="1" applyBorder="1"/>
    <xf numFmtId="44" fontId="1" fillId="2" borderId="0" xfId="1" applyFont="1" applyFill="1" applyBorder="1"/>
    <xf numFmtId="164" fontId="0" fillId="2" borderId="0" xfId="0" applyNumberFormat="1" applyFont="1" applyFill="1" applyBorder="1"/>
    <xf numFmtId="165" fontId="6" fillId="0" borderId="0" xfId="0" applyNumberFormat="1" applyFont="1" applyAlignment="1">
      <alignment horizontal="center"/>
    </xf>
    <xf numFmtId="165" fontId="3" fillId="0" borderId="0" xfId="0" applyNumberFormat="1" applyFont="1"/>
    <xf numFmtId="0" fontId="0" fillId="0" borderId="0" xfId="0" applyFont="1" applyFill="1" applyBorder="1" applyAlignment="1"/>
    <xf numFmtId="165" fontId="0" fillId="0" borderId="0" xfId="1" applyNumberFormat="1" applyFont="1" applyAlignment="1">
      <alignment horizontal="center"/>
    </xf>
    <xf numFmtId="165" fontId="0" fillId="0" borderId="0" xfId="1" applyNumberFormat="1" applyFont="1" applyFill="1" applyBorder="1" applyAlignment="1">
      <alignment horizontal="center"/>
    </xf>
    <xf numFmtId="165" fontId="1" fillId="0" borderId="0" xfId="1" applyNumberFormat="1" applyFont="1" applyFill="1" applyAlignment="1">
      <alignment horizontal="center"/>
    </xf>
    <xf numFmtId="165" fontId="0" fillId="0" borderId="0" xfId="0" applyNumberFormat="1" applyFill="1" applyAlignment="1">
      <alignment horizontal="center"/>
    </xf>
    <xf numFmtId="44" fontId="1" fillId="0" borderId="0" xfId="0" applyNumberFormat="1" applyFont="1"/>
    <xf numFmtId="44" fontId="1" fillId="0" borderId="24" xfId="1" applyFont="1" applyFill="1" applyBorder="1"/>
    <xf numFmtId="44" fontId="1" fillId="4" borderId="5" xfId="1" applyFont="1" applyFill="1" applyBorder="1"/>
    <xf numFmtId="164" fontId="0" fillId="4" borderId="0" xfId="0" applyNumberFormat="1" applyFont="1" applyFill="1"/>
    <xf numFmtId="44" fontId="1" fillId="4" borderId="0" xfId="1" applyFont="1" applyFill="1" applyBorder="1"/>
    <xf numFmtId="164" fontId="0" fillId="4" borderId="0" xfId="0" applyNumberFormat="1" applyFont="1" applyFill="1" applyBorder="1"/>
    <xf numFmtId="44" fontId="1" fillId="4" borderId="11" xfId="1" applyFont="1" applyFill="1" applyBorder="1"/>
    <xf numFmtId="44" fontId="1" fillId="4" borderId="32" xfId="1" applyFont="1" applyFill="1" applyBorder="1"/>
    <xf numFmtId="44" fontId="1" fillId="4" borderId="33" xfId="1" applyFont="1" applyFill="1" applyBorder="1"/>
    <xf numFmtId="0" fontId="0" fillId="4" borderId="0" xfId="0" applyFill="1" applyAlignment="1">
      <alignment horizontal="center"/>
    </xf>
    <xf numFmtId="0" fontId="0" fillId="4" borderId="0" xfId="0" applyFont="1" applyFill="1"/>
    <xf numFmtId="0" fontId="0" fillId="4" borderId="0" xfId="0" applyFont="1" applyFill="1" applyBorder="1"/>
    <xf numFmtId="0" fontId="0" fillId="4" borderId="0" xfId="0" applyFont="1" applyFill="1" applyBorder="1" applyAlignment="1"/>
    <xf numFmtId="0" fontId="9" fillId="0" borderId="0" xfId="0" applyFont="1" applyFill="1" applyBorder="1"/>
    <xf numFmtId="164" fontId="1" fillId="4" borderId="11" xfId="0" applyNumberFormat="1" applyFont="1" applyFill="1" applyBorder="1"/>
    <xf numFmtId="44" fontId="0" fillId="0" borderId="43" xfId="1" applyFont="1" applyFill="1" applyBorder="1" applyAlignment="1">
      <alignment horizontal="center"/>
    </xf>
    <xf numFmtId="44" fontId="0" fillId="0" borderId="0" xfId="1" applyFont="1" applyAlignment="1">
      <alignment horizontal="center"/>
    </xf>
    <xf numFmtId="44" fontId="0" fillId="0" borderId="0" xfId="1" applyFont="1" applyFill="1" applyAlignment="1">
      <alignment horizontal="center"/>
    </xf>
    <xf numFmtId="1" fontId="1" fillId="0" borderId="0" xfId="1" applyNumberFormat="1" applyFont="1" applyFill="1" applyBorder="1" applyAlignment="1">
      <alignment horizontal="center"/>
    </xf>
    <xf numFmtId="165" fontId="24" fillId="0" borderId="0" xfId="0" applyNumberFormat="1" applyFont="1"/>
    <xf numFmtId="44" fontId="13" fillId="0" borderId="1" xfId="1" applyFont="1" applyFill="1" applyBorder="1" applyAlignment="1">
      <alignment horizontal="center"/>
    </xf>
    <xf numFmtId="44" fontId="13" fillId="0" borderId="18" xfId="1" applyFont="1" applyBorder="1" applyAlignment="1">
      <alignment horizontal="center"/>
    </xf>
    <xf numFmtId="44" fontId="0" fillId="0" borderId="0" xfId="0" applyNumberFormat="1"/>
    <xf numFmtId="164" fontId="1" fillId="0" borderId="0" xfId="0" applyNumberFormat="1" applyFont="1" applyFill="1" applyBorder="1"/>
    <xf numFmtId="165" fontId="13" fillId="0" borderId="0" xfId="1" applyNumberFormat="1" applyFont="1" applyFill="1" applyBorder="1" applyAlignment="1">
      <alignment horizontal="center"/>
    </xf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44" fontId="14" fillId="0" borderId="0" xfId="1" applyFont="1"/>
    <xf numFmtId="44" fontId="14" fillId="0" borderId="0" xfId="0" applyNumberFormat="1" applyFont="1"/>
    <xf numFmtId="44" fontId="14" fillId="0" borderId="24" xfId="0" applyNumberFormat="1" applyFont="1" applyBorder="1"/>
    <xf numFmtId="0" fontId="14" fillId="0" borderId="24" xfId="0" applyFont="1" applyBorder="1" applyAlignment="1">
      <alignment horizontal="center"/>
    </xf>
    <xf numFmtId="44" fontId="14" fillId="0" borderId="24" xfId="1" applyFont="1" applyBorder="1"/>
    <xf numFmtId="0" fontId="21" fillId="0" borderId="0" xfId="0" applyFont="1"/>
    <xf numFmtId="0" fontId="13" fillId="0" borderId="0" xfId="0" applyFont="1" applyAlignment="1">
      <alignment horizontal="center"/>
    </xf>
    <xf numFmtId="16" fontId="1" fillId="0" borderId="0" xfId="0" applyNumberFormat="1" applyFont="1"/>
    <xf numFmtId="1" fontId="21" fillId="0" borderId="44" xfId="1" applyNumberFormat="1" applyFont="1" applyFill="1" applyBorder="1" applyAlignment="1">
      <alignment horizontal="center"/>
    </xf>
    <xf numFmtId="44" fontId="21" fillId="0" borderId="44" xfId="1" applyFont="1" applyFill="1" applyBorder="1" applyAlignment="1">
      <alignment horizontal="center"/>
    </xf>
    <xf numFmtId="0" fontId="14" fillId="0" borderId="44" xfId="0" applyFont="1" applyBorder="1" applyAlignment="1">
      <alignment horizontal="center"/>
    </xf>
    <xf numFmtId="44" fontId="14" fillId="0" borderId="44" xfId="1" applyFont="1" applyBorder="1"/>
    <xf numFmtId="0" fontId="14" fillId="0" borderId="44" xfId="0" applyFont="1" applyBorder="1"/>
    <xf numFmtId="44" fontId="14" fillId="0" borderId="44" xfId="0" applyNumberFormat="1" applyFont="1" applyBorder="1"/>
    <xf numFmtId="165" fontId="3" fillId="0" borderId="18" xfId="0" applyNumberFormat="1" applyFont="1" applyFill="1" applyBorder="1" applyAlignment="1">
      <alignment horizontal="center"/>
    </xf>
    <xf numFmtId="165" fontId="0" fillId="0" borderId="0" xfId="0" applyNumberFormat="1"/>
    <xf numFmtId="165" fontId="14" fillId="0" borderId="0" xfId="0" applyNumberFormat="1" applyFont="1"/>
    <xf numFmtId="165" fontId="14" fillId="0" borderId="44" xfId="0" applyNumberFormat="1" applyFont="1" applyBorder="1"/>
    <xf numFmtId="0" fontId="14" fillId="0" borderId="45" xfId="0" applyFont="1" applyBorder="1" applyAlignment="1">
      <alignment horizontal="center"/>
    </xf>
    <xf numFmtId="44" fontId="21" fillId="0" borderId="24" xfId="1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44" fontId="14" fillId="0" borderId="46" xfId="1" applyFont="1" applyBorder="1"/>
    <xf numFmtId="165" fontId="0" fillId="0" borderId="44" xfId="0" applyNumberFormat="1" applyBorder="1"/>
    <xf numFmtId="0" fontId="0" fillId="0" borderId="44" xfId="0" applyBorder="1"/>
    <xf numFmtId="0" fontId="0" fillId="0" borderId="44" xfId="0" applyBorder="1" applyAlignment="1">
      <alignment horizontal="center"/>
    </xf>
    <xf numFmtId="44" fontId="0" fillId="0" borderId="44" xfId="1" applyFont="1" applyBorder="1"/>
    <xf numFmtId="1" fontId="1" fillId="0" borderId="44" xfId="1" applyNumberFormat="1" applyFont="1" applyFill="1" applyBorder="1" applyAlignment="1">
      <alignment horizontal="center"/>
    </xf>
    <xf numFmtId="44" fontId="1" fillId="0" borderId="44" xfId="1" applyFont="1" applyFill="1" applyBorder="1" applyAlignment="1">
      <alignment horizontal="center"/>
    </xf>
    <xf numFmtId="44" fontId="1" fillId="0" borderId="44" xfId="1" applyFont="1" applyBorder="1" applyAlignment="1">
      <alignment horizontal="center"/>
    </xf>
    <xf numFmtId="1" fontId="1" fillId="0" borderId="44" xfId="0" applyNumberFormat="1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165" fontId="1" fillId="0" borderId="34" xfId="1" applyNumberFormat="1" applyFont="1" applyBorder="1" applyAlignment="1">
      <alignment horizontal="center"/>
    </xf>
    <xf numFmtId="44" fontId="1" fillId="0" borderId="0" xfId="0" applyNumberFormat="1" applyFont="1" applyFill="1"/>
    <xf numFmtId="44" fontId="1" fillId="0" borderId="45" xfId="1" applyFont="1" applyBorder="1" applyAlignment="1">
      <alignment horizontal="center"/>
    </xf>
    <xf numFmtId="44" fontId="14" fillId="2" borderId="44" xfId="1" applyFont="1" applyFill="1" applyBorder="1"/>
    <xf numFmtId="1" fontId="1" fillId="0" borderId="45" xfId="1" applyNumberFormat="1" applyFont="1" applyFill="1" applyBorder="1" applyAlignment="1">
      <alignment horizontal="center"/>
    </xf>
    <xf numFmtId="165" fontId="14" fillId="0" borderId="45" xfId="0" applyNumberFormat="1" applyFont="1" applyBorder="1"/>
    <xf numFmtId="0" fontId="0" fillId="0" borderId="47" xfId="0" applyBorder="1"/>
    <xf numFmtId="165" fontId="0" fillId="0" borderId="47" xfId="0" applyNumberFormat="1" applyBorder="1"/>
    <xf numFmtId="44" fontId="21" fillId="0" borderId="0" xfId="1" applyFont="1" applyFill="1" applyBorder="1" applyAlignment="1">
      <alignment horizontal="center"/>
    </xf>
    <xf numFmtId="165" fontId="0" fillId="0" borderId="0" xfId="0" applyNumberFormat="1" applyBorder="1"/>
    <xf numFmtId="0" fontId="1" fillId="0" borderId="24" xfId="0" applyFont="1" applyBorder="1" applyAlignment="1">
      <alignment horizontal="center"/>
    </xf>
    <xf numFmtId="165" fontId="1" fillId="0" borderId="44" xfId="0" applyNumberFormat="1" applyFont="1" applyFill="1" applyBorder="1" applyAlignment="1">
      <alignment horizontal="center"/>
    </xf>
    <xf numFmtId="0" fontId="25" fillId="0" borderId="25" xfId="0" applyFont="1" applyFill="1" applyBorder="1" applyAlignment="1">
      <alignment horizontal="center"/>
    </xf>
    <xf numFmtId="164" fontId="26" fillId="0" borderId="25" xfId="0" applyNumberFormat="1" applyFont="1" applyFill="1" applyBorder="1"/>
    <xf numFmtId="165" fontId="1" fillId="0" borderId="0" xfId="0" applyNumberFormat="1" applyFont="1" applyFill="1" applyBorder="1"/>
    <xf numFmtId="164" fontId="26" fillId="0" borderId="0" xfId="0" applyNumberFormat="1" applyFont="1" applyFill="1" applyBorder="1"/>
    <xf numFmtId="165" fontId="17" fillId="0" borderId="0" xfId="0" applyNumberFormat="1" applyFont="1" applyFill="1" applyBorder="1"/>
    <xf numFmtId="165" fontId="1" fillId="0" borderId="0" xfId="0" applyNumberFormat="1" applyFont="1" applyFill="1" applyBorder="1" applyAlignment="1">
      <alignment wrapText="1"/>
    </xf>
    <xf numFmtId="167" fontId="1" fillId="0" borderId="0" xfId="0" applyNumberFormat="1" applyFont="1" applyFill="1" applyBorder="1"/>
    <xf numFmtId="0" fontId="13" fillId="0" borderId="0" xfId="0" applyFont="1" applyBorder="1" applyAlignment="1">
      <alignment horizontal="center"/>
    </xf>
    <xf numFmtId="165" fontId="13" fillId="0" borderId="1" xfId="1" applyNumberFormat="1" applyFont="1" applyFill="1" applyBorder="1" applyAlignment="1">
      <alignment horizontal="center"/>
    </xf>
    <xf numFmtId="1" fontId="13" fillId="0" borderId="42" xfId="0" applyNumberFormat="1" applyFont="1" applyFill="1" applyBorder="1" applyAlignment="1">
      <alignment horizontal="center"/>
    </xf>
    <xf numFmtId="164" fontId="26" fillId="0" borderId="48" xfId="0" applyNumberFormat="1" applyFont="1" applyFill="1" applyBorder="1"/>
    <xf numFmtId="164" fontId="21" fillId="0" borderId="0" xfId="0" applyNumberFormat="1" applyFont="1"/>
    <xf numFmtId="167" fontId="1" fillId="0" borderId="24" xfId="0" applyNumberFormat="1" applyFont="1" applyFill="1" applyBorder="1"/>
    <xf numFmtId="164" fontId="26" fillId="0" borderId="24" xfId="0" applyNumberFormat="1" applyFont="1" applyFill="1" applyBorder="1"/>
    <xf numFmtId="44" fontId="6" fillId="0" borderId="0" xfId="1" applyFont="1"/>
    <xf numFmtId="0" fontId="1" fillId="0" borderId="0" xfId="0" applyFont="1" applyAlignment="1">
      <alignment horizontal="right"/>
    </xf>
    <xf numFmtId="164" fontId="26" fillId="6" borderId="0" xfId="0" applyNumberFormat="1" applyFont="1" applyFill="1" applyBorder="1"/>
    <xf numFmtId="0" fontId="0" fillId="6" borderId="0" xfId="0" applyFill="1"/>
    <xf numFmtId="0" fontId="25" fillId="6" borderId="25" xfId="0" applyFont="1" applyFill="1" applyBorder="1" applyAlignment="1">
      <alignment horizontal="center"/>
    </xf>
    <xf numFmtId="164" fontId="28" fillId="0" borderId="49" xfId="0" applyNumberFormat="1" applyFont="1" applyFill="1" applyBorder="1" applyAlignment="1">
      <alignment horizontal="center"/>
    </xf>
    <xf numFmtId="164" fontId="28" fillId="0" borderId="0" xfId="0" applyNumberFormat="1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44" fontId="14" fillId="0" borderId="0" xfId="1" applyFont="1" applyBorder="1"/>
    <xf numFmtId="165" fontId="14" fillId="0" borderId="0" xfId="0" applyNumberFormat="1" applyFont="1" applyBorder="1"/>
    <xf numFmtId="44" fontId="1" fillId="0" borderId="0" xfId="1" applyFont="1" applyBorder="1" applyAlignment="1">
      <alignment horizontal="center"/>
    </xf>
    <xf numFmtId="44" fontId="14" fillId="0" borderId="0" xfId="0" applyNumberFormat="1" applyFont="1" applyBorder="1"/>
    <xf numFmtId="165" fontId="1" fillId="0" borderId="0" xfId="0" applyNumberFormat="1" applyFont="1"/>
    <xf numFmtId="165" fontId="1" fillId="0" borderId="0" xfId="0" applyNumberFormat="1" applyFont="1" applyAlignment="1">
      <alignment horizontal="center"/>
    </xf>
    <xf numFmtId="165" fontId="1" fillId="0" borderId="24" xfId="0" applyNumberFormat="1" applyFont="1" applyBorder="1"/>
    <xf numFmtId="0" fontId="29" fillId="0" borderId="0" xfId="0" applyFont="1" applyAlignment="1">
      <alignment horizontal="center"/>
    </xf>
    <xf numFmtId="165" fontId="18" fillId="0" borderId="0" xfId="0" applyNumberFormat="1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center"/>
    </xf>
    <xf numFmtId="165" fontId="0" fillId="0" borderId="0" xfId="0" applyNumberFormat="1" applyFill="1" applyBorder="1"/>
    <xf numFmtId="0" fontId="1" fillId="0" borderId="0" xfId="0" applyFont="1" applyFill="1" applyBorder="1"/>
    <xf numFmtId="165" fontId="1" fillId="0" borderId="0" xfId="0" applyNumberFormat="1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27" fillId="0" borderId="0" xfId="0" applyFont="1" applyFill="1" applyBorder="1"/>
    <xf numFmtId="164" fontId="21" fillId="0" borderId="0" xfId="0" applyNumberFormat="1" applyFont="1" applyFill="1" applyBorder="1"/>
    <xf numFmtId="0" fontId="1" fillId="0" borderId="0" xfId="0" applyFont="1" applyBorder="1"/>
    <xf numFmtId="44" fontId="1" fillId="0" borderId="0" xfId="1" applyFont="1" applyFill="1" applyBorder="1" applyAlignment="1">
      <alignment wrapText="1"/>
    </xf>
    <xf numFmtId="44" fontId="21" fillId="0" borderId="0" xfId="1" applyFont="1" applyFill="1" applyBorder="1"/>
    <xf numFmtId="44" fontId="27" fillId="0" borderId="0" xfId="1" applyFont="1" applyFill="1" applyBorder="1"/>
    <xf numFmtId="44" fontId="27" fillId="0" borderId="24" xfId="1" applyFont="1" applyFill="1" applyBorder="1"/>
    <xf numFmtId="44" fontId="27" fillId="0" borderId="27" xfId="1" applyFont="1" applyFill="1" applyBorder="1"/>
    <xf numFmtId="44" fontId="27" fillId="0" borderId="44" xfId="1" applyFont="1" applyFill="1" applyBorder="1"/>
    <xf numFmtId="44" fontId="27" fillId="0" borderId="50" xfId="1" applyFont="1" applyFill="1" applyBorder="1"/>
    <xf numFmtId="164" fontId="27" fillId="0" borderId="26" xfId="0" applyNumberFormat="1" applyFont="1" applyFill="1" applyBorder="1"/>
    <xf numFmtId="0" fontId="13" fillId="0" borderId="18" xfId="0" applyFont="1" applyBorder="1" applyAlignment="1">
      <alignment horizontal="center"/>
    </xf>
    <xf numFmtId="164" fontId="27" fillId="6" borderId="26" xfId="0" applyNumberFormat="1" applyFont="1" applyFill="1" applyBorder="1"/>
    <xf numFmtId="164" fontId="27" fillId="0" borderId="51" xfId="0" applyNumberFormat="1" applyFont="1" applyFill="1" applyBorder="1"/>
    <xf numFmtId="0" fontId="27" fillId="0" borderId="0" xfId="0" applyFont="1" applyBorder="1"/>
    <xf numFmtId="0" fontId="27" fillId="6" borderId="0" xfId="0" applyFont="1" applyFill="1" applyBorder="1"/>
    <xf numFmtId="16" fontId="14" fillId="0" borderId="44" xfId="0" applyNumberFormat="1" applyFont="1" applyBorder="1" applyAlignment="1">
      <alignment horizontal="center"/>
    </xf>
    <xf numFmtId="1" fontId="21" fillId="7" borderId="44" xfId="1" applyNumberFormat="1" applyFont="1" applyFill="1" applyBorder="1" applyAlignment="1">
      <alignment horizontal="center"/>
    </xf>
    <xf numFmtId="44" fontId="21" fillId="7" borderId="44" xfId="1" applyFont="1" applyFill="1" applyBorder="1" applyAlignment="1">
      <alignment horizontal="center"/>
    </xf>
    <xf numFmtId="44" fontId="0" fillId="0" borderId="3" xfId="1" applyFont="1" applyBorder="1"/>
    <xf numFmtId="0" fontId="0" fillId="0" borderId="39" xfId="0" applyBorder="1"/>
    <xf numFmtId="0" fontId="0" fillId="0" borderId="4" xfId="0" applyBorder="1"/>
    <xf numFmtId="44" fontId="0" fillId="0" borderId="2" xfId="1" applyFont="1" applyBorder="1"/>
    <xf numFmtId="0" fontId="0" fillId="0" borderId="5" xfId="0" applyBorder="1"/>
    <xf numFmtId="44" fontId="1" fillId="8" borderId="2" xfId="1" applyFont="1" applyFill="1" applyBorder="1"/>
    <xf numFmtId="0" fontId="1" fillId="8" borderId="0" xfId="0" applyFont="1" applyFill="1" applyBorder="1"/>
    <xf numFmtId="0" fontId="1" fillId="8" borderId="5" xfId="0" applyFont="1" applyFill="1" applyBorder="1"/>
    <xf numFmtId="44" fontId="32" fillId="0" borderId="2" xfId="1" applyFont="1" applyBorder="1"/>
    <xf numFmtId="0" fontId="31" fillId="0" borderId="0" xfId="0" applyFont="1" applyBorder="1"/>
    <xf numFmtId="44" fontId="0" fillId="0" borderId="6" xfId="1" applyFont="1" applyBorder="1"/>
    <xf numFmtId="0" fontId="0" fillId="0" borderId="28" xfId="0" applyBorder="1"/>
    <xf numFmtId="0" fontId="0" fillId="0" borderId="7" xfId="0" applyBorder="1"/>
    <xf numFmtId="8" fontId="1" fillId="8" borderId="2" xfId="1" applyNumberFormat="1" applyFont="1" applyFill="1" applyBorder="1"/>
    <xf numFmtId="44" fontId="26" fillId="0" borderId="0" xfId="1" applyFont="1" applyFill="1" applyBorder="1" applyAlignment="1"/>
    <xf numFmtId="165" fontId="1" fillId="9" borderId="34" xfId="1" applyNumberFormat="1" applyFont="1" applyFill="1" applyBorder="1" applyAlignment="1">
      <alignment horizontal="center"/>
    </xf>
    <xf numFmtId="44" fontId="1" fillId="0" borderId="44" xfId="1" applyFont="1" applyBorder="1"/>
    <xf numFmtId="44" fontId="14" fillId="0" borderId="44" xfId="0" applyNumberFormat="1" applyFont="1" applyFill="1" applyBorder="1"/>
    <xf numFmtId="0" fontId="14" fillId="0" borderId="44" xfId="0" applyFont="1" applyFill="1" applyBorder="1" applyAlignment="1">
      <alignment horizontal="center"/>
    </xf>
    <xf numFmtId="44" fontId="14" fillId="0" borderId="44" xfId="1" applyFont="1" applyFill="1" applyBorder="1"/>
    <xf numFmtId="165" fontId="0" fillId="0" borderId="44" xfId="0" applyNumberFormat="1" applyFill="1" applyBorder="1"/>
    <xf numFmtId="0" fontId="1" fillId="0" borderId="44" xfId="0" applyFont="1" applyFill="1" applyBorder="1" applyAlignment="1">
      <alignment horizontal="center"/>
    </xf>
    <xf numFmtId="44" fontId="21" fillId="0" borderId="44" xfId="1" applyFont="1" applyFill="1" applyBorder="1"/>
    <xf numFmtId="0" fontId="21" fillId="0" borderId="44" xfId="0" applyFont="1" applyBorder="1" applyAlignment="1">
      <alignment horizontal="center"/>
    </xf>
    <xf numFmtId="44" fontId="21" fillId="0" borderId="44" xfId="1" applyFont="1" applyBorder="1"/>
    <xf numFmtId="165" fontId="21" fillId="0" borderId="44" xfId="0" applyNumberFormat="1" applyFont="1" applyBorder="1"/>
    <xf numFmtId="165" fontId="1" fillId="0" borderId="44" xfId="0" applyNumberFormat="1" applyFont="1" applyBorder="1"/>
    <xf numFmtId="16" fontId="9" fillId="0" borderId="0" xfId="0" applyNumberFormat="1" applyFont="1"/>
    <xf numFmtId="44" fontId="0" fillId="0" borderId="0" xfId="1" applyFont="1" applyFill="1"/>
    <xf numFmtId="165" fontId="26" fillId="0" borderId="0" xfId="0" applyNumberFormat="1" applyFont="1" applyFill="1" applyBorder="1"/>
    <xf numFmtId="165" fontId="26" fillId="0" borderId="24" xfId="0" applyNumberFormat="1" applyFont="1" applyFill="1" applyBorder="1"/>
    <xf numFmtId="0" fontId="25" fillId="0" borderId="44" xfId="0" applyFont="1" applyFill="1" applyBorder="1" applyAlignment="1">
      <alignment horizontal="center"/>
    </xf>
    <xf numFmtId="165" fontId="1" fillId="0" borderId="44" xfId="0" applyNumberFormat="1" applyFont="1" applyBorder="1" applyAlignment="1">
      <alignment horizontal="center"/>
    </xf>
    <xf numFmtId="0" fontId="29" fillId="0" borderId="44" xfId="0" applyFont="1" applyBorder="1" applyAlignment="1">
      <alignment horizontal="center"/>
    </xf>
    <xf numFmtId="1" fontId="29" fillId="0" borderId="44" xfId="0" applyNumberFormat="1" applyFont="1" applyBorder="1" applyAlignment="1">
      <alignment horizontal="center"/>
    </xf>
    <xf numFmtId="165" fontId="30" fillId="0" borderId="44" xfId="0" applyNumberFormat="1" applyFont="1" applyFill="1" applyBorder="1" applyAlignment="1">
      <alignment horizontal="center"/>
    </xf>
    <xf numFmtId="1" fontId="29" fillId="0" borderId="44" xfId="0" applyNumberFormat="1" applyFont="1" applyFill="1" applyBorder="1" applyAlignment="1">
      <alignment horizontal="center"/>
    </xf>
    <xf numFmtId="44" fontId="16" fillId="0" borderId="0" xfId="1" applyFont="1"/>
    <xf numFmtId="44" fontId="1" fillId="0" borderId="0" xfId="1" applyFont="1" applyFill="1" applyBorder="1" applyAlignment="1"/>
    <xf numFmtId="165" fontId="33" fillId="0" borderId="0" xfId="0" applyNumberFormat="1" applyFont="1" applyFill="1" applyBorder="1"/>
    <xf numFmtId="44" fontId="33" fillId="0" borderId="0" xfId="1" applyFont="1" applyFill="1" applyBorder="1"/>
    <xf numFmtId="165" fontId="34" fillId="0" borderId="0" xfId="0" applyNumberFormat="1" applyFont="1" applyFill="1" applyBorder="1"/>
    <xf numFmtId="44" fontId="35" fillId="0" borderId="0" xfId="1" applyFont="1" applyFill="1" applyBorder="1"/>
    <xf numFmtId="165" fontId="33" fillId="0" borderId="0" xfId="0" applyNumberFormat="1" applyFont="1" applyFill="1" applyBorder="1" applyAlignment="1"/>
    <xf numFmtId="165" fontId="35" fillId="0" borderId="0" xfId="0" applyNumberFormat="1" applyFont="1"/>
    <xf numFmtId="44" fontId="35" fillId="0" borderId="0" xfId="1" applyFont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24" xfId="0" applyFont="1" applyBorder="1" applyAlignment="1">
      <alignment horizontal="center"/>
    </xf>
    <xf numFmtId="44" fontId="1" fillId="0" borderId="0" xfId="1" applyFont="1" applyFill="1" applyBorder="1" applyAlignment="1">
      <alignment horizontal="center"/>
    </xf>
    <xf numFmtId="165" fontId="30" fillId="0" borderId="27" xfId="0" applyNumberFormat="1" applyFont="1" applyFill="1" applyBorder="1" applyAlignment="1">
      <alignment horizontal="center"/>
    </xf>
    <xf numFmtId="165" fontId="1" fillId="0" borderId="27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165" fontId="21" fillId="0" borderId="0" xfId="0" applyNumberFormat="1" applyFont="1" applyFill="1" applyBorder="1"/>
    <xf numFmtId="16" fontId="0" fillId="0" borderId="0" xfId="0" applyNumberFormat="1" applyFill="1" applyBorder="1"/>
    <xf numFmtId="165" fontId="36" fillId="0" borderId="0" xfId="0" applyNumberFormat="1" applyFont="1" applyFill="1" applyBorder="1"/>
    <xf numFmtId="44" fontId="36" fillId="0" borderId="0" xfId="1" applyFont="1" applyFill="1" applyBorder="1"/>
    <xf numFmtId="165" fontId="3" fillId="0" borderId="0" xfId="0" applyNumberFormat="1" applyFont="1" applyFill="1" applyBorder="1"/>
    <xf numFmtId="165" fontId="37" fillId="0" borderId="0" xfId="0" applyNumberFormat="1" applyFont="1"/>
    <xf numFmtId="44" fontId="3" fillId="0" borderId="0" xfId="1" applyFont="1" applyFill="1"/>
    <xf numFmtId="1" fontId="21" fillId="6" borderId="44" xfId="1" applyNumberFormat="1" applyFont="1" applyFill="1" applyBorder="1" applyAlignment="1">
      <alignment horizontal="center"/>
    </xf>
    <xf numFmtId="44" fontId="21" fillId="6" borderId="44" xfId="1" applyFont="1" applyFill="1" applyBorder="1" applyAlignment="1">
      <alignment horizontal="center"/>
    </xf>
    <xf numFmtId="165" fontId="0" fillId="0" borderId="52" xfId="0" applyNumberFormat="1" applyBorder="1"/>
    <xf numFmtId="44" fontId="21" fillId="0" borderId="34" xfId="1" applyFont="1" applyBorder="1"/>
    <xf numFmtId="0" fontId="38" fillId="0" borderId="0" xfId="0" applyFont="1" applyAlignment="1">
      <alignment horizontal="center"/>
    </xf>
    <xf numFmtId="44" fontId="38" fillId="0" borderId="0" xfId="1" applyFont="1" applyAlignment="1">
      <alignment horizontal="center"/>
    </xf>
    <xf numFmtId="165" fontId="38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5" fontId="0" fillId="0" borderId="53" xfId="0" applyNumberFormat="1" applyFill="1" applyBorder="1" applyAlignment="1">
      <alignment horizontal="center"/>
    </xf>
    <xf numFmtId="15" fontId="0" fillId="0" borderId="54" xfId="0" applyNumberFormat="1" applyFill="1" applyBorder="1"/>
    <xf numFmtId="15" fontId="0" fillId="0" borderId="55" xfId="0" applyNumberFormat="1" applyFill="1" applyBorder="1"/>
    <xf numFmtId="44" fontId="1" fillId="0" borderId="56" xfId="1" applyFont="1" applyFill="1" applyBorder="1"/>
    <xf numFmtId="0" fontId="0" fillId="0" borderId="57" xfId="0" applyFill="1" applyBorder="1"/>
    <xf numFmtId="44" fontId="0" fillId="0" borderId="58" xfId="1" applyFont="1" applyFill="1" applyBorder="1"/>
    <xf numFmtId="165" fontId="0" fillId="0" borderId="59" xfId="0" applyNumberFormat="1" applyFill="1" applyBorder="1" applyAlignment="1">
      <alignment horizontal="center"/>
    </xf>
    <xf numFmtId="15" fontId="0" fillId="0" borderId="60" xfId="0" applyNumberFormat="1" applyFill="1" applyBorder="1"/>
    <xf numFmtId="15" fontId="0" fillId="0" borderId="61" xfId="0" applyNumberFormat="1" applyFill="1" applyBorder="1"/>
    <xf numFmtId="164" fontId="0" fillId="0" borderId="62" xfId="0" applyNumberFormat="1" applyFill="1" applyBorder="1"/>
    <xf numFmtId="0" fontId="0" fillId="0" borderId="0" xfId="0" applyFont="1" applyFill="1" applyAlignment="1">
      <alignment horizontal="center"/>
    </xf>
    <xf numFmtId="44" fontId="0" fillId="0" borderId="63" xfId="1" applyFont="1" applyFill="1" applyBorder="1"/>
    <xf numFmtId="164" fontId="1" fillId="0" borderId="64" xfId="0" applyNumberFormat="1" applyFont="1" applyFill="1" applyBorder="1"/>
    <xf numFmtId="0" fontId="0" fillId="0" borderId="0" xfId="0" applyFont="1" applyFill="1" applyBorder="1" applyAlignment="1">
      <alignment horizontal="center"/>
    </xf>
    <xf numFmtId="164" fontId="0" fillId="0" borderId="64" xfId="0" applyNumberFormat="1" applyFill="1" applyBorder="1"/>
    <xf numFmtId="166" fontId="1" fillId="0" borderId="64" xfId="0" applyNumberFormat="1" applyFont="1" applyFill="1" applyBorder="1"/>
    <xf numFmtId="166" fontId="1" fillId="0" borderId="64" xfId="1" applyNumberFormat="1" applyFont="1" applyFill="1" applyBorder="1" applyAlignment="1">
      <alignment horizontal="right"/>
    </xf>
    <xf numFmtId="166" fontId="1" fillId="0" borderId="64" xfId="0" applyNumberFormat="1" applyFont="1" applyFill="1" applyBorder="1" applyAlignment="1">
      <alignment horizontal="right"/>
    </xf>
    <xf numFmtId="166" fontId="1" fillId="0" borderId="65" xfId="0" applyNumberFormat="1" applyFont="1" applyFill="1" applyBorder="1" applyAlignment="1">
      <alignment horizontal="right"/>
    </xf>
    <xf numFmtId="165" fontId="0" fillId="0" borderId="66" xfId="0" applyNumberFormat="1" applyFill="1" applyBorder="1" applyAlignment="1">
      <alignment horizontal="center"/>
    </xf>
    <xf numFmtId="15" fontId="0" fillId="0" borderId="67" xfId="0" applyNumberFormat="1" applyFill="1" applyBorder="1"/>
    <xf numFmtId="15" fontId="0" fillId="0" borderId="68" xfId="0" applyNumberFormat="1" applyFill="1" applyBorder="1"/>
    <xf numFmtId="44" fontId="0" fillId="0" borderId="69" xfId="1" applyFont="1" applyFill="1" applyBorder="1"/>
    <xf numFmtId="0" fontId="13" fillId="0" borderId="0" xfId="0" applyFont="1" applyAlignment="1">
      <alignment horizontal="center"/>
    </xf>
    <xf numFmtId="0" fontId="21" fillId="0" borderId="21" xfId="0" applyFont="1" applyBorder="1" applyAlignment="1">
      <alignment horizontal="center"/>
    </xf>
    <xf numFmtId="0" fontId="14" fillId="0" borderId="70" xfId="0" applyFont="1" applyBorder="1" applyAlignment="1">
      <alignment horizontal="center"/>
    </xf>
    <xf numFmtId="44" fontId="21" fillId="0" borderId="18" xfId="1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44" fontId="21" fillId="0" borderId="42" xfId="1" applyFont="1" applyBorder="1" applyAlignment="1">
      <alignment horizontal="center"/>
    </xf>
    <xf numFmtId="165" fontId="1" fillId="0" borderId="47" xfId="0" applyNumberFormat="1" applyFont="1" applyFill="1" applyBorder="1" applyAlignment="1">
      <alignment horizontal="center"/>
    </xf>
    <xf numFmtId="0" fontId="25" fillId="0" borderId="47" xfId="0" applyFont="1" applyFill="1" applyBorder="1" applyAlignment="1">
      <alignment horizontal="center"/>
    </xf>
    <xf numFmtId="44" fontId="27" fillId="0" borderId="71" xfId="1" applyFont="1" applyFill="1" applyBorder="1"/>
    <xf numFmtId="165" fontId="10" fillId="0" borderId="18" xfId="0" applyNumberFormat="1" applyFont="1" applyBorder="1" applyAlignment="1">
      <alignment horizontal="center"/>
    </xf>
    <xf numFmtId="0" fontId="39" fillId="0" borderId="1" xfId="0" applyFont="1" applyBorder="1"/>
    <xf numFmtId="0" fontId="1" fillId="0" borderId="44" xfId="0" applyFont="1" applyBorder="1"/>
    <xf numFmtId="44" fontId="21" fillId="0" borderId="0" xfId="0" applyNumberFormat="1" applyFont="1"/>
    <xf numFmtId="0" fontId="21" fillId="0" borderId="0" xfId="0" applyFont="1" applyAlignment="1">
      <alignment horizontal="center"/>
    </xf>
    <xf numFmtId="44" fontId="21" fillId="0" borderId="0" xfId="1" applyFont="1"/>
    <xf numFmtId="0" fontId="13" fillId="0" borderId="0" xfId="0" applyFont="1" applyAlignment="1">
      <alignment horizontal="center"/>
    </xf>
    <xf numFmtId="0" fontId="21" fillId="0" borderId="44" xfId="0" applyFont="1" applyFill="1" applyBorder="1" applyAlignment="1">
      <alignment horizontal="center"/>
    </xf>
    <xf numFmtId="165" fontId="21" fillId="0" borderId="44" xfId="0" applyNumberFormat="1" applyFont="1" applyFill="1" applyBorder="1"/>
    <xf numFmtId="165" fontId="9" fillId="0" borderId="0" xfId="0" applyNumberFormat="1" applyFont="1"/>
    <xf numFmtId="0" fontId="13" fillId="2" borderId="0" xfId="0" applyFont="1" applyFill="1" applyAlignment="1">
      <alignment horizontal="center"/>
    </xf>
    <xf numFmtId="165" fontId="1" fillId="2" borderId="34" xfId="1" applyNumberFormat="1" applyFont="1" applyFill="1" applyBorder="1" applyAlignment="1">
      <alignment horizontal="center"/>
    </xf>
    <xf numFmtId="165" fontId="0" fillId="2" borderId="0" xfId="0" applyNumberFormat="1" applyFill="1"/>
    <xf numFmtId="0" fontId="13" fillId="0" borderId="0" xfId="0" applyFont="1" applyAlignment="1">
      <alignment horizontal="center"/>
    </xf>
    <xf numFmtId="165" fontId="9" fillId="0" borderId="0" xfId="0" applyNumberFormat="1" applyFont="1" applyBorder="1"/>
    <xf numFmtId="44" fontId="26" fillId="0" borderId="0" xfId="1" applyFont="1" applyFill="1" applyBorder="1"/>
    <xf numFmtId="165" fontId="26" fillId="0" borderId="0" xfId="0" applyNumberFormat="1" applyFont="1" applyFill="1" applyBorder="1" applyAlignment="1"/>
    <xf numFmtId="0" fontId="13" fillId="0" borderId="0" xfId="0" applyFont="1" applyAlignment="1">
      <alignment horizontal="center"/>
    </xf>
    <xf numFmtId="44" fontId="1" fillId="0" borderId="44" xfId="1" applyFont="1" applyFill="1" applyBorder="1"/>
    <xf numFmtId="0" fontId="25" fillId="2" borderId="0" xfId="0" applyFont="1" applyFill="1" applyBorder="1" applyAlignment="1">
      <alignment horizontal="left"/>
    </xf>
    <xf numFmtId="164" fontId="26" fillId="2" borderId="0" xfId="0" applyNumberFormat="1" applyFont="1" applyFill="1" applyBorder="1"/>
    <xf numFmtId="44" fontId="13" fillId="2" borderId="0" xfId="1" applyFont="1" applyFill="1" applyBorder="1"/>
    <xf numFmtId="165" fontId="26" fillId="2" borderId="0" xfId="0" applyNumberFormat="1" applyFont="1" applyFill="1" applyBorder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24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25" fillId="0" borderId="0" xfId="0" applyFont="1" applyFill="1" applyBorder="1" applyAlignment="1">
      <alignment horizontal="left"/>
    </xf>
    <xf numFmtId="1" fontId="21" fillId="0" borderId="0" xfId="1" applyNumberFormat="1" applyFont="1" applyFill="1" applyBorder="1" applyAlignment="1">
      <alignment horizontal="center"/>
    </xf>
    <xf numFmtId="1" fontId="29" fillId="0" borderId="0" xfId="0" applyNumberFormat="1" applyFont="1" applyFill="1" applyBorder="1" applyAlignment="1">
      <alignment horizontal="center"/>
    </xf>
    <xf numFmtId="0" fontId="14" fillId="0" borderId="0" xfId="0" applyFont="1" applyFill="1" applyBorder="1"/>
    <xf numFmtId="0" fontId="21" fillId="0" borderId="0" xfId="0" applyFont="1" applyFill="1" applyBorder="1"/>
    <xf numFmtId="0" fontId="0" fillId="0" borderId="0" xfId="0" applyFill="1" applyBorder="1" applyAlignment="1">
      <alignment horizontal="center"/>
    </xf>
    <xf numFmtId="44" fontId="21" fillId="0" borderId="0" xfId="0" applyNumberFormat="1" applyFont="1" applyFill="1" applyBorder="1"/>
    <xf numFmtId="0" fontId="29" fillId="0" borderId="0" xfId="0" applyFont="1" applyFill="1" applyBorder="1" applyAlignment="1">
      <alignment horizontal="center"/>
    </xf>
    <xf numFmtId="44" fontId="1" fillId="0" borderId="0" xfId="1" applyFont="1" applyFill="1"/>
    <xf numFmtId="44" fontId="1" fillId="10" borderId="5" xfId="1" applyFont="1" applyFill="1" applyBorder="1"/>
    <xf numFmtId="164" fontId="0" fillId="10" borderId="0" xfId="0" applyNumberFormat="1" applyFont="1" applyFill="1"/>
    <xf numFmtId="15" fontId="0" fillId="10" borderId="10" xfId="0" applyNumberFormat="1" applyFill="1" applyBorder="1"/>
    <xf numFmtId="44" fontId="1" fillId="10" borderId="11" xfId="1" applyFont="1" applyFill="1" applyBorder="1"/>
    <xf numFmtId="0" fontId="0" fillId="10" borderId="0" xfId="0" applyFill="1"/>
    <xf numFmtId="15" fontId="0" fillId="10" borderId="15" xfId="0" applyNumberFormat="1" applyFill="1" applyBorder="1"/>
    <xf numFmtId="44" fontId="1" fillId="10" borderId="33" xfId="1" applyFont="1" applyFill="1" applyBorder="1"/>
    <xf numFmtId="0" fontId="40" fillId="10" borderId="0" xfId="0" applyFont="1" applyFill="1" applyBorder="1" applyAlignment="1">
      <alignment horizontal="center"/>
    </xf>
    <xf numFmtId="0" fontId="0" fillId="0" borderId="44" xfId="0" applyFill="1" applyBorder="1"/>
    <xf numFmtId="0" fontId="13" fillId="0" borderId="44" xfId="0" applyFont="1" applyFill="1" applyBorder="1"/>
    <xf numFmtId="0" fontId="13" fillId="0" borderId="44" xfId="0" applyFont="1" applyFill="1" applyBorder="1" applyAlignment="1">
      <alignment horizontal="center"/>
    </xf>
    <xf numFmtId="165" fontId="1" fillId="0" borderId="44" xfId="1" applyNumberFormat="1" applyFont="1" applyFill="1" applyBorder="1" applyAlignment="1">
      <alignment horizontal="center"/>
    </xf>
    <xf numFmtId="165" fontId="1" fillId="6" borderId="34" xfId="1" applyNumberFormat="1" applyFont="1" applyFill="1" applyBorder="1" applyAlignment="1">
      <alignment horizontal="center"/>
    </xf>
    <xf numFmtId="44" fontId="13" fillId="0" borderId="44" xfId="1" applyFont="1" applyFill="1" applyBorder="1"/>
    <xf numFmtId="165" fontId="26" fillId="0" borderId="0" xfId="0" applyNumberFormat="1" applyFont="1" applyFill="1" applyBorder="1" applyAlignment="1">
      <alignment horizontal="center"/>
    </xf>
    <xf numFmtId="165" fontId="9" fillId="0" borderId="0" xfId="0" applyNumberFormat="1" applyFont="1" applyBorder="1" applyAlignment="1">
      <alignment horizontal="center"/>
    </xf>
    <xf numFmtId="165" fontId="26" fillId="0" borderId="24" xfId="0" applyNumberFormat="1" applyFont="1" applyFill="1" applyBorder="1" applyAlignment="1">
      <alignment horizontal="center"/>
    </xf>
    <xf numFmtId="165" fontId="0" fillId="0" borderId="0" xfId="0" applyNumberFormat="1" applyFont="1" applyAlignment="1">
      <alignment horizontal="center"/>
    </xf>
    <xf numFmtId="44" fontId="0" fillId="3" borderId="0" xfId="1" applyFont="1" applyFill="1" applyBorder="1"/>
    <xf numFmtId="0" fontId="9" fillId="0" borderId="15" xfId="0" applyFont="1" applyFill="1" applyBorder="1"/>
    <xf numFmtId="0" fontId="30" fillId="0" borderId="0" xfId="0" applyFont="1" applyFill="1" applyBorder="1" applyAlignment="1">
      <alignment horizontal="left"/>
    </xf>
    <xf numFmtId="0" fontId="13" fillId="0" borderId="0" xfId="0" applyFont="1" applyAlignment="1">
      <alignment horizontal="center"/>
    </xf>
    <xf numFmtId="165" fontId="1" fillId="0" borderId="44" xfId="0" applyNumberFormat="1" applyFont="1" applyFill="1" applyBorder="1"/>
    <xf numFmtId="44" fontId="13" fillId="0" borderId="0" xfId="1" applyFont="1"/>
    <xf numFmtId="44" fontId="13" fillId="0" borderId="0" xfId="1" applyFont="1" applyFill="1" applyBorder="1"/>
    <xf numFmtId="44" fontId="27" fillId="3" borderId="44" xfId="1" applyFont="1" applyFill="1" applyBorder="1"/>
    <xf numFmtId="165" fontId="0" fillId="0" borderId="0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165" fontId="1" fillId="7" borderId="34" xfId="1" applyNumberFormat="1" applyFont="1" applyFill="1" applyBorder="1" applyAlignment="1">
      <alignment horizontal="center"/>
    </xf>
    <xf numFmtId="165" fontId="36" fillId="0" borderId="0" xfId="0" applyNumberFormat="1" applyFont="1" applyFill="1" applyBorder="1" applyAlignment="1">
      <alignment horizontal="center"/>
    </xf>
    <xf numFmtId="165" fontId="41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29" fillId="0" borderId="44" xfId="0" applyFont="1" applyFill="1" applyBorder="1" applyAlignment="1">
      <alignment horizontal="center"/>
    </xf>
    <xf numFmtId="165" fontId="0" fillId="0" borderId="0" xfId="0" applyNumberFormat="1" applyFont="1" applyFill="1" applyBorder="1" applyAlignment="1">
      <alignment horizontal="center"/>
    </xf>
    <xf numFmtId="165" fontId="42" fillId="0" borderId="0" xfId="0" applyNumberFormat="1" applyFont="1" applyBorder="1" applyAlignment="1">
      <alignment horizontal="center"/>
    </xf>
    <xf numFmtId="16" fontId="17" fillId="0" borderId="0" xfId="0" applyNumberFormat="1" applyFont="1" applyFill="1" applyBorder="1"/>
    <xf numFmtId="16" fontId="1" fillId="0" borderId="15" xfId="0" applyNumberFormat="1" applyFont="1" applyFill="1" applyBorder="1"/>
    <xf numFmtId="0" fontId="17" fillId="0" borderId="15" xfId="0" applyFont="1" applyFill="1" applyBorder="1"/>
    <xf numFmtId="0" fontId="1" fillId="0" borderId="15" xfId="0" applyFont="1" applyFill="1" applyBorder="1"/>
    <xf numFmtId="44" fontId="1" fillId="0" borderId="11" xfId="1" applyFont="1" applyFill="1" applyBorder="1" applyAlignment="1">
      <alignment horizontal="right"/>
    </xf>
    <xf numFmtId="44" fontId="17" fillId="0" borderId="0" xfId="1" applyFont="1" applyFill="1" applyBorder="1" applyAlignment="1">
      <alignment horizontal="left"/>
    </xf>
    <xf numFmtId="0" fontId="13" fillId="0" borderId="0" xfId="0" applyFont="1" applyAlignment="1">
      <alignment horizontal="center"/>
    </xf>
    <xf numFmtId="0" fontId="14" fillId="0" borderId="44" xfId="0" applyFont="1" applyFill="1" applyBorder="1"/>
    <xf numFmtId="44" fontId="0" fillId="0" borderId="44" xfId="1" applyFont="1" applyFill="1" applyBorder="1"/>
    <xf numFmtId="0" fontId="21" fillId="0" borderId="44" xfId="0" applyFont="1" applyFill="1" applyBorder="1"/>
    <xf numFmtId="1" fontId="44" fillId="0" borderId="44" xfId="0" applyNumberFormat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165" fontId="1" fillId="12" borderId="34" xfId="1" applyNumberFormat="1" applyFont="1" applyFill="1" applyBorder="1" applyAlignment="1">
      <alignment horizontal="center"/>
    </xf>
    <xf numFmtId="1" fontId="29" fillId="0" borderId="44" xfId="1" applyNumberFormat="1" applyFont="1" applyFill="1" applyBorder="1" applyAlignment="1">
      <alignment horizontal="center"/>
    </xf>
    <xf numFmtId="1" fontId="44" fillId="0" borderId="44" xfId="1" applyNumberFormat="1" applyFont="1" applyFill="1" applyBorder="1" applyAlignment="1">
      <alignment horizontal="center"/>
    </xf>
    <xf numFmtId="0" fontId="45" fillId="0" borderId="44" xfId="0" applyFont="1" applyFill="1" applyBorder="1"/>
    <xf numFmtId="0" fontId="44" fillId="0" borderId="44" xfId="0" applyFont="1" applyFill="1" applyBorder="1" applyAlignment="1">
      <alignment horizontal="center"/>
    </xf>
    <xf numFmtId="44" fontId="1" fillId="6" borderId="11" xfId="1" applyFont="1" applyFill="1" applyBorder="1"/>
    <xf numFmtId="0" fontId="25" fillId="0" borderId="44" xfId="0" applyFont="1" applyFill="1" applyBorder="1" applyAlignment="1">
      <alignment horizontal="left"/>
    </xf>
    <xf numFmtId="16" fontId="25" fillId="0" borderId="44" xfId="0" applyNumberFormat="1" applyFont="1" applyFill="1" applyBorder="1" applyAlignment="1">
      <alignment horizontal="center"/>
    </xf>
    <xf numFmtId="1" fontId="44" fillId="0" borderId="44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8" xfId="0" applyFont="1" applyBorder="1"/>
    <xf numFmtId="44" fontId="0" fillId="0" borderId="28" xfId="1" applyFont="1" applyBorder="1"/>
    <xf numFmtId="44" fontId="0" fillId="0" borderId="28" xfId="1" applyFont="1" applyFill="1" applyBorder="1"/>
    <xf numFmtId="0" fontId="1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24" xfId="0" applyFont="1" applyBorder="1" applyAlignment="1">
      <alignment horizontal="center"/>
    </xf>
    <xf numFmtId="165" fontId="21" fillId="0" borderId="0" xfId="0" applyNumberFormat="1" applyFont="1"/>
    <xf numFmtId="165" fontId="1" fillId="0" borderId="47" xfId="0" applyNumberFormat="1" applyFont="1" applyBorder="1"/>
    <xf numFmtId="44" fontId="46" fillId="0" borderId="44" xfId="1" applyFont="1" applyBorder="1"/>
    <xf numFmtId="44" fontId="47" fillId="0" borderId="44" xfId="1" applyFont="1" applyBorder="1"/>
    <xf numFmtId="165" fontId="47" fillId="0" borderId="44" xfId="0" applyNumberFormat="1" applyFont="1" applyBorder="1"/>
    <xf numFmtId="16" fontId="48" fillId="0" borderId="0" xfId="0" applyNumberFormat="1" applyFont="1"/>
    <xf numFmtId="165" fontId="46" fillId="0" borderId="44" xfId="0" applyNumberFormat="1" applyFont="1" applyBorder="1"/>
    <xf numFmtId="44" fontId="46" fillId="0" borderId="44" xfId="1" applyFont="1" applyFill="1" applyBorder="1" applyAlignment="1">
      <alignment horizontal="center"/>
    </xf>
    <xf numFmtId="165" fontId="46" fillId="0" borderId="44" xfId="0" applyNumberFormat="1" applyFont="1" applyFill="1" applyBorder="1"/>
    <xf numFmtId="44" fontId="46" fillId="0" borderId="44" xfId="1" applyFont="1" applyFill="1" applyBorder="1"/>
    <xf numFmtId="0" fontId="0" fillId="6" borderId="0" xfId="0" applyFont="1" applyFill="1" applyBorder="1" applyAlignment="1">
      <alignment horizontal="center"/>
    </xf>
    <xf numFmtId="165" fontId="42" fillId="0" borderId="0" xfId="0" applyNumberFormat="1" applyFont="1" applyFill="1" applyAlignment="1">
      <alignment horizontal="center"/>
    </xf>
    <xf numFmtId="44" fontId="3" fillId="0" borderId="0" xfId="1" applyFont="1" applyFill="1" applyBorder="1"/>
    <xf numFmtId="165" fontId="3" fillId="0" borderId="0" xfId="0" applyNumberFormat="1" applyFont="1" applyFill="1" applyBorder="1" applyAlignment="1">
      <alignment horizontal="center"/>
    </xf>
    <xf numFmtId="165" fontId="37" fillId="0" borderId="0" xfId="0" applyNumberFormat="1" applyFont="1" applyFill="1" applyBorder="1" applyAlignment="1">
      <alignment horizontal="center"/>
    </xf>
    <xf numFmtId="165" fontId="1" fillId="0" borderId="0" xfId="0" applyNumberFormat="1" applyFont="1" applyFill="1" applyAlignment="1">
      <alignment horizontal="center"/>
    </xf>
    <xf numFmtId="16" fontId="17" fillId="0" borderId="15" xfId="0" applyNumberFormat="1" applyFont="1" applyFill="1" applyBorder="1"/>
    <xf numFmtId="44" fontId="1" fillId="13" borderId="44" xfId="1" applyFont="1" applyFill="1" applyBorder="1" applyAlignment="1">
      <alignment horizontal="center"/>
    </xf>
    <xf numFmtId="44" fontId="1" fillId="14" borderId="44" xfId="1" applyFont="1" applyFill="1" applyBorder="1" applyAlignment="1">
      <alignment horizontal="center"/>
    </xf>
    <xf numFmtId="44" fontId="1" fillId="0" borderId="0" xfId="1" applyFont="1" applyFill="1" applyBorder="1" applyAlignment="1">
      <alignment horizontal="right"/>
    </xf>
    <xf numFmtId="44" fontId="1" fillId="0" borderId="11" xfId="1" applyFont="1" applyBorder="1" applyAlignment="1">
      <alignment horizontal="right"/>
    </xf>
    <xf numFmtId="0" fontId="18" fillId="0" borderId="15" xfId="0" applyFont="1" applyBorder="1"/>
    <xf numFmtId="0" fontId="1" fillId="0" borderId="15" xfId="0" applyFont="1" applyBorder="1"/>
    <xf numFmtId="0" fontId="13" fillId="0" borderId="0" xfId="0" applyFont="1" applyAlignment="1">
      <alignment horizontal="center"/>
    </xf>
    <xf numFmtId="165" fontId="49" fillId="0" borderId="0" xfId="0" applyNumberFormat="1" applyFont="1"/>
    <xf numFmtId="165" fontId="1" fillId="11" borderId="34" xfId="1" applyNumberFormat="1" applyFont="1" applyFill="1" applyBorder="1" applyAlignment="1">
      <alignment horizontal="center"/>
    </xf>
    <xf numFmtId="165" fontId="30" fillId="0" borderId="44" xfId="0" applyNumberFormat="1" applyFont="1" applyFill="1" applyBorder="1" applyAlignment="1">
      <alignment horizontal="left"/>
    </xf>
    <xf numFmtId="0" fontId="1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24" xfId="0" applyFont="1" applyBorder="1" applyAlignment="1">
      <alignment horizontal="center"/>
    </xf>
    <xf numFmtId="0" fontId="3" fillId="12" borderId="0" xfId="0" applyFont="1" applyFill="1"/>
    <xf numFmtId="0" fontId="18" fillId="0" borderId="15" xfId="0" applyFont="1" applyFill="1" applyBorder="1"/>
    <xf numFmtId="0" fontId="3" fillId="0" borderId="72" xfId="0" applyFont="1" applyFill="1" applyBorder="1"/>
    <xf numFmtId="0" fontId="3" fillId="0" borderId="73" xfId="0" applyFont="1" applyFill="1" applyBorder="1"/>
    <xf numFmtId="0" fontId="3" fillId="0" borderId="0" xfId="0" applyFont="1" applyFill="1"/>
    <xf numFmtId="44" fontId="50" fillId="0" borderId="0" xfId="1" applyFont="1" applyFill="1"/>
    <xf numFmtId="44" fontId="47" fillId="0" borderId="0" xfId="1" applyFont="1" applyFill="1" applyBorder="1"/>
    <xf numFmtId="165" fontId="47" fillId="0" borderId="0" xfId="0" applyNumberFormat="1" applyFont="1" applyFill="1" applyBorder="1"/>
    <xf numFmtId="44" fontId="46" fillId="0" borderId="0" xfId="1" applyFont="1" applyFill="1" applyBorder="1"/>
    <xf numFmtId="165" fontId="46" fillId="0" borderId="0" xfId="0" applyNumberFormat="1" applyFont="1" applyFill="1" applyBorder="1"/>
    <xf numFmtId="1" fontId="6" fillId="0" borderId="44" xfId="1" applyNumberFormat="1" applyFont="1" applyFill="1" applyBorder="1" applyAlignment="1">
      <alignment horizontal="center"/>
    </xf>
    <xf numFmtId="165" fontId="3" fillId="0" borderId="0" xfId="0" applyNumberFormat="1" applyFont="1" applyFill="1" applyAlignment="1">
      <alignment horizontal="center"/>
    </xf>
    <xf numFmtId="44" fontId="36" fillId="0" borderId="0" xfId="1" applyFont="1" applyFill="1" applyBorder="1" applyAlignment="1"/>
    <xf numFmtId="165" fontId="51" fillId="0" borderId="0" xfId="0" applyNumberFormat="1" applyFont="1" applyFill="1" applyAlignment="1">
      <alignment horizontal="center"/>
    </xf>
    <xf numFmtId="44" fontId="1" fillId="15" borderId="0" xfId="1" applyFont="1" applyFill="1"/>
    <xf numFmtId="165" fontId="1" fillId="15" borderId="0" xfId="0" applyNumberFormat="1" applyFont="1" applyFill="1" applyAlignment="1">
      <alignment horizontal="center"/>
    </xf>
    <xf numFmtId="44" fontId="18" fillId="13" borderId="11" xfId="1" applyFont="1" applyFill="1" applyBorder="1" applyAlignment="1">
      <alignment horizontal="right"/>
    </xf>
    <xf numFmtId="16" fontId="9" fillId="0" borderId="15" xfId="0" applyNumberFormat="1" applyFont="1" applyFill="1" applyBorder="1"/>
    <xf numFmtId="44" fontId="1" fillId="16" borderId="0" xfId="1" applyFont="1" applyFill="1"/>
    <xf numFmtId="165" fontId="30" fillId="6" borderId="44" xfId="0" applyNumberFormat="1" applyFont="1" applyFill="1" applyBorder="1" applyAlignment="1">
      <alignment horizontal="center"/>
    </xf>
    <xf numFmtId="1" fontId="44" fillId="6" borderId="44" xfId="0" applyNumberFormat="1" applyFont="1" applyFill="1" applyBorder="1" applyAlignment="1">
      <alignment horizontal="center"/>
    </xf>
    <xf numFmtId="0" fontId="30" fillId="0" borderId="25" xfId="0" applyFont="1" applyFill="1" applyBorder="1" applyAlignment="1">
      <alignment horizontal="center"/>
    </xf>
    <xf numFmtId="14" fontId="1" fillId="0" borderId="44" xfId="0" applyNumberFormat="1" applyFont="1" applyFill="1" applyBorder="1"/>
    <xf numFmtId="44" fontId="26" fillId="0" borderId="25" xfId="1" applyFont="1" applyFill="1" applyBorder="1"/>
    <xf numFmtId="0" fontId="26" fillId="0" borderId="44" xfId="0" applyFont="1" applyFill="1" applyBorder="1"/>
    <xf numFmtId="1" fontId="44" fillId="0" borderId="25" xfId="0" applyNumberFormat="1" applyFont="1" applyFill="1" applyBorder="1" applyAlignment="1">
      <alignment horizontal="center"/>
    </xf>
    <xf numFmtId="18" fontId="44" fillId="0" borderId="25" xfId="0" applyNumberFormat="1" applyFont="1" applyFill="1" applyBorder="1" applyAlignment="1">
      <alignment horizontal="center"/>
    </xf>
    <xf numFmtId="1" fontId="29" fillId="13" borderId="44" xfId="0" applyNumberFormat="1" applyFont="1" applyFill="1" applyBorder="1" applyAlignment="1">
      <alignment horizontal="center"/>
    </xf>
    <xf numFmtId="44" fontId="1" fillId="13" borderId="0" xfId="1" applyFont="1" applyFill="1" applyBorder="1"/>
    <xf numFmtId="165" fontId="50" fillId="13" borderId="0" xfId="0" applyNumberFormat="1" applyFont="1" applyFill="1" applyBorder="1" applyAlignment="1">
      <alignment horizontal="center"/>
    </xf>
    <xf numFmtId="44" fontId="0" fillId="15" borderId="0" xfId="1" applyFont="1" applyFill="1" applyAlignment="1">
      <alignment horizontal="center"/>
    </xf>
    <xf numFmtId="44" fontId="21" fillId="5" borderId="42" xfId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0" fillId="11" borderId="0" xfId="0" applyFill="1"/>
    <xf numFmtId="1" fontId="44" fillId="0" borderId="45" xfId="0" applyNumberFormat="1" applyFont="1" applyFill="1" applyBorder="1" applyAlignment="1">
      <alignment horizontal="center"/>
    </xf>
    <xf numFmtId="44" fontId="21" fillId="0" borderId="45" xfId="1" applyFont="1" applyFill="1" applyBorder="1" applyAlignment="1">
      <alignment horizontal="center"/>
    </xf>
    <xf numFmtId="0" fontId="21" fillId="0" borderId="45" xfId="0" applyFont="1" applyBorder="1" applyAlignment="1">
      <alignment horizontal="center"/>
    </xf>
    <xf numFmtId="44" fontId="21" fillId="0" borderId="45" xfId="1" applyFont="1" applyBorder="1"/>
    <xf numFmtId="165" fontId="46" fillId="0" borderId="45" xfId="0" applyNumberFormat="1" applyFont="1" applyBorder="1"/>
    <xf numFmtId="0" fontId="0" fillId="0" borderId="50" xfId="0" applyBorder="1"/>
    <xf numFmtId="0" fontId="1" fillId="0" borderId="50" xfId="0" applyFont="1" applyBorder="1"/>
    <xf numFmtId="0" fontId="44" fillId="0" borderId="50" xfId="0" applyFont="1" applyBorder="1" applyAlignment="1">
      <alignment horizontal="center"/>
    </xf>
    <xf numFmtId="44" fontId="1" fillId="0" borderId="50" xfId="1" applyFont="1" applyBorder="1"/>
    <xf numFmtId="0" fontId="13" fillId="0" borderId="0" xfId="0" applyFont="1" applyAlignment="1">
      <alignment horizontal="center"/>
    </xf>
    <xf numFmtId="165" fontId="30" fillId="0" borderId="45" xfId="0" applyNumberFormat="1" applyFont="1" applyFill="1" applyBorder="1" applyAlignment="1">
      <alignment horizontal="center"/>
    </xf>
    <xf numFmtId="44" fontId="27" fillId="0" borderId="45" xfId="1" applyFont="1" applyFill="1" applyBorder="1"/>
    <xf numFmtId="0" fontId="0" fillId="0" borderId="25" xfId="0" applyBorder="1"/>
    <xf numFmtId="0" fontId="44" fillId="0" borderId="25" xfId="0" applyFont="1" applyBorder="1" applyAlignment="1">
      <alignment horizontal="center"/>
    </xf>
    <xf numFmtId="165" fontId="3" fillId="2" borderId="0" xfId="0" applyNumberFormat="1" applyFont="1" applyFill="1" applyAlignment="1">
      <alignment horizontal="center"/>
    </xf>
    <xf numFmtId="44" fontId="26" fillId="0" borderId="44" xfId="1" applyFont="1" applyFill="1" applyBorder="1"/>
    <xf numFmtId="165" fontId="1" fillId="13" borderId="34" xfId="1" applyNumberFormat="1" applyFont="1" applyFill="1" applyBorder="1" applyAlignment="1">
      <alignment horizontal="center"/>
    </xf>
    <xf numFmtId="165" fontId="21" fillId="0" borderId="44" xfId="0" applyNumberFormat="1" applyFont="1" applyFill="1" applyBorder="1" applyAlignment="1">
      <alignment horizontal="center"/>
    </xf>
    <xf numFmtId="165" fontId="21" fillId="0" borderId="44" xfId="0" applyNumberFormat="1" applyFont="1" applyBorder="1" applyAlignment="1">
      <alignment horizontal="center"/>
    </xf>
    <xf numFmtId="165" fontId="18" fillId="0" borderId="0" xfId="0" applyNumberFormat="1" applyFont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24" xfId="0" applyFont="1" applyBorder="1" applyAlignment="1">
      <alignment horizontal="center"/>
    </xf>
    <xf numFmtId="44" fontId="21" fillId="5" borderId="42" xfId="1" applyFont="1" applyFill="1" applyBorder="1" applyAlignment="1">
      <alignment horizontal="center"/>
    </xf>
    <xf numFmtId="0" fontId="0" fillId="0" borderId="0" xfId="0" applyFont="1" applyAlignment="1"/>
    <xf numFmtId="0" fontId="13" fillId="0" borderId="0" xfId="0" applyFont="1" applyAlignment="1">
      <alignment horizontal="center"/>
    </xf>
    <xf numFmtId="0" fontId="1" fillId="0" borderId="0" xfId="0" applyFont="1" applyFill="1"/>
    <xf numFmtId="0" fontId="1" fillId="0" borderId="28" xfId="0" applyFont="1" applyFill="1" applyBorder="1"/>
    <xf numFmtId="0" fontId="0" fillId="0" borderId="28" xfId="0" applyFill="1" applyBorder="1"/>
    <xf numFmtId="165" fontId="18" fillId="0" borderId="0" xfId="0" applyNumberFormat="1" applyFont="1" applyFill="1" applyAlignment="1">
      <alignment horizontal="center"/>
    </xf>
    <xf numFmtId="0" fontId="44" fillId="0" borderId="25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0" fontId="0" fillId="0" borderId="25" xfId="0" applyFill="1" applyBorder="1"/>
    <xf numFmtId="0" fontId="13" fillId="11" borderId="0" xfId="0" applyFont="1" applyFill="1"/>
    <xf numFmtId="44" fontId="0" fillId="11" borderId="0" xfId="1" applyFont="1" applyFill="1"/>
    <xf numFmtId="16" fontId="21" fillId="0" borderId="44" xfId="1" applyNumberFormat="1" applyFont="1" applyFill="1" applyBorder="1" applyAlignment="1">
      <alignment horizontal="center"/>
    </xf>
    <xf numFmtId="0" fontId="17" fillId="7" borderId="15" xfId="0" applyFont="1" applyFill="1" applyBorder="1" applyAlignment="1">
      <alignment horizontal="center"/>
    </xf>
    <xf numFmtId="44" fontId="0" fillId="15" borderId="0" xfId="1" applyFont="1" applyFill="1"/>
    <xf numFmtId="0" fontId="6" fillId="0" borderId="44" xfId="0" applyFont="1" applyFill="1" applyBorder="1" applyAlignment="1">
      <alignment horizontal="center"/>
    </xf>
    <xf numFmtId="0" fontId="3" fillId="0" borderId="44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44" fontId="14" fillId="0" borderId="45" xfId="0" applyNumberFormat="1" applyFont="1" applyBorder="1"/>
    <xf numFmtId="44" fontId="47" fillId="0" borderId="45" xfId="1" applyFont="1" applyBorder="1"/>
    <xf numFmtId="0" fontId="1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24" xfId="0" applyFont="1" applyBorder="1" applyAlignment="1">
      <alignment horizontal="center"/>
    </xf>
    <xf numFmtId="44" fontId="21" fillId="5" borderId="42" xfId="1" applyFont="1" applyFill="1" applyBorder="1" applyAlignment="1">
      <alignment horizontal="center"/>
    </xf>
    <xf numFmtId="0" fontId="17" fillId="0" borderId="15" xfId="0" applyFont="1" applyFill="1" applyBorder="1" applyAlignment="1">
      <alignment horizontal="center"/>
    </xf>
    <xf numFmtId="0" fontId="53" fillId="0" borderId="0" xfId="0" applyFont="1"/>
    <xf numFmtId="44" fontId="1" fillId="0" borderId="0" xfId="1" applyFont="1" applyBorder="1" applyAlignment="1">
      <alignment horizontal="right"/>
    </xf>
    <xf numFmtId="0" fontId="53" fillId="0" borderId="0" xfId="0" applyFont="1" applyFill="1"/>
    <xf numFmtId="0" fontId="17" fillId="0" borderId="0" xfId="0" applyFont="1" applyFill="1"/>
    <xf numFmtId="0" fontId="0" fillId="0" borderId="0" xfId="0" applyFont="1" applyFill="1" applyAlignment="1"/>
    <xf numFmtId="0" fontId="19" fillId="0" borderId="0" xfId="0" applyFont="1" applyFill="1"/>
    <xf numFmtId="16" fontId="11" fillId="0" borderId="15" xfId="0" applyNumberFormat="1" applyFont="1" applyFill="1" applyBorder="1"/>
    <xf numFmtId="44" fontId="52" fillId="0" borderId="0" xfId="1" applyFont="1" applyFill="1" applyBorder="1" applyAlignment="1">
      <alignment horizontal="right"/>
    </xf>
    <xf numFmtId="16" fontId="17" fillId="0" borderId="15" xfId="0" applyNumberFormat="1" applyFont="1" applyFill="1" applyBorder="1" applyAlignment="1">
      <alignment horizontal="right"/>
    </xf>
    <xf numFmtId="0" fontId="11" fillId="0" borderId="15" xfId="0" applyFont="1" applyFill="1" applyBorder="1"/>
    <xf numFmtId="44" fontId="0" fillId="0" borderId="43" xfId="1" applyFont="1" applyFill="1" applyBorder="1"/>
    <xf numFmtId="0" fontId="18" fillId="0" borderId="15" xfId="0" applyFont="1" applyFill="1" applyBorder="1" applyAlignment="1">
      <alignment horizontal="center"/>
    </xf>
    <xf numFmtId="44" fontId="37" fillId="12" borderId="0" xfId="1" applyFont="1" applyFill="1"/>
    <xf numFmtId="0" fontId="3" fillId="17" borderId="72" xfId="0" applyFont="1" applyFill="1" applyBorder="1"/>
    <xf numFmtId="0" fontId="3" fillId="17" borderId="75" xfId="0" applyFont="1" applyFill="1" applyBorder="1"/>
    <xf numFmtId="0" fontId="5" fillId="0" borderId="15" xfId="0" applyFont="1" applyBorder="1"/>
    <xf numFmtId="44" fontId="1" fillId="17" borderId="0" xfId="1" applyFont="1" applyFill="1"/>
    <xf numFmtId="0" fontId="0" fillId="17" borderId="0" xfId="0" applyFill="1"/>
    <xf numFmtId="44" fontId="52" fillId="6" borderId="0" xfId="1" applyFont="1" applyFill="1"/>
    <xf numFmtId="0" fontId="53" fillId="6" borderId="0" xfId="0" applyFont="1" applyFill="1"/>
    <xf numFmtId="44" fontId="0" fillId="0" borderId="78" xfId="1" applyFont="1" applyFill="1" applyBorder="1"/>
    <xf numFmtId="44" fontId="1" fillId="0" borderId="11" xfId="1" applyFont="1" applyBorder="1" applyAlignment="1"/>
    <xf numFmtId="0" fontId="0" fillId="0" borderId="79" xfId="0" applyFill="1" applyBorder="1"/>
    <xf numFmtId="16" fontId="0" fillId="0" borderId="79" xfId="0" applyNumberFormat="1" applyFill="1" applyBorder="1"/>
    <xf numFmtId="0" fontId="18" fillId="0" borderId="79" xfId="0" applyFont="1" applyFill="1" applyBorder="1"/>
    <xf numFmtId="0" fontId="1" fillId="0" borderId="79" xfId="0" applyFont="1" applyFill="1" applyBorder="1"/>
    <xf numFmtId="0" fontId="3" fillId="0" borderId="79" xfId="0" applyFont="1" applyFill="1" applyBorder="1"/>
    <xf numFmtId="0" fontId="17" fillId="0" borderId="79" xfId="0" applyFont="1" applyFill="1" applyBorder="1"/>
    <xf numFmtId="44" fontId="1" fillId="2" borderId="11" xfId="1" applyFont="1" applyFill="1" applyBorder="1"/>
    <xf numFmtId="0" fontId="0" fillId="2" borderId="0" xfId="0" applyFill="1"/>
    <xf numFmtId="15" fontId="0" fillId="2" borderId="15" xfId="0" applyNumberFormat="1" applyFill="1" applyBorder="1"/>
    <xf numFmtId="44" fontId="1" fillId="2" borderId="33" xfId="1" applyFont="1" applyFill="1" applyBorder="1"/>
    <xf numFmtId="44" fontId="0" fillId="2" borderId="43" xfId="1" applyFont="1" applyFill="1" applyBorder="1"/>
    <xf numFmtId="0" fontId="13" fillId="0" borderId="0" xfId="0" applyFont="1" applyAlignment="1">
      <alignment horizontal="center"/>
    </xf>
    <xf numFmtId="0" fontId="0" fillId="15" borderId="0" xfId="0" applyFill="1"/>
    <xf numFmtId="44" fontId="1" fillId="0" borderId="0" xfId="1" applyFont="1" applyFill="1" applyBorder="1" applyAlignment="1">
      <alignment horizontal="left"/>
    </xf>
    <xf numFmtId="16" fontId="1" fillId="0" borderId="15" xfId="0" applyNumberFormat="1" applyFont="1" applyFill="1" applyBorder="1" applyAlignment="1">
      <alignment horizontal="center"/>
    </xf>
    <xf numFmtId="0" fontId="0" fillId="6" borderId="44" xfId="0" applyFill="1" applyBorder="1"/>
    <xf numFmtId="44" fontId="0" fillId="6" borderId="44" xfId="1" applyFont="1" applyFill="1" applyBorder="1"/>
    <xf numFmtId="0" fontId="1" fillId="6" borderId="44" xfId="0" applyFont="1" applyFill="1" applyBorder="1" applyAlignment="1">
      <alignment horizontal="center"/>
    </xf>
    <xf numFmtId="44" fontId="1" fillId="6" borderId="44" xfId="1" applyFont="1" applyFill="1" applyBorder="1"/>
    <xf numFmtId="44" fontId="1" fillId="6" borderId="44" xfId="1" applyFont="1" applyFill="1" applyBorder="1" applyAlignment="1">
      <alignment horizontal="center"/>
    </xf>
    <xf numFmtId="165" fontId="55" fillId="0" borderId="0" xfId="0" applyNumberFormat="1" applyFont="1" applyFill="1" applyBorder="1" applyAlignment="1">
      <alignment horizontal="center"/>
    </xf>
    <xf numFmtId="44" fontId="46" fillId="5" borderId="44" xfId="1" applyFont="1" applyFill="1" applyBorder="1"/>
    <xf numFmtId="165" fontId="46" fillId="5" borderId="44" xfId="0" applyNumberFormat="1" applyFont="1" applyFill="1" applyBorder="1"/>
    <xf numFmtId="0" fontId="13" fillId="0" borderId="0" xfId="0" applyFont="1" applyAlignment="1">
      <alignment horizontal="center"/>
    </xf>
    <xf numFmtId="44" fontId="3" fillId="3" borderId="0" xfId="1" applyFont="1" applyFill="1"/>
    <xf numFmtId="0" fontId="13" fillId="0" borderId="0" xfId="0" applyFont="1" applyAlignment="1">
      <alignment horizontal="center"/>
    </xf>
    <xf numFmtId="44" fontId="18" fillId="15" borderId="0" xfId="1" applyFont="1" applyFill="1"/>
    <xf numFmtId="0" fontId="18" fillId="15" borderId="0" xfId="0" applyFont="1" applyFill="1"/>
    <xf numFmtId="0" fontId="17" fillId="15" borderId="0" xfId="0" applyFont="1" applyFill="1"/>
    <xf numFmtId="44" fontId="0" fillId="6" borderId="41" xfId="1" applyFont="1" applyFill="1" applyBorder="1"/>
    <xf numFmtId="0" fontId="0" fillId="2" borderId="15" xfId="0" applyFill="1" applyBorder="1"/>
    <xf numFmtId="166" fontId="1" fillId="2" borderId="11" xfId="0" applyNumberFormat="1" applyFont="1" applyFill="1" applyBorder="1" applyAlignment="1">
      <alignment horizontal="right"/>
    </xf>
    <xf numFmtId="0" fontId="1" fillId="15" borderId="0" xfId="0" applyFont="1" applyFill="1"/>
    <xf numFmtId="0" fontId="1" fillId="13" borderId="0" xfId="0" applyFont="1" applyFill="1" applyBorder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24" xfId="0" applyFont="1" applyBorder="1" applyAlignment="1">
      <alignment horizontal="center"/>
    </xf>
    <xf numFmtId="44" fontId="21" fillId="5" borderId="42" xfId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44" fontId="1" fillId="0" borderId="41" xfId="1" applyFont="1" applyFill="1" applyBorder="1"/>
    <xf numFmtId="0" fontId="13" fillId="0" borderId="0" xfId="0" applyFont="1" applyAlignment="1">
      <alignment horizontal="center"/>
    </xf>
    <xf numFmtId="1" fontId="44" fillId="0" borderId="47" xfId="0" applyNumberFormat="1" applyFont="1" applyFill="1" applyBorder="1" applyAlignment="1">
      <alignment horizontal="center"/>
    </xf>
    <xf numFmtId="165" fontId="17" fillId="0" borderId="0" xfId="0" applyNumberFormat="1" applyFont="1" applyFill="1" applyAlignment="1">
      <alignment horizontal="center"/>
    </xf>
    <xf numFmtId="0" fontId="0" fillId="11" borderId="0" xfId="0" applyFill="1" applyBorder="1"/>
    <xf numFmtId="0" fontId="0" fillId="11" borderId="0" xfId="0" applyFont="1" applyFill="1" applyBorder="1"/>
    <xf numFmtId="0" fontId="1" fillId="0" borderId="15" xfId="0" applyFont="1" applyFill="1" applyBorder="1" applyAlignment="1">
      <alignment horizontal="center"/>
    </xf>
    <xf numFmtId="0" fontId="48" fillId="0" borderId="44" xfId="0" applyFont="1" applyBorder="1"/>
    <xf numFmtId="17" fontId="14" fillId="0" borderId="0" xfId="0" applyNumberFormat="1" applyFont="1"/>
    <xf numFmtId="0" fontId="13" fillId="0" borderId="0" xfId="0" applyFont="1" applyAlignment="1">
      <alignment horizontal="center"/>
    </xf>
    <xf numFmtId="0" fontId="21" fillId="0" borderId="44" xfId="0" applyFont="1" applyBorder="1"/>
    <xf numFmtId="1" fontId="44" fillId="15" borderId="44" xfId="0" applyNumberFormat="1" applyFont="1" applyFill="1" applyBorder="1" applyAlignment="1">
      <alignment horizontal="center"/>
    </xf>
    <xf numFmtId="44" fontId="1" fillId="15" borderId="44" xfId="1" applyFont="1" applyFill="1" applyBorder="1"/>
    <xf numFmtId="0" fontId="1" fillId="0" borderId="44" xfId="0" applyFont="1" applyFill="1" applyBorder="1"/>
    <xf numFmtId="16" fontId="18" fillId="0" borderId="15" xfId="0" applyNumberFormat="1" applyFont="1" applyFill="1" applyBorder="1"/>
    <xf numFmtId="0" fontId="13" fillId="0" borderId="0" xfId="0" applyFont="1" applyAlignment="1">
      <alignment horizontal="center"/>
    </xf>
    <xf numFmtId="165" fontId="1" fillId="14" borderId="34" xfId="1" applyNumberFormat="1" applyFont="1" applyFill="1" applyBorder="1" applyAlignment="1">
      <alignment horizontal="center"/>
    </xf>
    <xf numFmtId="1" fontId="44" fillId="0" borderId="0" xfId="0" applyNumberFormat="1" applyFont="1" applyFill="1" applyBorder="1" applyAlignment="1">
      <alignment horizontal="center"/>
    </xf>
    <xf numFmtId="1" fontId="44" fillId="0" borderId="50" xfId="0" applyNumberFormat="1" applyFont="1" applyFill="1" applyBorder="1" applyAlignment="1">
      <alignment horizontal="center"/>
    </xf>
    <xf numFmtId="44" fontId="1" fillId="0" borderId="50" xfId="1" applyFont="1" applyFill="1" applyBorder="1" applyAlignment="1">
      <alignment horizontal="center"/>
    </xf>
    <xf numFmtId="0" fontId="21" fillId="0" borderId="50" xfId="0" applyFont="1" applyBorder="1" applyAlignment="1">
      <alignment horizontal="center"/>
    </xf>
    <xf numFmtId="44" fontId="47" fillId="0" borderId="50" xfId="1" applyFont="1" applyBorder="1"/>
    <xf numFmtId="165" fontId="47" fillId="0" borderId="50" xfId="0" applyNumberFormat="1" applyFont="1" applyBorder="1"/>
    <xf numFmtId="0" fontId="13" fillId="0" borderId="0" xfId="0" applyFont="1" applyAlignment="1">
      <alignment horizontal="center"/>
    </xf>
    <xf numFmtId="165" fontId="30" fillId="0" borderId="45" xfId="0" applyNumberFormat="1" applyFont="1" applyFill="1" applyBorder="1" applyAlignment="1">
      <alignment horizontal="left"/>
    </xf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24" xfId="0" applyFont="1" applyBorder="1" applyAlignment="1">
      <alignment horizontal="center"/>
    </xf>
    <xf numFmtId="44" fontId="21" fillId="5" borderId="42" xfId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" fillId="0" borderId="25" xfId="0" applyFont="1" applyFill="1" applyBorder="1" applyAlignment="1">
      <alignment horizontal="center"/>
    </xf>
    <xf numFmtId="1" fontId="44" fillId="14" borderId="44" xfId="0" applyNumberFormat="1" applyFont="1" applyFill="1" applyBorder="1" applyAlignment="1">
      <alignment horizontal="center"/>
    </xf>
    <xf numFmtId="44" fontId="1" fillId="14" borderId="0" xfId="1" applyFont="1" applyFill="1"/>
    <xf numFmtId="165" fontId="1" fillId="8" borderId="34" xfId="1" applyNumberFormat="1" applyFont="1" applyFill="1" applyBorder="1" applyAlignment="1">
      <alignment horizontal="center"/>
    </xf>
    <xf numFmtId="0" fontId="25" fillId="0" borderId="80" xfId="0" applyFont="1" applyFill="1" applyBorder="1" applyAlignment="1">
      <alignment horizontal="center"/>
    </xf>
    <xf numFmtId="0" fontId="29" fillId="0" borderId="25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3" fillId="0" borderId="15" xfId="0" applyFont="1" applyFill="1" applyBorder="1"/>
    <xf numFmtId="44" fontId="0" fillId="0" borderId="78" xfId="1" applyFont="1" applyBorder="1"/>
    <xf numFmtId="0" fontId="21" fillId="0" borderId="0" xfId="0" applyFont="1" applyAlignment="1">
      <alignment horizontal="right"/>
    </xf>
    <xf numFmtId="44" fontId="0" fillId="6" borderId="0" xfId="1" applyFont="1" applyFill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5" fillId="0" borderId="0" xfId="0" applyFont="1" applyFill="1" applyBorder="1"/>
    <xf numFmtId="0" fontId="13" fillId="0" borderId="0" xfId="0" applyFont="1" applyAlignment="1">
      <alignment horizontal="center"/>
    </xf>
    <xf numFmtId="44" fontId="21" fillId="0" borderId="44" xfId="1" applyFont="1" applyFill="1" applyBorder="1" applyAlignment="1">
      <alignment horizontal="left"/>
    </xf>
    <xf numFmtId="44" fontId="1" fillId="0" borderId="44" xfId="1" applyFont="1" applyFill="1" applyBorder="1" applyAlignment="1">
      <alignment horizontal="left"/>
    </xf>
    <xf numFmtId="0" fontId="0" fillId="14" borderId="0" xfId="0" applyFill="1"/>
    <xf numFmtId="0" fontId="1" fillId="16" borderId="0" xfId="0" applyFont="1" applyFill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165" fontId="1" fillId="14" borderId="44" xfId="0" applyNumberFormat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24" xfId="0" applyFont="1" applyBorder="1" applyAlignment="1">
      <alignment horizontal="center"/>
    </xf>
    <xf numFmtId="44" fontId="21" fillId="5" borderId="42" xfId="1" applyFont="1" applyFill="1" applyBorder="1" applyAlignment="1">
      <alignment horizontal="center"/>
    </xf>
    <xf numFmtId="165" fontId="1" fillId="17" borderId="34" xfId="1" applyNumberFormat="1" applyFont="1" applyFill="1" applyBorder="1" applyAlignment="1">
      <alignment horizontal="center"/>
    </xf>
    <xf numFmtId="166" fontId="6" fillId="0" borderId="81" xfId="0" applyNumberFormat="1" applyFont="1" applyBorder="1" applyAlignment="1"/>
    <xf numFmtId="166" fontId="6" fillId="0" borderId="82" xfId="0" applyNumberFormat="1" applyFont="1" applyBorder="1" applyAlignme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44" fontId="21" fillId="0" borderId="34" xfId="0" applyNumberFormat="1" applyFont="1" applyBorder="1"/>
    <xf numFmtId="44" fontId="21" fillId="0" borderId="0" xfId="0" applyNumberFormat="1" applyFont="1" applyBorder="1"/>
    <xf numFmtId="0" fontId="13" fillId="0" borderId="0" xfId="0" applyFont="1" applyBorder="1" applyAlignment="1"/>
    <xf numFmtId="0" fontId="21" fillId="0" borderId="0" xfId="0" applyFont="1" applyBorder="1" applyAlignment="1"/>
    <xf numFmtId="16" fontId="0" fillId="0" borderId="44" xfId="0" applyNumberFormat="1" applyBorder="1"/>
    <xf numFmtId="0" fontId="13" fillId="0" borderId="0" xfId="0" applyFont="1" applyAlignment="1">
      <alignment horizontal="center"/>
    </xf>
    <xf numFmtId="164" fontId="9" fillId="3" borderId="0" xfId="0" applyNumberFormat="1" applyFont="1" applyFill="1"/>
    <xf numFmtId="15" fontId="0" fillId="3" borderId="10" xfId="0" applyNumberFormat="1" applyFill="1" applyBorder="1"/>
    <xf numFmtId="0" fontId="0" fillId="3" borderId="0" xfId="0" applyFill="1"/>
    <xf numFmtId="15" fontId="0" fillId="3" borderId="15" xfId="0" applyNumberFormat="1" applyFill="1" applyBorder="1"/>
    <xf numFmtId="44" fontId="0" fillId="3" borderId="41" xfId="1" applyFont="1" applyFill="1" applyBorder="1"/>
    <xf numFmtId="44" fontId="1" fillId="15" borderId="5" xfId="1" applyFont="1" applyFill="1" applyBorder="1"/>
    <xf numFmtId="0" fontId="1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 applyBorder="1" applyAlignment="1">
      <alignment horizontal="center" vertical="center" wrapText="1"/>
    </xf>
    <xf numFmtId="0" fontId="12" fillId="0" borderId="0" xfId="0" applyFont="1" applyFill="1" applyAlignme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164" fontId="6" fillId="0" borderId="25" xfId="0" applyNumberFormat="1" applyFont="1" applyBorder="1" applyAlignment="1">
      <alignment horizontal="center" vertical="center" wrapText="1"/>
    </xf>
    <xf numFmtId="164" fontId="6" fillId="0" borderId="26" xfId="0" applyNumberFormat="1" applyFont="1" applyBorder="1" applyAlignment="1">
      <alignment horizontal="center" vertical="center" wrapText="1"/>
    </xf>
    <xf numFmtId="164" fontId="6" fillId="0" borderId="26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4" xfId="0" applyFont="1" applyBorder="1" applyAlignment="1">
      <alignment horizontal="center"/>
    </xf>
    <xf numFmtId="0" fontId="13" fillId="2" borderId="8" xfId="0" applyFont="1" applyFill="1" applyBorder="1" applyAlignment="1">
      <alignment horizontal="center" vertical="center"/>
    </xf>
    <xf numFmtId="0" fontId="13" fillId="2" borderId="29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/>
    </xf>
    <xf numFmtId="164" fontId="7" fillId="0" borderId="13" xfId="0" applyNumberFormat="1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44" fontId="17" fillId="0" borderId="15" xfId="1" applyFont="1" applyFill="1" applyBorder="1" applyAlignment="1">
      <alignment horizontal="center" wrapText="1"/>
    </xf>
    <xf numFmtId="44" fontId="17" fillId="0" borderId="0" xfId="1" applyFont="1" applyFill="1" applyBorder="1" applyAlignment="1">
      <alignment horizontal="center" wrapText="1"/>
    </xf>
    <xf numFmtId="44" fontId="21" fillId="5" borderId="1" xfId="1" applyFont="1" applyFill="1" applyBorder="1" applyAlignment="1">
      <alignment horizontal="center"/>
    </xf>
    <xf numFmtId="44" fontId="21" fillId="5" borderId="42" xfId="1" applyFont="1" applyFill="1" applyBorder="1" applyAlignment="1">
      <alignment horizontal="center"/>
    </xf>
    <xf numFmtId="164" fontId="7" fillId="0" borderId="29" xfId="0" applyNumberFormat="1" applyFont="1" applyBorder="1" applyAlignment="1">
      <alignment horizontal="center"/>
    </xf>
    <xf numFmtId="164" fontId="7" fillId="0" borderId="24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 vertical="center" wrapText="1"/>
    </xf>
    <xf numFmtId="44" fontId="13" fillId="0" borderId="1" xfId="1" applyFont="1" applyBorder="1" applyAlignment="1">
      <alignment horizontal="center"/>
    </xf>
    <xf numFmtId="44" fontId="13" fillId="0" borderId="42" xfId="1" applyFont="1" applyBorder="1" applyAlignment="1">
      <alignment horizontal="center"/>
    </xf>
    <xf numFmtId="164" fontId="13" fillId="4" borderId="18" xfId="1" applyNumberFormat="1" applyFont="1" applyFill="1" applyBorder="1" applyAlignment="1">
      <alignment horizontal="center"/>
    </xf>
    <xf numFmtId="44" fontId="13" fillId="4" borderId="42" xfId="1" applyFont="1" applyFill="1" applyBorder="1" applyAlignment="1">
      <alignment horizontal="center"/>
    </xf>
    <xf numFmtId="44" fontId="13" fillId="4" borderId="1" xfId="1" applyFont="1" applyFill="1" applyBorder="1" applyAlignment="1">
      <alignment horizontal="center"/>
    </xf>
    <xf numFmtId="44" fontId="13" fillId="4" borderId="18" xfId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1" fillId="2" borderId="8" xfId="0" applyFont="1" applyFill="1" applyBorder="1" applyAlignment="1">
      <alignment horizontal="center" vertical="center"/>
    </xf>
    <xf numFmtId="0" fontId="21" fillId="2" borderId="29" xfId="0" applyFont="1" applyFill="1" applyBorder="1" applyAlignment="1">
      <alignment horizontal="center" vertical="center"/>
    </xf>
    <xf numFmtId="0" fontId="21" fillId="2" borderId="12" xfId="0" applyFont="1" applyFill="1" applyBorder="1" applyAlignment="1">
      <alignment horizontal="center" vertical="center"/>
    </xf>
    <xf numFmtId="0" fontId="21" fillId="2" borderId="24" xfId="0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44" fontId="21" fillId="0" borderId="1" xfId="1" applyFont="1" applyFill="1" applyBorder="1" applyAlignment="1">
      <alignment horizontal="center"/>
    </xf>
    <xf numFmtId="44" fontId="21" fillId="0" borderId="42" xfId="1" applyFont="1" applyFill="1" applyBorder="1" applyAlignment="1">
      <alignment horizontal="center"/>
    </xf>
    <xf numFmtId="0" fontId="1" fillId="4" borderId="72" xfId="0" applyFont="1" applyFill="1" applyBorder="1" applyAlignment="1">
      <alignment horizontal="center" wrapText="1"/>
    </xf>
    <xf numFmtId="0" fontId="1" fillId="4" borderId="73" xfId="0" applyFont="1" applyFill="1" applyBorder="1" applyAlignment="1">
      <alignment horizontal="center" wrapText="1"/>
    </xf>
    <xf numFmtId="44" fontId="1" fillId="0" borderId="72" xfId="1" applyFont="1" applyBorder="1" applyAlignment="1">
      <alignment horizontal="center"/>
    </xf>
    <xf numFmtId="44" fontId="1" fillId="0" borderId="73" xfId="1" applyFont="1" applyBorder="1" applyAlignment="1">
      <alignment horizontal="center"/>
    </xf>
    <xf numFmtId="166" fontId="6" fillId="0" borderId="74" xfId="0" applyNumberFormat="1" applyFont="1" applyBorder="1" applyAlignment="1">
      <alignment horizontal="center"/>
    </xf>
    <xf numFmtId="166" fontId="6" fillId="0" borderId="11" xfId="0" applyNumberFormat="1" applyFont="1" applyBorder="1" applyAlignment="1">
      <alignment horizontal="center"/>
    </xf>
    <xf numFmtId="0" fontId="52" fillId="0" borderId="76" xfId="0" applyFont="1" applyBorder="1" applyAlignment="1">
      <alignment horizontal="center" wrapText="1"/>
    </xf>
    <xf numFmtId="0" fontId="52" fillId="0" borderId="77" xfId="0" applyFont="1" applyBorder="1" applyAlignment="1">
      <alignment horizontal="center" wrapText="1"/>
    </xf>
    <xf numFmtId="44" fontId="18" fillId="0" borderId="3" xfId="1" applyFont="1" applyFill="1" applyBorder="1" applyAlignment="1">
      <alignment horizontal="right" wrapText="1"/>
    </xf>
    <xf numFmtId="44" fontId="18" fillId="0" borderId="39" xfId="1" applyFont="1" applyFill="1" applyBorder="1" applyAlignment="1">
      <alignment horizontal="right" wrapText="1"/>
    </xf>
    <xf numFmtId="44" fontId="18" fillId="0" borderId="4" xfId="1" applyFont="1" applyFill="1" applyBorder="1" applyAlignment="1">
      <alignment horizontal="right" wrapText="1"/>
    </xf>
    <xf numFmtId="44" fontId="18" fillId="0" borderId="6" xfId="1" applyFont="1" applyFill="1" applyBorder="1" applyAlignment="1">
      <alignment horizontal="right" wrapText="1"/>
    </xf>
    <xf numFmtId="44" fontId="18" fillId="0" borderId="28" xfId="1" applyFont="1" applyFill="1" applyBorder="1" applyAlignment="1">
      <alignment horizontal="right" wrapText="1"/>
    </xf>
    <xf numFmtId="44" fontId="18" fillId="0" borderId="7" xfId="1" applyFont="1" applyFill="1" applyBorder="1" applyAlignment="1">
      <alignment horizontal="right" wrapText="1"/>
    </xf>
    <xf numFmtId="166" fontId="6" fillId="0" borderId="39" xfId="0" applyNumberFormat="1" applyFont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44" fontId="1" fillId="0" borderId="3" xfId="1" applyFont="1" applyBorder="1" applyAlignment="1">
      <alignment horizontal="center"/>
    </xf>
    <xf numFmtId="44" fontId="1" fillId="0" borderId="6" xfId="1" applyFont="1" applyBorder="1" applyAlignment="1">
      <alignment horizontal="center"/>
    </xf>
    <xf numFmtId="44" fontId="13" fillId="16" borderId="1" xfId="1" applyFont="1" applyFill="1" applyBorder="1" applyAlignment="1">
      <alignment horizontal="center"/>
    </xf>
    <xf numFmtId="44" fontId="13" fillId="16" borderId="18" xfId="1" applyFont="1" applyFill="1" applyBorder="1" applyAlignment="1">
      <alignment horizontal="center"/>
    </xf>
    <xf numFmtId="164" fontId="13" fillId="16" borderId="18" xfId="1" applyNumberFormat="1" applyFont="1" applyFill="1" applyBorder="1" applyAlignment="1">
      <alignment horizontal="center"/>
    </xf>
    <xf numFmtId="44" fontId="13" fillId="16" borderId="42" xfId="1" applyFont="1" applyFill="1" applyBorder="1" applyAlignment="1">
      <alignment horizontal="center"/>
    </xf>
    <xf numFmtId="0" fontId="57" fillId="11" borderId="0" xfId="0" applyFont="1" applyFill="1" applyAlignment="1">
      <alignment horizontal="center"/>
    </xf>
    <xf numFmtId="0" fontId="57" fillId="0" borderId="0" xfId="0" applyFont="1" applyFill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42" xfId="0" applyFont="1" applyBorder="1" applyAlignment="1">
      <alignment horizontal="center"/>
    </xf>
    <xf numFmtId="0" fontId="21" fillId="0" borderId="0" xfId="0" applyFont="1" applyAlignment="1">
      <alignment horizontal="center"/>
    </xf>
    <xf numFmtId="44" fontId="43" fillId="11" borderId="3" xfId="0" applyNumberFormat="1" applyFont="1" applyFill="1" applyBorder="1" applyAlignment="1">
      <alignment horizontal="center"/>
    </xf>
    <xf numFmtId="0" fontId="43" fillId="11" borderId="4" xfId="0" applyFont="1" applyFill="1" applyBorder="1" applyAlignment="1">
      <alignment horizontal="center"/>
    </xf>
    <xf numFmtId="0" fontId="43" fillId="11" borderId="6" xfId="0" applyFont="1" applyFill="1" applyBorder="1" applyAlignment="1">
      <alignment horizontal="center"/>
    </xf>
    <xf numFmtId="0" fontId="43" fillId="11" borderId="7" xfId="0" applyFont="1" applyFill="1" applyBorder="1" applyAlignment="1">
      <alignment horizontal="center"/>
    </xf>
    <xf numFmtId="0" fontId="5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0000FF"/>
      <color rgb="FFFF66CC"/>
      <color rgb="FF00FF00"/>
      <color rgb="FFFF99C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" name="2 Conector recto de flecha"/>
        <xdr:cNvCxnSpPr/>
      </xdr:nvCxnSpPr>
      <xdr:spPr>
        <a:xfrm>
          <a:off x="42386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2195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6" name="5 Conector recto de flecha"/>
        <xdr:cNvCxnSpPr/>
      </xdr:nvCxnSpPr>
      <xdr:spPr>
        <a:xfrm flipV="1">
          <a:off x="4286250" y="8743950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4 Conector recto de flecha"/>
        <xdr:cNvCxnSpPr/>
      </xdr:nvCxnSpPr>
      <xdr:spPr>
        <a:xfrm>
          <a:off x="4705350" y="74961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5 Conector recto de flecha"/>
        <xdr:cNvCxnSpPr/>
      </xdr:nvCxnSpPr>
      <xdr:spPr>
        <a:xfrm rot="10800000" flipV="1">
          <a:off x="4686300" y="78676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7" name="6 Conector recto de flecha"/>
        <xdr:cNvCxnSpPr/>
      </xdr:nvCxnSpPr>
      <xdr:spPr>
        <a:xfrm flipV="1">
          <a:off x="4657725" y="8715375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438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9152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6300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11</xdr:row>
      <xdr:rowOff>66675</xdr:rowOff>
    </xdr:from>
    <xdr:to>
      <xdr:col>13</xdr:col>
      <xdr:colOff>390525</xdr:colOff>
      <xdr:row>11</xdr:row>
      <xdr:rowOff>142875</xdr:rowOff>
    </xdr:to>
    <xdr:cxnSp macro="">
      <xdr:nvCxnSpPr>
        <xdr:cNvPr id="11" name="10 Conector recto de flecha"/>
        <xdr:cNvCxnSpPr/>
      </xdr:nvCxnSpPr>
      <xdr:spPr>
        <a:xfrm>
          <a:off x="9544050" y="2371725"/>
          <a:ext cx="371475" cy="7620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4 Conector recto de flecha"/>
        <xdr:cNvCxnSpPr/>
      </xdr:nvCxnSpPr>
      <xdr:spPr>
        <a:xfrm>
          <a:off x="4705350" y="75438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5 Conector recto de flecha"/>
        <xdr:cNvCxnSpPr/>
      </xdr:nvCxnSpPr>
      <xdr:spPr>
        <a:xfrm rot="10800000" flipV="1">
          <a:off x="4686300" y="79152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7" name="6 Conector recto de flecha"/>
        <xdr:cNvCxnSpPr/>
      </xdr:nvCxnSpPr>
      <xdr:spPr>
        <a:xfrm flipV="1">
          <a:off x="4657725" y="876300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529590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527685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5343525" y="8753475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4 Conector recto de flecha"/>
        <xdr:cNvCxnSpPr/>
      </xdr:nvCxnSpPr>
      <xdr:spPr>
        <a:xfrm>
          <a:off x="49625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5 Conector recto de flecha"/>
        <xdr:cNvCxnSpPr/>
      </xdr:nvCxnSpPr>
      <xdr:spPr>
        <a:xfrm rot="10800000" flipV="1">
          <a:off x="49434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7" name="6 Conector recto de flecha"/>
        <xdr:cNvCxnSpPr/>
      </xdr:nvCxnSpPr>
      <xdr:spPr>
        <a:xfrm flipV="1">
          <a:off x="5010150" y="8753475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529590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527685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47</xdr:row>
      <xdr:rowOff>85725</xdr:rowOff>
    </xdr:from>
    <xdr:to>
      <xdr:col>7</xdr:col>
      <xdr:colOff>676275</xdr:colOff>
      <xdr:row>47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5343525" y="8753475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5057775" y="766762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5038725" y="8048624"/>
          <a:ext cx="15240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47</xdr:row>
      <xdr:rowOff>85725</xdr:rowOff>
    </xdr:from>
    <xdr:to>
      <xdr:col>7</xdr:col>
      <xdr:colOff>676275</xdr:colOff>
      <xdr:row>47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5105400" y="9553575"/>
          <a:ext cx="76200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5057775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5038725" y="7905749"/>
          <a:ext cx="15240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171450</xdr:rowOff>
    </xdr:from>
    <xdr:to>
      <xdr:col>7</xdr:col>
      <xdr:colOff>723900</xdr:colOff>
      <xdr:row>47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5105400" y="9563100"/>
          <a:ext cx="809625" cy="6286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5057775" y="81724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5038725" y="8562974"/>
          <a:ext cx="15240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171450</xdr:rowOff>
    </xdr:from>
    <xdr:to>
      <xdr:col>7</xdr:col>
      <xdr:colOff>723900</xdr:colOff>
      <xdr:row>47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5105400" y="9563100"/>
          <a:ext cx="809625" cy="6286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4 Conector recto de flecha"/>
        <xdr:cNvCxnSpPr/>
      </xdr:nvCxnSpPr>
      <xdr:spPr>
        <a:xfrm>
          <a:off x="5057775" y="78390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5 Conector recto de flecha"/>
        <xdr:cNvCxnSpPr/>
      </xdr:nvCxnSpPr>
      <xdr:spPr>
        <a:xfrm rot="10800000" flipV="1">
          <a:off x="5038725" y="82105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171450</xdr:rowOff>
    </xdr:from>
    <xdr:to>
      <xdr:col>7</xdr:col>
      <xdr:colOff>723900</xdr:colOff>
      <xdr:row>47</xdr:row>
      <xdr:rowOff>123825</xdr:rowOff>
    </xdr:to>
    <xdr:cxnSp macro="">
      <xdr:nvCxnSpPr>
        <xdr:cNvPr id="7" name="6 Conector recto de flecha"/>
        <xdr:cNvCxnSpPr/>
      </xdr:nvCxnSpPr>
      <xdr:spPr>
        <a:xfrm flipV="1">
          <a:off x="5105400" y="918210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5057775" y="81057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5038725" y="84867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171450</xdr:rowOff>
    </xdr:from>
    <xdr:to>
      <xdr:col>7</xdr:col>
      <xdr:colOff>723900</xdr:colOff>
      <xdr:row>47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5105400" y="9467850"/>
          <a:ext cx="809625" cy="6286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4961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676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171450</xdr:rowOff>
    </xdr:from>
    <xdr:to>
      <xdr:col>7</xdr:col>
      <xdr:colOff>723900</xdr:colOff>
      <xdr:row>47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4752975" y="883920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4961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676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15375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" name="7 Conector recto de flecha"/>
        <xdr:cNvCxnSpPr/>
      </xdr:nvCxnSpPr>
      <xdr:spPr>
        <a:xfrm>
          <a:off x="4705350" y="74961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" name="8 Conector recto de flecha"/>
        <xdr:cNvCxnSpPr/>
      </xdr:nvCxnSpPr>
      <xdr:spPr>
        <a:xfrm rot="10800000" flipV="1">
          <a:off x="4686300" y="78676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10" name="9 Conector recto de flecha"/>
        <xdr:cNvCxnSpPr/>
      </xdr:nvCxnSpPr>
      <xdr:spPr>
        <a:xfrm flipV="1">
          <a:off x="4657725" y="8715375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0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1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26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47"/>
  <sheetViews>
    <sheetView workbookViewId="0">
      <pane xSplit="1" ySplit="4" topLeftCell="B26" activePane="bottomRight" state="frozen"/>
      <selection pane="topRight" activeCell="B1" sqref="B1"/>
      <selection pane="bottomLeft" activeCell="A5" sqref="A5"/>
      <selection pane="bottomRight" activeCell="B31" sqref="B31"/>
    </sheetView>
  </sheetViews>
  <sheetFormatPr baseColWidth="10" defaultRowHeight="15" x14ac:dyDescent="0.25"/>
  <cols>
    <col min="2" max="2" width="12.42578125" style="38" customWidth="1"/>
    <col min="3" max="3" width="16.42578125" style="44" customWidth="1"/>
    <col min="4" max="4" width="9" customWidth="1"/>
    <col min="6" max="6" width="17.85546875" style="44" customWidth="1"/>
    <col min="7" max="7" width="4.85546875" customWidth="1"/>
    <col min="9" max="9" width="13.7109375" style="44" customWidth="1"/>
    <col min="11" max="11" width="17.85546875" bestFit="1" customWidth="1"/>
    <col min="12" max="12" width="17.140625" customWidth="1"/>
  </cols>
  <sheetData>
    <row r="1" spans="1:13" ht="23.25" x14ac:dyDescent="0.35">
      <c r="C1" s="780" t="s">
        <v>21</v>
      </c>
      <c r="D1" s="780"/>
      <c r="E1" s="780"/>
      <c r="F1" s="780"/>
      <c r="G1" s="780"/>
      <c r="H1" s="780"/>
      <c r="I1" s="780"/>
      <c r="J1" s="780"/>
    </row>
    <row r="2" spans="1:13" ht="15.75" thickBot="1" x14ac:dyDescent="0.3">
      <c r="E2" s="1"/>
      <c r="F2" s="51"/>
    </row>
    <row r="3" spans="1:13" ht="15.75" thickBot="1" x14ac:dyDescent="0.3">
      <c r="C3" s="45" t="s">
        <v>0</v>
      </c>
      <c r="D3" s="3"/>
    </row>
    <row r="4" spans="1:13" ht="20.25" thickTop="1" thickBot="1" x14ac:dyDescent="0.35">
      <c r="A4" s="14" t="s">
        <v>2</v>
      </c>
      <c r="B4" s="39"/>
      <c r="C4" s="67">
        <v>204577.15</v>
      </c>
      <c r="D4" s="2"/>
      <c r="E4" s="781" t="s">
        <v>19</v>
      </c>
      <c r="F4" s="782"/>
      <c r="I4" s="783" t="s">
        <v>4</v>
      </c>
      <c r="J4" s="784"/>
      <c r="K4" s="784"/>
      <c r="L4" s="69" t="s">
        <v>24</v>
      </c>
    </row>
    <row r="5" spans="1:13" ht="15.75" thickTop="1" x14ac:dyDescent="0.25">
      <c r="A5" s="21"/>
      <c r="B5" s="40">
        <v>41913</v>
      </c>
      <c r="C5" s="46">
        <v>47839.199999999997</v>
      </c>
      <c r="D5" s="24"/>
      <c r="E5" s="28">
        <v>41913</v>
      </c>
      <c r="F5" s="52">
        <v>21707</v>
      </c>
      <c r="G5" s="25"/>
      <c r="H5" s="26">
        <v>41913</v>
      </c>
      <c r="I5" s="61">
        <v>70</v>
      </c>
      <c r="J5" s="35"/>
      <c r="K5" s="16"/>
      <c r="L5" t="s">
        <v>27</v>
      </c>
    </row>
    <row r="6" spans="1:13" x14ac:dyDescent="0.25">
      <c r="A6" s="21"/>
      <c r="B6" s="40">
        <v>41914</v>
      </c>
      <c r="C6" s="46">
        <v>486</v>
      </c>
      <c r="D6" s="30"/>
      <c r="E6" s="28">
        <v>41914</v>
      </c>
      <c r="F6" s="52">
        <v>40683</v>
      </c>
      <c r="G6" s="20"/>
      <c r="H6" s="29">
        <v>41914</v>
      </c>
      <c r="I6" s="62">
        <v>1098.23</v>
      </c>
      <c r="J6" s="13" t="s">
        <v>5</v>
      </c>
      <c r="K6" s="7">
        <v>1194</v>
      </c>
      <c r="L6" t="s">
        <v>26</v>
      </c>
    </row>
    <row r="7" spans="1:13" x14ac:dyDescent="0.25">
      <c r="A7" s="21"/>
      <c r="B7" s="40">
        <v>41915</v>
      </c>
      <c r="C7" s="46">
        <v>0</v>
      </c>
      <c r="D7" s="33"/>
      <c r="E7" s="28">
        <v>41915</v>
      </c>
      <c r="F7" s="52">
        <v>32507</v>
      </c>
      <c r="G7" s="25"/>
      <c r="H7" s="29">
        <v>41915</v>
      </c>
      <c r="I7" s="62">
        <v>0</v>
      </c>
      <c r="J7" s="13" t="s">
        <v>3</v>
      </c>
      <c r="K7" s="68">
        <v>11622</v>
      </c>
      <c r="L7" t="s">
        <v>28</v>
      </c>
    </row>
    <row r="8" spans="1:13" x14ac:dyDescent="0.25">
      <c r="A8" s="21"/>
      <c r="B8" s="40">
        <v>41916</v>
      </c>
      <c r="C8" s="46">
        <v>3662</v>
      </c>
      <c r="D8" s="24"/>
      <c r="E8" s="28">
        <v>41916</v>
      </c>
      <c r="F8" s="52">
        <v>35870</v>
      </c>
      <c r="G8" s="25"/>
      <c r="H8" s="29">
        <v>41916</v>
      </c>
      <c r="I8" s="62">
        <v>1130</v>
      </c>
      <c r="J8" s="13" t="s">
        <v>6</v>
      </c>
      <c r="K8" s="7">
        <v>28750</v>
      </c>
      <c r="L8" t="s">
        <v>29</v>
      </c>
    </row>
    <row r="9" spans="1:13" x14ac:dyDescent="0.25">
      <c r="A9" s="21"/>
      <c r="B9" s="40">
        <v>41917</v>
      </c>
      <c r="C9" s="46">
        <v>22161.55</v>
      </c>
      <c r="D9" s="24"/>
      <c r="E9" s="28">
        <v>41917</v>
      </c>
      <c r="F9" s="52">
        <v>49810</v>
      </c>
      <c r="G9" s="25"/>
      <c r="H9" s="29">
        <v>41917</v>
      </c>
      <c r="I9" s="62">
        <v>500</v>
      </c>
      <c r="J9" s="13" t="s">
        <v>7</v>
      </c>
      <c r="K9" s="68">
        <v>7950</v>
      </c>
      <c r="L9" t="s">
        <v>31</v>
      </c>
    </row>
    <row r="10" spans="1:13" x14ac:dyDescent="0.25">
      <c r="A10" s="21"/>
      <c r="B10" s="40">
        <v>41918</v>
      </c>
      <c r="C10" s="46">
        <v>1300</v>
      </c>
      <c r="D10" s="33" t="s">
        <v>22</v>
      </c>
      <c r="E10" s="28">
        <v>41918</v>
      </c>
      <c r="F10" s="52">
        <v>30955</v>
      </c>
      <c r="G10" s="25"/>
      <c r="H10" s="29">
        <v>41918</v>
      </c>
      <c r="I10" s="62">
        <v>80</v>
      </c>
      <c r="J10" s="13" t="s">
        <v>8</v>
      </c>
      <c r="K10" s="68">
        <v>8214</v>
      </c>
      <c r="L10" t="s">
        <v>30</v>
      </c>
    </row>
    <row r="11" spans="1:13" x14ac:dyDescent="0.25">
      <c r="A11" s="21"/>
      <c r="B11" s="40">
        <v>41919</v>
      </c>
      <c r="C11" s="46">
        <v>0</v>
      </c>
      <c r="D11" s="33"/>
      <c r="E11" s="28">
        <v>41919</v>
      </c>
      <c r="F11" s="52">
        <v>34917</v>
      </c>
      <c r="G11" s="25"/>
      <c r="H11" s="29">
        <v>41919</v>
      </c>
      <c r="I11" s="62">
        <v>1602.5</v>
      </c>
      <c r="J11" s="13" t="s">
        <v>9</v>
      </c>
      <c r="K11" s="68">
        <v>7950</v>
      </c>
      <c r="L11" t="s">
        <v>34</v>
      </c>
    </row>
    <row r="12" spans="1:13" x14ac:dyDescent="0.25">
      <c r="A12" s="21"/>
      <c r="B12" s="40">
        <v>41920</v>
      </c>
      <c r="C12" s="46">
        <v>9123.5</v>
      </c>
      <c r="D12" s="33"/>
      <c r="E12" s="28">
        <v>41920</v>
      </c>
      <c r="F12" s="52">
        <v>26772</v>
      </c>
      <c r="G12" s="25"/>
      <c r="H12" s="29">
        <v>41920</v>
      </c>
      <c r="I12" s="62">
        <v>359</v>
      </c>
      <c r="J12" s="13" t="s">
        <v>14</v>
      </c>
      <c r="K12" s="68">
        <v>7950</v>
      </c>
      <c r="L12" t="s">
        <v>33</v>
      </c>
    </row>
    <row r="13" spans="1:13" x14ac:dyDescent="0.25">
      <c r="A13" s="21"/>
      <c r="B13" s="40">
        <v>41921</v>
      </c>
      <c r="C13" s="46">
        <v>0</v>
      </c>
      <c r="D13" s="33"/>
      <c r="E13" s="28">
        <v>41921</v>
      </c>
      <c r="F13" s="52">
        <v>27700.5</v>
      </c>
      <c r="G13" s="25"/>
      <c r="H13" s="29">
        <v>41921</v>
      </c>
      <c r="I13" s="62">
        <v>2170</v>
      </c>
      <c r="J13" s="13" t="s">
        <v>10</v>
      </c>
      <c r="K13" s="68">
        <v>0</v>
      </c>
      <c r="L13" s="72" t="s">
        <v>32</v>
      </c>
    </row>
    <row r="14" spans="1:13" x14ac:dyDescent="0.25">
      <c r="A14" s="21"/>
      <c r="B14" s="40">
        <v>41922</v>
      </c>
      <c r="C14" s="46">
        <v>1071</v>
      </c>
      <c r="D14" s="33" t="s">
        <v>22</v>
      </c>
      <c r="E14" s="28">
        <v>41922</v>
      </c>
      <c r="F14" s="52">
        <v>48686.5</v>
      </c>
      <c r="G14" s="25"/>
      <c r="H14" s="29">
        <v>41922</v>
      </c>
      <c r="I14" s="62">
        <v>495</v>
      </c>
      <c r="J14" s="36" t="s">
        <v>20</v>
      </c>
      <c r="K14" s="68">
        <v>0</v>
      </c>
      <c r="L14" s="72" t="s">
        <v>35</v>
      </c>
    </row>
    <row r="15" spans="1:13" x14ac:dyDescent="0.25">
      <c r="A15" s="21"/>
      <c r="B15" s="40">
        <v>41923</v>
      </c>
      <c r="C15" s="46">
        <v>77432.600000000006</v>
      </c>
      <c r="D15" s="30" t="s">
        <v>23</v>
      </c>
      <c r="E15" s="28">
        <v>41923</v>
      </c>
      <c r="F15" s="52">
        <v>28431.5</v>
      </c>
      <c r="G15" s="25"/>
      <c r="H15" s="29">
        <v>41923</v>
      </c>
      <c r="I15" s="62">
        <v>0</v>
      </c>
      <c r="J15" s="73" t="s">
        <v>57</v>
      </c>
      <c r="K15" s="68">
        <v>4234</v>
      </c>
      <c r="L15" s="72" t="s">
        <v>36</v>
      </c>
    </row>
    <row r="16" spans="1:13" x14ac:dyDescent="0.25">
      <c r="A16" s="21"/>
      <c r="B16" s="40">
        <v>41924</v>
      </c>
      <c r="C16" s="46">
        <v>0</v>
      </c>
      <c r="D16" s="33"/>
      <c r="E16" s="28">
        <v>41924</v>
      </c>
      <c r="F16" s="52">
        <v>34064.5</v>
      </c>
      <c r="G16" s="25"/>
      <c r="H16" s="29">
        <v>41924</v>
      </c>
      <c r="I16" s="62">
        <v>0</v>
      </c>
      <c r="J16" s="13"/>
      <c r="K16" s="22"/>
      <c r="L16" s="71" t="s">
        <v>37</v>
      </c>
      <c r="M16" s="20"/>
    </row>
    <row r="17" spans="1:13" x14ac:dyDescent="0.25">
      <c r="A17" s="21"/>
      <c r="B17" s="40">
        <v>41925</v>
      </c>
      <c r="C17" s="46">
        <v>720</v>
      </c>
      <c r="D17" s="24"/>
      <c r="E17" s="28">
        <v>41925</v>
      </c>
      <c r="F17" s="52">
        <v>26954.5</v>
      </c>
      <c r="G17" s="25"/>
      <c r="H17" s="29">
        <v>41925</v>
      </c>
      <c r="I17" s="62">
        <v>500</v>
      </c>
      <c r="J17" s="13"/>
      <c r="K17" s="22"/>
      <c r="L17" s="71" t="s">
        <v>25</v>
      </c>
      <c r="M17" s="20"/>
    </row>
    <row r="18" spans="1:13" x14ac:dyDescent="0.25">
      <c r="A18" s="21"/>
      <c r="B18" s="40">
        <v>41926</v>
      </c>
      <c r="C18" s="46">
        <v>1057</v>
      </c>
      <c r="D18" s="24" t="s">
        <v>22</v>
      </c>
      <c r="E18" s="28">
        <v>41926</v>
      </c>
      <c r="F18" s="52">
        <v>22223</v>
      </c>
      <c r="G18" s="25"/>
      <c r="H18" s="29">
        <v>41926</v>
      </c>
      <c r="I18" s="62">
        <v>363</v>
      </c>
      <c r="J18" s="13"/>
      <c r="K18" s="23"/>
      <c r="L18" s="71" t="s">
        <v>38</v>
      </c>
      <c r="M18" s="20"/>
    </row>
    <row r="19" spans="1:13" x14ac:dyDescent="0.25">
      <c r="A19" s="21"/>
      <c r="B19" s="40">
        <v>41927</v>
      </c>
      <c r="C19" s="46">
        <v>4326</v>
      </c>
      <c r="D19" s="70" t="s">
        <v>40</v>
      </c>
      <c r="E19" s="28">
        <v>41927</v>
      </c>
      <c r="F19" s="52">
        <v>30580</v>
      </c>
      <c r="G19" s="25"/>
      <c r="H19" s="29">
        <v>41927</v>
      </c>
      <c r="I19" s="62">
        <v>1050</v>
      </c>
      <c r="J19" s="13"/>
      <c r="K19" s="23"/>
      <c r="L19" s="71" t="s">
        <v>39</v>
      </c>
      <c r="M19" s="20"/>
    </row>
    <row r="20" spans="1:13" x14ac:dyDescent="0.25">
      <c r="A20" s="21"/>
      <c r="B20" s="40">
        <v>41928</v>
      </c>
      <c r="C20" s="46">
        <v>1106</v>
      </c>
      <c r="D20" s="24" t="s">
        <v>22</v>
      </c>
      <c r="E20" s="28">
        <v>41928</v>
      </c>
      <c r="F20" s="52">
        <v>34118.5</v>
      </c>
      <c r="G20" s="25"/>
      <c r="H20" s="29">
        <v>41928</v>
      </c>
      <c r="I20" s="63">
        <v>500</v>
      </c>
      <c r="J20" s="37"/>
      <c r="K20" s="7"/>
      <c r="L20" s="71" t="s">
        <v>41</v>
      </c>
    </row>
    <row r="21" spans="1:13" x14ac:dyDescent="0.25">
      <c r="A21" s="21"/>
      <c r="B21" s="40">
        <v>41929</v>
      </c>
      <c r="C21" s="46">
        <v>55909.599999999999</v>
      </c>
      <c r="D21" s="24" t="s">
        <v>23</v>
      </c>
      <c r="E21" s="28">
        <v>41929</v>
      </c>
      <c r="F21" s="52">
        <v>45278</v>
      </c>
      <c r="G21" s="25"/>
      <c r="H21" s="29">
        <v>41929</v>
      </c>
      <c r="I21" s="63">
        <v>1201.5</v>
      </c>
      <c r="J21" s="27"/>
      <c r="K21" s="7"/>
      <c r="L21" s="71" t="s">
        <v>42</v>
      </c>
    </row>
    <row r="22" spans="1:13" x14ac:dyDescent="0.25">
      <c r="A22" s="21"/>
      <c r="B22" s="40">
        <v>41930</v>
      </c>
      <c r="C22" s="46">
        <v>440</v>
      </c>
      <c r="D22" s="24" t="s">
        <v>44</v>
      </c>
      <c r="E22" s="28">
        <v>41930</v>
      </c>
      <c r="F22" s="52">
        <v>58565.5</v>
      </c>
      <c r="G22" s="25"/>
      <c r="H22" s="29">
        <v>41930</v>
      </c>
      <c r="I22" s="63">
        <v>435</v>
      </c>
      <c r="J22" s="11"/>
      <c r="K22" s="7"/>
      <c r="L22" s="71" t="s">
        <v>43</v>
      </c>
    </row>
    <row r="23" spans="1:13" x14ac:dyDescent="0.25">
      <c r="A23" s="21"/>
      <c r="B23" s="40">
        <v>41931</v>
      </c>
      <c r="C23" s="46">
        <v>15651</v>
      </c>
      <c r="D23" s="24"/>
      <c r="E23" s="28">
        <v>41931</v>
      </c>
      <c r="F23" s="52">
        <v>34416</v>
      </c>
      <c r="G23" s="25"/>
      <c r="H23" s="29">
        <v>41931</v>
      </c>
      <c r="I23" s="63">
        <v>0</v>
      </c>
      <c r="J23" s="11"/>
      <c r="K23" s="7"/>
      <c r="L23" s="71" t="s">
        <v>45</v>
      </c>
    </row>
    <row r="24" spans="1:13" x14ac:dyDescent="0.25">
      <c r="A24" s="21"/>
      <c r="B24" s="40">
        <v>41932</v>
      </c>
      <c r="C24" s="46">
        <v>0</v>
      </c>
      <c r="D24" s="24"/>
      <c r="E24" s="28">
        <v>41932</v>
      </c>
      <c r="F24" s="52">
        <v>27145.5</v>
      </c>
      <c r="G24" s="25"/>
      <c r="H24" s="29">
        <v>41932</v>
      </c>
      <c r="I24" s="63">
        <v>87.5</v>
      </c>
      <c r="J24" s="11"/>
      <c r="K24" s="7"/>
      <c r="L24" s="71" t="s">
        <v>46</v>
      </c>
    </row>
    <row r="25" spans="1:13" x14ac:dyDescent="0.25">
      <c r="A25" s="21"/>
      <c r="B25" s="40">
        <v>41933</v>
      </c>
      <c r="C25" s="46">
        <v>4122.5</v>
      </c>
      <c r="D25" s="24"/>
      <c r="E25" s="28">
        <v>41933</v>
      </c>
      <c r="F25" s="52">
        <v>32302.5</v>
      </c>
      <c r="G25" s="25"/>
      <c r="H25" s="29">
        <v>41933</v>
      </c>
      <c r="I25" s="63">
        <v>593.5</v>
      </c>
      <c r="J25" s="11"/>
      <c r="K25" s="7"/>
      <c r="L25" s="71" t="s">
        <v>47</v>
      </c>
    </row>
    <row r="26" spans="1:13" x14ac:dyDescent="0.25">
      <c r="A26" s="21"/>
      <c r="B26" s="40">
        <v>41934</v>
      </c>
      <c r="C26" s="46">
        <v>50641.8</v>
      </c>
      <c r="D26" s="24" t="s">
        <v>23</v>
      </c>
      <c r="E26" s="28">
        <v>41934</v>
      </c>
      <c r="F26" s="52">
        <v>67220.5</v>
      </c>
      <c r="G26" s="25"/>
      <c r="H26" s="29">
        <v>41934</v>
      </c>
      <c r="I26" s="63">
        <v>0</v>
      </c>
      <c r="J26" s="11"/>
      <c r="K26" s="7"/>
      <c r="L26" s="71" t="s">
        <v>48</v>
      </c>
    </row>
    <row r="27" spans="1:13" x14ac:dyDescent="0.25">
      <c r="A27" s="21"/>
      <c r="B27" s="40">
        <v>41935</v>
      </c>
      <c r="C27" s="46">
        <v>1191</v>
      </c>
      <c r="D27" s="24"/>
      <c r="E27" s="28">
        <v>41935</v>
      </c>
      <c r="F27" s="52">
        <v>23584</v>
      </c>
      <c r="G27" s="25"/>
      <c r="H27" s="29">
        <v>41935</v>
      </c>
      <c r="I27" s="63">
        <v>0</v>
      </c>
      <c r="J27" s="11"/>
      <c r="K27" s="7"/>
      <c r="L27" s="71" t="s">
        <v>49</v>
      </c>
    </row>
    <row r="28" spans="1:13" x14ac:dyDescent="0.25">
      <c r="A28" s="21"/>
      <c r="B28" s="40">
        <v>41936</v>
      </c>
      <c r="C28" s="46">
        <v>5551.2</v>
      </c>
      <c r="D28" s="24" t="s">
        <v>23</v>
      </c>
      <c r="E28" s="28">
        <v>41936</v>
      </c>
      <c r="F28" s="52">
        <v>53058.5</v>
      </c>
      <c r="G28" s="25"/>
      <c r="H28" s="29">
        <v>41936</v>
      </c>
      <c r="I28" s="63">
        <v>0</v>
      </c>
      <c r="J28" s="11"/>
      <c r="K28" s="7"/>
      <c r="L28" s="71" t="s">
        <v>50</v>
      </c>
    </row>
    <row r="29" spans="1:13" x14ac:dyDescent="0.25">
      <c r="A29" s="21"/>
      <c r="B29" s="40">
        <v>41937</v>
      </c>
      <c r="C29" s="46">
        <v>0</v>
      </c>
      <c r="D29" s="24"/>
      <c r="E29" s="28">
        <v>41937</v>
      </c>
      <c r="F29" s="52">
        <v>35675</v>
      </c>
      <c r="G29" s="25"/>
      <c r="H29" s="29">
        <v>41937</v>
      </c>
      <c r="I29" s="63">
        <v>554.5</v>
      </c>
      <c r="J29" s="11"/>
      <c r="K29" s="7"/>
      <c r="L29" s="71" t="s">
        <v>51</v>
      </c>
    </row>
    <row r="30" spans="1:13" x14ac:dyDescent="0.25">
      <c r="A30" s="21"/>
      <c r="B30" s="40">
        <v>41938</v>
      </c>
      <c r="C30" s="46">
        <v>58887.54</v>
      </c>
      <c r="D30" s="24" t="s">
        <v>23</v>
      </c>
      <c r="E30" s="28">
        <v>41938</v>
      </c>
      <c r="F30" s="52">
        <v>46603</v>
      </c>
      <c r="G30" s="25"/>
      <c r="H30" s="29">
        <v>41938</v>
      </c>
      <c r="I30" s="63">
        <v>735</v>
      </c>
      <c r="J30" s="11"/>
      <c r="K30" s="7"/>
      <c r="L30" s="71" t="s">
        <v>52</v>
      </c>
    </row>
    <row r="31" spans="1:13" x14ac:dyDescent="0.25">
      <c r="A31" s="21"/>
      <c r="B31" s="40">
        <v>41939</v>
      </c>
      <c r="C31" s="46">
        <v>740</v>
      </c>
      <c r="D31" s="24" t="s">
        <v>22</v>
      </c>
      <c r="E31" s="28">
        <v>41939</v>
      </c>
      <c r="F31" s="52">
        <v>20603.5</v>
      </c>
      <c r="G31" s="25"/>
      <c r="H31" s="29">
        <v>41939</v>
      </c>
      <c r="I31" s="63">
        <v>0</v>
      </c>
      <c r="J31" s="11"/>
      <c r="K31" s="7"/>
      <c r="L31" s="71" t="s">
        <v>53</v>
      </c>
    </row>
    <row r="32" spans="1:13" x14ac:dyDescent="0.25">
      <c r="A32" s="21"/>
      <c r="B32" s="40">
        <v>41940</v>
      </c>
      <c r="C32" s="46">
        <v>0</v>
      </c>
      <c r="D32" s="24"/>
      <c r="E32" s="28">
        <v>41940</v>
      </c>
      <c r="F32" s="52">
        <v>24665</v>
      </c>
      <c r="G32" s="25"/>
      <c r="H32" s="29">
        <v>41940</v>
      </c>
      <c r="I32" s="63">
        <v>930</v>
      </c>
      <c r="J32" s="11"/>
      <c r="K32" s="7"/>
      <c r="L32" s="71" t="s">
        <v>54</v>
      </c>
    </row>
    <row r="33" spans="1:12" x14ac:dyDescent="0.25">
      <c r="A33" s="21"/>
      <c r="B33" s="40">
        <v>41941</v>
      </c>
      <c r="C33" s="46">
        <v>32266</v>
      </c>
      <c r="D33" s="24" t="s">
        <v>56</v>
      </c>
      <c r="E33" s="28">
        <v>41941</v>
      </c>
      <c r="F33" s="52">
        <v>14833</v>
      </c>
      <c r="G33" s="25"/>
      <c r="H33" s="29">
        <v>41941</v>
      </c>
      <c r="I33" s="63">
        <v>450</v>
      </c>
      <c r="J33" s="11"/>
      <c r="K33" s="7"/>
      <c r="L33" s="71" t="s">
        <v>55</v>
      </c>
    </row>
    <row r="34" spans="1:12" x14ac:dyDescent="0.25">
      <c r="A34" s="21"/>
      <c r="B34" s="40">
        <v>41942</v>
      </c>
      <c r="C34" s="46">
        <v>0</v>
      </c>
      <c r="D34" s="30"/>
      <c r="E34" s="28">
        <v>41942</v>
      </c>
      <c r="F34" s="52">
        <v>28053.5</v>
      </c>
      <c r="G34" s="25"/>
      <c r="H34" s="29">
        <v>41942</v>
      </c>
      <c r="I34" s="63">
        <v>0</v>
      </c>
      <c r="J34" s="11"/>
      <c r="K34" s="7"/>
      <c r="L34" s="71" t="s">
        <v>58</v>
      </c>
    </row>
    <row r="35" spans="1:12" ht="15.75" thickBot="1" x14ac:dyDescent="0.3">
      <c r="A35" s="21"/>
      <c r="B35" s="40">
        <v>41943</v>
      </c>
      <c r="C35" s="46">
        <v>0</v>
      </c>
      <c r="D35" s="24"/>
      <c r="E35" s="28">
        <v>41943</v>
      </c>
      <c r="F35" s="52">
        <v>403000</v>
      </c>
      <c r="G35" s="25"/>
      <c r="H35" s="29">
        <v>41943</v>
      </c>
      <c r="I35" s="63">
        <v>0</v>
      </c>
      <c r="J35" s="11"/>
      <c r="K35" s="7"/>
      <c r="L35" s="71" t="s">
        <v>59</v>
      </c>
    </row>
    <row r="36" spans="1:12" ht="15.75" thickBot="1" x14ac:dyDescent="0.3">
      <c r="A36" s="15"/>
      <c r="B36" s="41"/>
      <c r="C36" s="47"/>
      <c r="D36" s="2"/>
      <c r="E36" s="8"/>
      <c r="F36" s="53">
        <v>0</v>
      </c>
      <c r="H36" s="31"/>
      <c r="I36" s="64"/>
      <c r="J36" s="11"/>
      <c r="K36" s="7"/>
      <c r="L36" s="72"/>
    </row>
    <row r="37" spans="1:12" ht="15.75" thickBot="1" x14ac:dyDescent="0.3">
      <c r="A37" s="5" t="s">
        <v>140</v>
      </c>
      <c r="B37" s="42"/>
      <c r="C37" s="48">
        <v>974862.62</v>
      </c>
      <c r="D37" s="2"/>
      <c r="E37" s="9"/>
      <c r="F37" s="54">
        <v>0</v>
      </c>
      <c r="H37" s="32"/>
      <c r="I37" s="65"/>
      <c r="J37" s="17"/>
      <c r="K37" s="10"/>
      <c r="L37" s="72"/>
    </row>
    <row r="38" spans="1:12" x14ac:dyDescent="0.25">
      <c r="B38" s="43" t="s">
        <v>1</v>
      </c>
      <c r="C38" s="49">
        <f>SUM(C5:C37)</f>
        <v>1370548.1099999999</v>
      </c>
      <c r="E38" s="12" t="s">
        <v>1</v>
      </c>
      <c r="F38" s="55">
        <f>SUM(F5:F37)</f>
        <v>1440983.5</v>
      </c>
      <c r="H38" s="1" t="s">
        <v>1</v>
      </c>
      <c r="I38" s="59">
        <f>SUM(I5:I37)</f>
        <v>14904.73</v>
      </c>
      <c r="J38" s="18" t="s">
        <v>1</v>
      </c>
      <c r="K38" s="4">
        <f>SUM(K5:K37)</f>
        <v>77864</v>
      </c>
      <c r="L38" s="72"/>
    </row>
    <row r="39" spans="1:12" x14ac:dyDescent="0.25">
      <c r="L39" s="72"/>
    </row>
    <row r="40" spans="1:12" ht="15.75" x14ac:dyDescent="0.25">
      <c r="A40" s="5"/>
      <c r="C40" s="50">
        <v>0</v>
      </c>
      <c r="D40" s="13"/>
      <c r="E40" s="13"/>
      <c r="F40" s="56"/>
      <c r="H40" s="785" t="s">
        <v>11</v>
      </c>
      <c r="I40" s="786"/>
      <c r="J40" s="787">
        <f>I38+K38</f>
        <v>92768.73</v>
      </c>
      <c r="K40" s="788"/>
      <c r="L40" s="72"/>
    </row>
    <row r="41" spans="1:12" ht="15.75" x14ac:dyDescent="0.25">
      <c r="D41" s="779" t="s">
        <v>12</v>
      </c>
      <c r="E41" s="779"/>
      <c r="F41" s="57">
        <f>F38-J40</f>
        <v>1348214.77</v>
      </c>
      <c r="I41" s="66"/>
      <c r="L41" s="72"/>
    </row>
    <row r="42" spans="1:12" ht="15.75" thickBot="1" x14ac:dyDescent="0.3">
      <c r="D42" s="19"/>
      <c r="E42" s="19" t="s">
        <v>0</v>
      </c>
      <c r="F42" s="58">
        <f>-C38</f>
        <v>-1370548.1099999999</v>
      </c>
    </row>
    <row r="43" spans="1:12" ht="15.75" thickTop="1" x14ac:dyDescent="0.25">
      <c r="C43" s="44" t="s">
        <v>17</v>
      </c>
      <c r="E43" s="5" t="s">
        <v>15</v>
      </c>
      <c r="F43" s="59">
        <f>SUM(F41:F42)</f>
        <v>-22333.339999999851</v>
      </c>
      <c r="I43" s="789"/>
      <c r="J43" s="789"/>
      <c r="K43" s="2"/>
    </row>
    <row r="44" spans="1:12" ht="16.5" thickBot="1" x14ac:dyDescent="0.3">
      <c r="D44" s="778" t="s">
        <v>13</v>
      </c>
      <c r="E44" s="778"/>
      <c r="F44" s="60">
        <v>67799.12</v>
      </c>
      <c r="I44" s="790"/>
      <c r="J44" s="790"/>
      <c r="K44" s="34"/>
    </row>
    <row r="45" spans="1:12" ht="15.75" thickTop="1" x14ac:dyDescent="0.25">
      <c r="E45" s="6" t="s">
        <v>16</v>
      </c>
      <c r="F45" s="49">
        <f>F44+F43</f>
        <v>45465.780000000144</v>
      </c>
      <c r="I45" s="791" t="s">
        <v>18</v>
      </c>
      <c r="J45" s="792"/>
      <c r="K45" s="795">
        <f>F45+K44</f>
        <v>45465.780000000144</v>
      </c>
    </row>
    <row r="46" spans="1:12" ht="15.75" thickBot="1" x14ac:dyDescent="0.3">
      <c r="D46" s="777"/>
      <c r="E46" s="777"/>
      <c r="F46" s="56"/>
      <c r="I46" s="793"/>
      <c r="J46" s="794"/>
      <c r="K46" s="796"/>
    </row>
    <row r="47" spans="1:12" ht="15.75" thickTop="1" x14ac:dyDescent="0.25">
      <c r="A47" s="108" t="s">
        <v>158</v>
      </c>
      <c r="B47" s="109"/>
    </row>
  </sheetData>
  <mergeCells count="12">
    <mergeCell ref="D46:E46"/>
    <mergeCell ref="D44:E44"/>
    <mergeCell ref="D41:E41"/>
    <mergeCell ref="C1:J1"/>
    <mergeCell ref="E4:F4"/>
    <mergeCell ref="I4:K4"/>
    <mergeCell ref="H40:I40"/>
    <mergeCell ref="J40:K40"/>
    <mergeCell ref="I43:J43"/>
    <mergeCell ref="I44:J44"/>
    <mergeCell ref="I45:J46"/>
    <mergeCell ref="K45:K46"/>
  </mergeCells>
  <printOptions gridLines="1"/>
  <pageMargins left="0.70866141732283472" right="1.3779527559055118" top="0.15748031496062992" bottom="7.874015748031496E-2" header="0.31496062992125984" footer="0.31496062992125984"/>
  <pageSetup scale="80" orientation="landscape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O57"/>
  <sheetViews>
    <sheetView topLeftCell="A7" workbookViewId="0">
      <selection activeCell="L24" sqref="L24"/>
    </sheetView>
  </sheetViews>
  <sheetFormatPr baseColWidth="10" defaultRowHeight="15" x14ac:dyDescent="0.25"/>
  <cols>
    <col min="1" max="1" width="2.5703125" customWidth="1"/>
    <col min="2" max="2" width="12.42578125" style="38" customWidth="1"/>
    <col min="3" max="3" width="16.42578125" style="44" customWidth="1"/>
    <col min="4" max="4" width="9" style="155" customWidth="1"/>
    <col min="6" max="6" width="17.85546875" style="44" customWidth="1"/>
    <col min="7" max="7" width="2.85546875" customWidth="1"/>
    <col min="9" max="9" width="12.140625" style="44" customWidth="1"/>
    <col min="10" max="10" width="9.85546875" style="44" customWidth="1"/>
    <col min="12" max="12" width="11.28515625" customWidth="1"/>
    <col min="13" max="13" width="17.140625" customWidth="1"/>
    <col min="14" max="14" width="12.5703125" style="44" bestFit="1" customWidth="1"/>
    <col min="15" max="15" width="11.42578125" style="44"/>
  </cols>
  <sheetData>
    <row r="1" spans="1:14" customFormat="1" ht="23.25" x14ac:dyDescent="0.35">
      <c r="B1" s="38"/>
      <c r="C1" s="780" t="s">
        <v>381</v>
      </c>
      <c r="D1" s="780"/>
      <c r="E1" s="780"/>
      <c r="F1" s="780"/>
      <c r="G1" s="780"/>
      <c r="H1" s="780"/>
      <c r="I1" s="780"/>
      <c r="J1" s="780"/>
      <c r="K1" s="780"/>
      <c r="L1" s="133" t="s">
        <v>158</v>
      </c>
      <c r="M1" s="134"/>
      <c r="N1" s="44"/>
    </row>
    <row r="2" spans="1:14" customFormat="1" ht="15.75" thickBot="1" x14ac:dyDescent="0.3">
      <c r="B2" s="38"/>
      <c r="C2" s="44"/>
      <c r="D2" s="155"/>
      <c r="E2" s="439"/>
      <c r="F2" s="51"/>
      <c r="I2" s="44"/>
      <c r="J2" s="44"/>
      <c r="N2" s="44"/>
    </row>
    <row r="3" spans="1:14" customFormat="1" ht="15.75" thickBot="1" x14ac:dyDescent="0.3">
      <c r="B3" s="38"/>
      <c r="C3" s="45" t="s">
        <v>0</v>
      </c>
      <c r="D3" s="3"/>
      <c r="F3" s="44"/>
      <c r="I3" s="44"/>
      <c r="J3" s="44"/>
      <c r="N3" s="44"/>
    </row>
    <row r="4" spans="1:14" customFormat="1" ht="20.25" thickTop="1" thickBot="1" x14ac:dyDescent="0.35">
      <c r="A4" s="415" t="s">
        <v>2</v>
      </c>
      <c r="B4" s="414"/>
      <c r="C4" s="97">
        <v>143402.01999999999</v>
      </c>
      <c r="D4" s="156"/>
      <c r="E4" s="797" t="s">
        <v>19</v>
      </c>
      <c r="F4" s="798"/>
      <c r="I4" s="783" t="s">
        <v>4</v>
      </c>
      <c r="J4" s="784"/>
      <c r="K4" s="784"/>
      <c r="L4" s="784"/>
      <c r="M4" s="69" t="s">
        <v>24</v>
      </c>
      <c r="N4" s="112" t="s">
        <v>159</v>
      </c>
    </row>
    <row r="5" spans="1:14" customFormat="1" ht="15.75" thickTop="1" x14ac:dyDescent="0.25">
      <c r="A5" s="21"/>
      <c r="B5" s="40">
        <v>42095</v>
      </c>
      <c r="C5" s="46">
        <v>0</v>
      </c>
      <c r="D5" s="96"/>
      <c r="E5" s="28">
        <v>42095</v>
      </c>
      <c r="F5" s="52">
        <v>25157.5</v>
      </c>
      <c r="G5" s="25"/>
      <c r="H5" s="26">
        <v>42095</v>
      </c>
      <c r="I5" s="61">
        <v>415</v>
      </c>
      <c r="J5" s="80"/>
      <c r="K5" s="122"/>
      <c r="L5" s="123"/>
      <c r="M5" s="152" t="s">
        <v>389</v>
      </c>
      <c r="N5" s="151">
        <v>24053</v>
      </c>
    </row>
    <row r="6" spans="1:14" customFormat="1" x14ac:dyDescent="0.25">
      <c r="A6" s="21"/>
      <c r="B6" s="40">
        <v>42096</v>
      </c>
      <c r="C6" s="46">
        <v>0</v>
      </c>
      <c r="D6" s="70"/>
      <c r="E6" s="28">
        <v>42096</v>
      </c>
      <c r="F6" s="52">
        <v>22405.5</v>
      </c>
      <c r="G6" s="20"/>
      <c r="H6" s="29">
        <v>42096</v>
      </c>
      <c r="I6" s="62">
        <v>27.56</v>
      </c>
      <c r="J6" s="81"/>
      <c r="K6" s="73" t="s">
        <v>5</v>
      </c>
      <c r="L6" s="125">
        <v>848</v>
      </c>
      <c r="M6" s="392" t="s">
        <v>390</v>
      </c>
      <c r="N6" s="116">
        <v>23750.5</v>
      </c>
    </row>
    <row r="7" spans="1:14" customFormat="1" x14ac:dyDescent="0.25">
      <c r="A7" s="21"/>
      <c r="B7" s="40">
        <v>42097</v>
      </c>
      <c r="C7" s="451">
        <v>0</v>
      </c>
      <c r="D7" s="452"/>
      <c r="E7" s="453">
        <v>42097</v>
      </c>
      <c r="F7" s="454">
        <v>0</v>
      </c>
      <c r="G7" s="455"/>
      <c r="H7" s="456">
        <v>42097</v>
      </c>
      <c r="I7" s="457">
        <v>0</v>
      </c>
      <c r="J7" s="81"/>
      <c r="K7" s="73" t="s">
        <v>3</v>
      </c>
      <c r="L7" s="125">
        <v>0</v>
      </c>
      <c r="M7" s="458"/>
      <c r="N7" s="116">
        <v>0</v>
      </c>
    </row>
    <row r="8" spans="1:14" customFormat="1" x14ac:dyDescent="0.25">
      <c r="A8" s="21"/>
      <c r="B8" s="40">
        <v>42098</v>
      </c>
      <c r="C8" s="46">
        <v>0</v>
      </c>
      <c r="D8" s="33"/>
      <c r="E8" s="28">
        <v>42098</v>
      </c>
      <c r="F8" s="52">
        <v>66008</v>
      </c>
      <c r="G8" s="25"/>
      <c r="H8" s="29">
        <v>42098</v>
      </c>
      <c r="I8" s="62">
        <v>450</v>
      </c>
      <c r="J8" s="81"/>
      <c r="K8" s="73" t="s">
        <v>6</v>
      </c>
      <c r="L8" s="124">
        <v>28750</v>
      </c>
      <c r="M8" s="395" t="s">
        <v>391</v>
      </c>
      <c r="N8" s="116">
        <v>66700</v>
      </c>
    </row>
    <row r="9" spans="1:14" customFormat="1" x14ac:dyDescent="0.25">
      <c r="A9" s="21"/>
      <c r="B9" s="40">
        <v>42099</v>
      </c>
      <c r="C9" s="46">
        <v>1110</v>
      </c>
      <c r="D9" s="96" t="s">
        <v>83</v>
      </c>
      <c r="E9" s="28">
        <v>42099</v>
      </c>
      <c r="F9" s="52">
        <v>46238</v>
      </c>
      <c r="G9" s="25"/>
      <c r="H9" s="29">
        <v>42099</v>
      </c>
      <c r="I9" s="62">
        <v>0</v>
      </c>
      <c r="J9" s="82"/>
      <c r="K9" s="73" t="s">
        <v>370</v>
      </c>
      <c r="L9" s="125">
        <v>6283.35</v>
      </c>
      <c r="M9" s="395" t="s">
        <v>392</v>
      </c>
      <c r="N9" s="116">
        <v>43799.65</v>
      </c>
    </row>
    <row r="10" spans="1:14" customFormat="1" x14ac:dyDescent="0.25">
      <c r="A10" s="21"/>
      <c r="B10" s="40">
        <v>42100</v>
      </c>
      <c r="C10" s="46">
        <v>0</v>
      </c>
      <c r="D10" s="96"/>
      <c r="E10" s="28">
        <v>42100</v>
      </c>
      <c r="F10" s="52">
        <v>29448</v>
      </c>
      <c r="G10" s="25"/>
      <c r="H10" s="29">
        <v>42100</v>
      </c>
      <c r="I10" s="62">
        <v>161</v>
      </c>
      <c r="J10" s="82" t="s">
        <v>276</v>
      </c>
      <c r="K10" s="73" t="s">
        <v>382</v>
      </c>
      <c r="L10" s="125">
        <v>6283</v>
      </c>
      <c r="M10" s="395" t="s">
        <v>393</v>
      </c>
      <c r="N10" s="116">
        <v>29287</v>
      </c>
    </row>
    <row r="11" spans="1:14" customFormat="1" x14ac:dyDescent="0.25">
      <c r="A11" s="21"/>
      <c r="B11" s="40">
        <v>42101</v>
      </c>
      <c r="C11" s="46">
        <v>3120</v>
      </c>
      <c r="D11" s="96" t="s">
        <v>394</v>
      </c>
      <c r="E11" s="28">
        <v>42101</v>
      </c>
      <c r="F11" s="52">
        <v>31913</v>
      </c>
      <c r="G11" s="25"/>
      <c r="H11" s="29">
        <v>42101</v>
      </c>
      <c r="I11" s="62">
        <v>0</v>
      </c>
      <c r="J11" s="82" t="s">
        <v>277</v>
      </c>
      <c r="K11" s="73" t="s">
        <v>383</v>
      </c>
      <c r="L11" s="126">
        <v>7050</v>
      </c>
      <c r="M11" s="395" t="s">
        <v>395</v>
      </c>
      <c r="N11" s="116">
        <v>28793</v>
      </c>
    </row>
    <row r="12" spans="1:14" customFormat="1" x14ac:dyDescent="0.25">
      <c r="A12" s="21"/>
      <c r="B12" s="40">
        <v>42102</v>
      </c>
      <c r="C12" s="46">
        <v>1597</v>
      </c>
      <c r="D12" s="30" t="s">
        <v>366</v>
      </c>
      <c r="E12" s="28">
        <v>42102</v>
      </c>
      <c r="F12" s="52">
        <v>38252.5</v>
      </c>
      <c r="G12" s="25"/>
      <c r="H12" s="29">
        <v>42102</v>
      </c>
      <c r="I12" s="62">
        <v>496</v>
      </c>
      <c r="J12" s="82" t="s">
        <v>278</v>
      </c>
      <c r="K12" s="73" t="s">
        <v>384</v>
      </c>
      <c r="L12" s="126">
        <v>5541.5</v>
      </c>
      <c r="M12" s="395" t="s">
        <v>399</v>
      </c>
      <c r="N12" s="116">
        <v>35409</v>
      </c>
    </row>
    <row r="13" spans="1:14" customFormat="1" x14ac:dyDescent="0.25">
      <c r="A13" s="21"/>
      <c r="B13" s="40">
        <v>42103</v>
      </c>
      <c r="C13" s="46">
        <v>0</v>
      </c>
      <c r="D13" s="96"/>
      <c r="E13" s="28">
        <v>42103</v>
      </c>
      <c r="F13" s="52">
        <v>34080.5</v>
      </c>
      <c r="G13" s="25"/>
      <c r="H13" s="29">
        <v>42103</v>
      </c>
      <c r="I13" s="62">
        <v>113.8</v>
      </c>
      <c r="J13" s="82" t="s">
        <v>282</v>
      </c>
      <c r="K13" s="73" t="s">
        <v>385</v>
      </c>
      <c r="L13" s="126">
        <v>0</v>
      </c>
      <c r="M13" s="395" t="s">
        <v>400</v>
      </c>
      <c r="N13" s="116">
        <v>33966.699999999997</v>
      </c>
    </row>
    <row r="14" spans="1:14" customFormat="1" x14ac:dyDescent="0.25">
      <c r="A14" s="21"/>
      <c r="B14" s="40">
        <v>42104</v>
      </c>
      <c r="C14" s="46">
        <v>60</v>
      </c>
      <c r="D14" s="30" t="s">
        <v>402</v>
      </c>
      <c r="E14" s="28">
        <v>42104</v>
      </c>
      <c r="F14" s="52">
        <v>70396.5</v>
      </c>
      <c r="G14" s="25"/>
      <c r="H14" s="29">
        <v>42104</v>
      </c>
      <c r="I14" s="62">
        <v>146</v>
      </c>
      <c r="J14" s="82" t="s">
        <v>285</v>
      </c>
      <c r="K14" s="165" t="s">
        <v>268</v>
      </c>
      <c r="L14" s="126">
        <v>0</v>
      </c>
      <c r="M14" s="395" t="s">
        <v>403</v>
      </c>
      <c r="N14" s="116">
        <v>69342.5</v>
      </c>
    </row>
    <row r="15" spans="1:14" customFormat="1" x14ac:dyDescent="0.25">
      <c r="A15" s="21"/>
      <c r="B15" s="40">
        <v>42105</v>
      </c>
      <c r="C15" s="46">
        <v>440</v>
      </c>
      <c r="D15" s="96" t="s">
        <v>404</v>
      </c>
      <c r="E15" s="28">
        <v>42105</v>
      </c>
      <c r="F15" s="52">
        <v>50922</v>
      </c>
      <c r="G15" s="25"/>
      <c r="H15" s="29">
        <v>42105</v>
      </c>
      <c r="I15" s="62">
        <v>20</v>
      </c>
      <c r="J15" s="82" t="s">
        <v>287</v>
      </c>
      <c r="K15" s="73" t="s">
        <v>57</v>
      </c>
      <c r="L15" s="126">
        <v>0</v>
      </c>
      <c r="M15" s="395" t="s">
        <v>405</v>
      </c>
      <c r="N15" s="116">
        <v>50462</v>
      </c>
    </row>
    <row r="16" spans="1:14" customFormat="1" x14ac:dyDescent="0.25">
      <c r="A16" s="21"/>
      <c r="B16" s="40">
        <v>42106</v>
      </c>
      <c r="C16" s="46">
        <v>1015</v>
      </c>
      <c r="D16" s="96" t="s">
        <v>83</v>
      </c>
      <c r="E16" s="28">
        <v>42106</v>
      </c>
      <c r="F16" s="52">
        <v>54806.5</v>
      </c>
      <c r="G16" s="25"/>
      <c r="H16" s="29">
        <v>42106</v>
      </c>
      <c r="I16" s="62">
        <v>453.68</v>
      </c>
      <c r="J16" s="82"/>
      <c r="K16" s="192" t="s">
        <v>61</v>
      </c>
      <c r="L16" s="128">
        <v>0</v>
      </c>
      <c r="M16" s="395" t="s">
        <v>409</v>
      </c>
      <c r="N16" s="116">
        <v>47054</v>
      </c>
    </row>
    <row r="17" spans="1:15" x14ac:dyDescent="0.25">
      <c r="A17" s="21"/>
      <c r="B17" s="40">
        <v>42107</v>
      </c>
      <c r="C17" s="46">
        <v>0</v>
      </c>
      <c r="D17" s="96"/>
      <c r="E17" s="28">
        <v>42107</v>
      </c>
      <c r="F17" s="52">
        <v>30732</v>
      </c>
      <c r="G17" s="25"/>
      <c r="H17" s="29">
        <v>42107</v>
      </c>
      <c r="I17" s="62">
        <v>51</v>
      </c>
      <c r="J17" s="82"/>
      <c r="K17" s="73" t="s">
        <v>388</v>
      </c>
      <c r="L17" s="129">
        <v>2552</v>
      </c>
      <c r="M17" s="395" t="s">
        <v>410</v>
      </c>
      <c r="N17" s="116">
        <v>30681</v>
      </c>
    </row>
    <row r="18" spans="1:15" x14ac:dyDescent="0.25">
      <c r="A18" s="21"/>
      <c r="B18" s="40">
        <v>42108</v>
      </c>
      <c r="C18" s="46">
        <v>286</v>
      </c>
      <c r="D18" s="30" t="s">
        <v>411</v>
      </c>
      <c r="E18" s="28">
        <v>42108</v>
      </c>
      <c r="F18" s="52">
        <v>58182.5</v>
      </c>
      <c r="G18" s="25"/>
      <c r="H18" s="29">
        <v>42108</v>
      </c>
      <c r="I18" s="62">
        <v>312.76</v>
      </c>
      <c r="J18" s="82"/>
      <c r="K18" s="286" t="s">
        <v>439</v>
      </c>
      <c r="L18" s="88">
        <v>764.5</v>
      </c>
      <c r="M18" s="395" t="s">
        <v>412</v>
      </c>
      <c r="N18" s="116">
        <v>58021</v>
      </c>
    </row>
    <row r="19" spans="1:15" x14ac:dyDescent="0.25">
      <c r="A19" s="21"/>
      <c r="B19" s="40">
        <v>42109</v>
      </c>
      <c r="C19" s="46">
        <v>1142</v>
      </c>
      <c r="D19" s="96"/>
      <c r="E19" s="28">
        <v>42109</v>
      </c>
      <c r="F19" s="52">
        <v>46247.5</v>
      </c>
      <c r="G19" s="25"/>
      <c r="H19" s="29">
        <v>42109</v>
      </c>
      <c r="I19" s="62">
        <v>235.93</v>
      </c>
      <c r="J19" s="82"/>
      <c r="K19" s="286" t="s">
        <v>386</v>
      </c>
      <c r="L19" s="88">
        <v>0</v>
      </c>
      <c r="M19" s="395" t="s">
        <v>413</v>
      </c>
      <c r="N19" s="116">
        <v>44870.5</v>
      </c>
    </row>
    <row r="20" spans="1:15" x14ac:dyDescent="0.25">
      <c r="A20" s="21"/>
      <c r="B20" s="40">
        <v>42110</v>
      </c>
      <c r="C20" s="46">
        <v>712</v>
      </c>
      <c r="D20" s="96" t="s">
        <v>129</v>
      </c>
      <c r="E20" s="28">
        <v>42110</v>
      </c>
      <c r="F20" s="52">
        <v>46018.5</v>
      </c>
      <c r="G20" s="25"/>
      <c r="H20" s="29">
        <v>42110</v>
      </c>
      <c r="I20" s="63">
        <v>85</v>
      </c>
      <c r="J20" s="82"/>
      <c r="K20" s="130" t="s">
        <v>111</v>
      </c>
      <c r="L20" s="129">
        <v>0</v>
      </c>
      <c r="M20" s="395" t="s">
        <v>415</v>
      </c>
      <c r="N20" s="116">
        <v>44421</v>
      </c>
    </row>
    <row r="21" spans="1:15" x14ac:dyDescent="0.25">
      <c r="A21" s="21"/>
      <c r="B21" s="40">
        <v>42111</v>
      </c>
      <c r="C21" s="46">
        <v>0</v>
      </c>
      <c r="D21" s="96"/>
      <c r="E21" s="28">
        <v>42111</v>
      </c>
      <c r="F21" s="52">
        <v>59663</v>
      </c>
      <c r="G21" s="25"/>
      <c r="H21" s="29">
        <v>42111</v>
      </c>
      <c r="I21" s="63">
        <v>0</v>
      </c>
      <c r="J21" s="82"/>
      <c r="K21" s="131" t="s">
        <v>240</v>
      </c>
      <c r="L21" s="129">
        <v>0</v>
      </c>
      <c r="M21" s="395" t="s">
        <v>434</v>
      </c>
      <c r="N21" s="116">
        <v>59663</v>
      </c>
    </row>
    <row r="22" spans="1:15" x14ac:dyDescent="0.25">
      <c r="A22" s="21"/>
      <c r="B22" s="40">
        <v>42112</v>
      </c>
      <c r="C22" s="46">
        <v>0</v>
      </c>
      <c r="D22" s="96"/>
      <c r="E22" s="28">
        <v>42112</v>
      </c>
      <c r="F22" s="52">
        <v>47618.5</v>
      </c>
      <c r="G22" s="25"/>
      <c r="H22" s="29">
        <v>42112</v>
      </c>
      <c r="I22" s="63">
        <v>517.62</v>
      </c>
      <c r="J22" s="149"/>
      <c r="K22" s="150" t="s">
        <v>414</v>
      </c>
      <c r="L22" s="129">
        <v>800</v>
      </c>
      <c r="M22" s="395" t="s">
        <v>435</v>
      </c>
      <c r="N22" s="116">
        <v>47101</v>
      </c>
    </row>
    <row r="23" spans="1:15" x14ac:dyDescent="0.25">
      <c r="A23" s="21"/>
      <c r="B23" s="40">
        <v>42113</v>
      </c>
      <c r="C23" s="46">
        <v>832</v>
      </c>
      <c r="D23" s="96" t="s">
        <v>83</v>
      </c>
      <c r="E23" s="28">
        <v>42113</v>
      </c>
      <c r="F23" s="52">
        <v>40021</v>
      </c>
      <c r="G23" s="25"/>
      <c r="H23" s="29">
        <v>42113</v>
      </c>
      <c r="I23" s="63">
        <v>110</v>
      </c>
      <c r="J23" s="81"/>
      <c r="K23" s="470" t="s">
        <v>398</v>
      </c>
      <c r="L23" s="129">
        <v>750</v>
      </c>
      <c r="M23" s="395" t="s">
        <v>436</v>
      </c>
      <c r="N23" s="116">
        <v>32029</v>
      </c>
    </row>
    <row r="24" spans="1:15" x14ac:dyDescent="0.25">
      <c r="A24" s="21"/>
      <c r="B24" s="40">
        <v>42114</v>
      </c>
      <c r="C24" s="46">
        <v>0</v>
      </c>
      <c r="D24" s="96"/>
      <c r="E24" s="28">
        <v>42114</v>
      </c>
      <c r="F24" s="52">
        <v>29141</v>
      </c>
      <c r="G24" s="25"/>
      <c r="H24" s="29">
        <v>42114</v>
      </c>
      <c r="I24" s="63">
        <v>341</v>
      </c>
      <c r="J24" s="82"/>
      <c r="K24" s="132" t="s">
        <v>457</v>
      </c>
      <c r="L24" s="129">
        <v>3620</v>
      </c>
      <c r="M24" s="395" t="s">
        <v>437</v>
      </c>
      <c r="N24" s="116">
        <v>28800</v>
      </c>
    </row>
    <row r="25" spans="1:15" x14ac:dyDescent="0.25">
      <c r="A25" s="21"/>
      <c r="B25" s="40">
        <v>42115</v>
      </c>
      <c r="C25" s="46">
        <v>3600</v>
      </c>
      <c r="D25" s="30"/>
      <c r="E25" s="28">
        <v>42115</v>
      </c>
      <c r="F25" s="52">
        <v>31411</v>
      </c>
      <c r="G25" s="25"/>
      <c r="H25" s="29">
        <v>42115</v>
      </c>
      <c r="I25" s="63">
        <v>630</v>
      </c>
      <c r="J25" s="81"/>
      <c r="K25" s="132"/>
      <c r="L25" s="129"/>
      <c r="M25" s="395" t="s">
        <v>438</v>
      </c>
      <c r="N25" s="116">
        <v>27181</v>
      </c>
      <c r="O25" s="450"/>
    </row>
    <row r="26" spans="1:15" x14ac:dyDescent="0.25">
      <c r="A26" s="21"/>
      <c r="B26" s="40">
        <v>42116</v>
      </c>
      <c r="C26" s="46">
        <v>1225</v>
      </c>
      <c r="D26" s="96" t="s">
        <v>242</v>
      </c>
      <c r="E26" s="28">
        <v>42116</v>
      </c>
      <c r="F26" s="52">
        <v>33033.5</v>
      </c>
      <c r="G26" s="25"/>
      <c r="H26" s="29">
        <v>42116</v>
      </c>
      <c r="I26" s="63">
        <v>114</v>
      </c>
      <c r="J26" s="98"/>
      <c r="K26" s="132"/>
      <c r="L26" s="129"/>
      <c r="M26" s="395" t="s">
        <v>440</v>
      </c>
      <c r="N26" s="116">
        <v>30930</v>
      </c>
    </row>
    <row r="27" spans="1:15" x14ac:dyDescent="0.25">
      <c r="A27" s="21"/>
      <c r="B27" s="40">
        <v>42117</v>
      </c>
      <c r="C27" s="46">
        <v>0</v>
      </c>
      <c r="D27" s="96"/>
      <c r="E27" s="28">
        <v>42117</v>
      </c>
      <c r="F27" s="52">
        <v>30622.5</v>
      </c>
      <c r="G27" s="25"/>
      <c r="H27" s="29">
        <v>42117</v>
      </c>
      <c r="I27" s="63">
        <v>34</v>
      </c>
      <c r="J27" s="81"/>
      <c r="K27" s="132"/>
      <c r="L27" s="129"/>
      <c r="M27" s="395" t="s">
        <v>441</v>
      </c>
      <c r="N27" s="116">
        <v>30588.5</v>
      </c>
    </row>
    <row r="28" spans="1:15" x14ac:dyDescent="0.25">
      <c r="A28" s="21"/>
      <c r="B28" s="40">
        <v>42118</v>
      </c>
      <c r="C28" s="46">
        <v>312</v>
      </c>
      <c r="D28" s="30" t="s">
        <v>402</v>
      </c>
      <c r="E28" s="28">
        <v>42118</v>
      </c>
      <c r="F28" s="52">
        <v>51922</v>
      </c>
      <c r="G28" s="25"/>
      <c r="H28" s="29">
        <v>42118</v>
      </c>
      <c r="I28" s="63">
        <v>851.59</v>
      </c>
      <c r="J28" s="81"/>
      <c r="K28" s="132"/>
      <c r="L28" s="129"/>
      <c r="M28" s="395" t="s">
        <v>442</v>
      </c>
      <c r="N28" s="116">
        <v>50758.5</v>
      </c>
      <c r="O28" s="336"/>
    </row>
    <row r="29" spans="1:15" x14ac:dyDescent="0.25">
      <c r="A29" s="21"/>
      <c r="B29" s="40">
        <v>42119</v>
      </c>
      <c r="C29" s="46">
        <v>0</v>
      </c>
      <c r="D29" s="30"/>
      <c r="E29" s="28">
        <v>42119</v>
      </c>
      <c r="F29" s="52">
        <v>46100.5</v>
      </c>
      <c r="G29" s="25"/>
      <c r="H29" s="29">
        <v>42119</v>
      </c>
      <c r="I29" s="63">
        <v>20</v>
      </c>
      <c r="J29" s="81"/>
      <c r="K29" s="11"/>
      <c r="L29" s="87"/>
      <c r="M29" s="361" t="s">
        <v>443</v>
      </c>
      <c r="N29" s="116">
        <v>42460.5</v>
      </c>
      <c r="O29" s="336"/>
    </row>
    <row r="30" spans="1:15" x14ac:dyDescent="0.25">
      <c r="A30" s="21"/>
      <c r="B30" s="40">
        <v>42120</v>
      </c>
      <c r="C30" s="46">
        <v>0</v>
      </c>
      <c r="D30" s="30"/>
      <c r="E30" s="28">
        <v>42120</v>
      </c>
      <c r="F30" s="52">
        <v>39826.5</v>
      </c>
      <c r="G30" s="25"/>
      <c r="H30" s="29">
        <v>42120</v>
      </c>
      <c r="I30" s="63">
        <v>76</v>
      </c>
      <c r="J30" s="98"/>
      <c r="K30" s="11"/>
      <c r="L30" s="87"/>
      <c r="M30" s="395" t="s">
        <v>450</v>
      </c>
      <c r="N30" s="116">
        <v>34209.1</v>
      </c>
      <c r="O30" s="336"/>
    </row>
    <row r="31" spans="1:15" x14ac:dyDescent="0.25">
      <c r="A31" s="21"/>
      <c r="B31" s="40">
        <v>42121</v>
      </c>
      <c r="C31" s="46">
        <v>0</v>
      </c>
      <c r="D31" s="96"/>
      <c r="E31" s="28">
        <v>42121</v>
      </c>
      <c r="F31" s="52">
        <v>40404</v>
      </c>
      <c r="G31" s="25"/>
      <c r="H31" s="29">
        <v>42121</v>
      </c>
      <c r="I31" s="63">
        <v>25</v>
      </c>
      <c r="J31" s="82"/>
      <c r="K31" s="11"/>
      <c r="L31" s="87"/>
      <c r="M31" s="395" t="s">
        <v>444</v>
      </c>
      <c r="N31" s="116">
        <v>41133</v>
      </c>
      <c r="O31" s="336"/>
    </row>
    <row r="32" spans="1:15" x14ac:dyDescent="0.25">
      <c r="A32" s="21"/>
      <c r="B32" s="40">
        <v>42122</v>
      </c>
      <c r="C32" s="46">
        <v>5092.5</v>
      </c>
      <c r="D32" s="30" t="s">
        <v>445</v>
      </c>
      <c r="E32" s="28">
        <v>42122</v>
      </c>
      <c r="F32" s="52">
        <v>31658.5</v>
      </c>
      <c r="G32" s="25"/>
      <c r="H32" s="29">
        <v>42122</v>
      </c>
      <c r="I32" s="63">
        <v>20</v>
      </c>
      <c r="J32" s="81"/>
      <c r="K32" s="11"/>
      <c r="L32" s="87"/>
      <c r="M32" s="395" t="s">
        <v>446</v>
      </c>
      <c r="N32" s="116">
        <v>26546</v>
      </c>
      <c r="O32" s="336"/>
    </row>
    <row r="33" spans="1:15" x14ac:dyDescent="0.25">
      <c r="A33" s="21"/>
      <c r="B33" s="40">
        <v>42123</v>
      </c>
      <c r="C33" s="46">
        <v>809</v>
      </c>
      <c r="D33" s="96" t="s">
        <v>22</v>
      </c>
      <c r="E33" s="28">
        <v>42123</v>
      </c>
      <c r="F33" s="52">
        <v>38613</v>
      </c>
      <c r="G33" s="25"/>
      <c r="H33" s="29">
        <v>42123</v>
      </c>
      <c r="I33" s="63">
        <v>27</v>
      </c>
      <c r="J33" s="81"/>
      <c r="K33" s="11"/>
      <c r="L33" s="86"/>
      <c r="M33" s="395" t="s">
        <v>447</v>
      </c>
      <c r="N33" s="116">
        <v>37777</v>
      </c>
      <c r="O33" s="336"/>
    </row>
    <row r="34" spans="1:15" x14ac:dyDescent="0.25">
      <c r="A34" s="21"/>
      <c r="B34" s="40">
        <v>42124</v>
      </c>
      <c r="C34" s="46">
        <v>65</v>
      </c>
      <c r="D34" s="96" t="s">
        <v>448</v>
      </c>
      <c r="E34" s="28">
        <v>42124</v>
      </c>
      <c r="F34" s="52">
        <v>52068.5</v>
      </c>
      <c r="G34" s="25"/>
      <c r="H34" s="29">
        <v>42124</v>
      </c>
      <c r="I34" s="63">
        <v>840.28</v>
      </c>
      <c r="J34" s="81"/>
      <c r="K34" s="11"/>
      <c r="L34" s="86"/>
      <c r="M34" s="395" t="s">
        <v>449</v>
      </c>
      <c r="N34" s="116">
        <v>51163.22</v>
      </c>
      <c r="O34" s="336"/>
    </row>
    <row r="35" spans="1:15" ht="15.75" thickBot="1" x14ac:dyDescent="0.3">
      <c r="A35" s="21"/>
      <c r="B35" s="40"/>
      <c r="C35" s="46"/>
      <c r="D35" s="96"/>
      <c r="E35" s="28"/>
      <c r="F35" s="52"/>
      <c r="G35" s="25"/>
      <c r="H35" s="29"/>
      <c r="I35" s="63"/>
      <c r="J35" s="81"/>
      <c r="K35" s="11"/>
      <c r="L35" s="7"/>
      <c r="M35" s="174"/>
      <c r="N35" s="116"/>
      <c r="O35" s="336"/>
    </row>
    <row r="36" spans="1:15" ht="15.75" thickBot="1" x14ac:dyDescent="0.3">
      <c r="A36" s="15"/>
      <c r="B36" s="145"/>
      <c r="C36" s="146">
        <v>0</v>
      </c>
      <c r="D36" s="156"/>
      <c r="E36" s="28"/>
      <c r="F36" s="52">
        <v>0</v>
      </c>
      <c r="G36" s="25"/>
      <c r="H36" s="147"/>
      <c r="I36" s="148">
        <v>0</v>
      </c>
      <c r="J36" s="56"/>
      <c r="K36" s="11"/>
      <c r="L36" s="7"/>
      <c r="M36" s="72"/>
      <c r="N36" s="115"/>
      <c r="O36" s="336"/>
    </row>
    <row r="37" spans="1:15" ht="16.5" thickBot="1" x14ac:dyDescent="0.3">
      <c r="A37" s="99"/>
      <c r="B37" s="42"/>
      <c r="C37" s="48">
        <v>0</v>
      </c>
      <c r="D37" s="156"/>
      <c r="E37" s="9"/>
      <c r="F37" s="54">
        <v>0</v>
      </c>
      <c r="H37" s="32"/>
      <c r="I37" s="65">
        <v>0</v>
      </c>
      <c r="J37" s="56"/>
      <c r="K37" s="17"/>
      <c r="L37" s="117"/>
      <c r="M37" s="801">
        <f>SUM(N5:N36)</f>
        <v>1170950.67</v>
      </c>
      <c r="N37" s="802"/>
    </row>
    <row r="38" spans="1:15" x14ac:dyDescent="0.25">
      <c r="B38" s="43" t="s">
        <v>1</v>
      </c>
      <c r="C38" s="49">
        <f>SUM(C5:C37)</f>
        <v>21417.5</v>
      </c>
      <c r="E38" s="437" t="s">
        <v>1</v>
      </c>
      <c r="F38" s="55">
        <f>SUM(F5:F37)</f>
        <v>1222912</v>
      </c>
      <c r="H38" s="439" t="s">
        <v>1</v>
      </c>
      <c r="I38" s="59">
        <f>SUM(I5:I37)</f>
        <v>6574.22</v>
      </c>
      <c r="J38" s="59"/>
      <c r="K38" s="18" t="s">
        <v>1</v>
      </c>
      <c r="L38" s="4">
        <f>SUM(L5:L37)</f>
        <v>63242.35</v>
      </c>
      <c r="M38" s="72"/>
    </row>
    <row r="39" spans="1:15" x14ac:dyDescent="0.25">
      <c r="M39" s="72"/>
    </row>
    <row r="40" spans="1:15" ht="15.75" x14ac:dyDescent="0.25">
      <c r="A40" s="5"/>
      <c r="B40" s="280"/>
      <c r="C40" s="81"/>
      <c r="D40" s="157"/>
      <c r="E40" s="13"/>
      <c r="F40" s="56"/>
      <c r="H40" s="785" t="s">
        <v>11</v>
      </c>
      <c r="I40" s="786"/>
      <c r="J40" s="438"/>
      <c r="K40" s="787">
        <f>I38+L38</f>
        <v>69816.569999999992</v>
      </c>
      <c r="L40" s="788"/>
      <c r="M40" s="72"/>
    </row>
    <row r="41" spans="1:15" ht="15.75" x14ac:dyDescent="0.25">
      <c r="B41" s="281"/>
      <c r="C41" s="56"/>
      <c r="D41" s="779" t="s">
        <v>12</v>
      </c>
      <c r="E41" s="779"/>
      <c r="F41" s="57">
        <f>F38-K40</f>
        <v>1153095.43</v>
      </c>
      <c r="I41" s="66"/>
      <c r="J41" s="66"/>
      <c r="M41" s="72"/>
    </row>
    <row r="42" spans="1:15" ht="15.75" x14ac:dyDescent="0.25">
      <c r="D42" s="805" t="s">
        <v>246</v>
      </c>
      <c r="E42" s="805"/>
      <c r="F42" s="57">
        <v>-1058981.58</v>
      </c>
      <c r="I42" s="66"/>
      <c r="J42" s="66"/>
      <c r="M42" s="72"/>
    </row>
    <row r="43" spans="1:15" ht="15.75" thickBot="1" x14ac:dyDescent="0.3">
      <c r="D43" s="159"/>
      <c r="E43" s="120" t="s">
        <v>0</v>
      </c>
      <c r="F43" s="121">
        <f>-C38</f>
        <v>-21417.5</v>
      </c>
    </row>
    <row r="44" spans="1:15" ht="15.75" thickTop="1" x14ac:dyDescent="0.25">
      <c r="C44" s="44" t="s">
        <v>17</v>
      </c>
      <c r="E44" s="5" t="s">
        <v>15</v>
      </c>
      <c r="F44" s="59">
        <f>SUM(F41:F43)</f>
        <v>72696.34999999986</v>
      </c>
      <c r="I44" s="813" t="s">
        <v>248</v>
      </c>
      <c r="J44" s="814"/>
      <c r="K44" s="803">
        <f>F48+L46</f>
        <v>233559.99999999985</v>
      </c>
      <c r="L44" s="795"/>
    </row>
    <row r="45" spans="1:15" ht="15.75" thickBot="1" x14ac:dyDescent="0.3">
      <c r="D45" s="265" t="s">
        <v>253</v>
      </c>
      <c r="E45" s="5" t="s">
        <v>247</v>
      </c>
      <c r="F45" s="59">
        <v>16714.5</v>
      </c>
      <c r="I45" s="815"/>
      <c r="J45" s="816"/>
      <c r="K45" s="804"/>
      <c r="L45" s="796"/>
      <c r="M45" s="110"/>
    </row>
    <row r="46" spans="1:15" ht="17.25" thickTop="1" thickBot="1" x14ac:dyDescent="0.3">
      <c r="C46" s="55"/>
      <c r="D46" s="778" t="s">
        <v>13</v>
      </c>
      <c r="E46" s="778"/>
      <c r="F46" s="60">
        <v>144149.15</v>
      </c>
      <c r="I46" s="790"/>
      <c r="J46" s="790"/>
      <c r="K46" s="812"/>
      <c r="L46" s="34"/>
    </row>
    <row r="47" spans="1:15" ht="19.5" thickBot="1" x14ac:dyDescent="0.35">
      <c r="C47" s="55"/>
      <c r="D47" s="437"/>
      <c r="E47" s="437"/>
      <c r="F47" s="139"/>
      <c r="H47" s="19"/>
      <c r="I47" s="440" t="s">
        <v>254</v>
      </c>
      <c r="J47" s="440"/>
      <c r="K47" s="806">
        <v>143402.01999999999</v>
      </c>
      <c r="L47" s="807"/>
    </row>
    <row r="48" spans="1:15" ht="17.25" thickTop="1" thickBot="1" x14ac:dyDescent="0.3">
      <c r="E48" s="6" t="s">
        <v>16</v>
      </c>
      <c r="F48" s="264">
        <f>F44+F45+F46</f>
        <v>233559.99999999985</v>
      </c>
    </row>
    <row r="49" spans="2:14" customFormat="1" ht="19.5" thickBot="1" x14ac:dyDescent="0.35">
      <c r="D49" s="777"/>
      <c r="E49" s="777"/>
      <c r="F49" s="56"/>
      <c r="I49" s="810" t="s">
        <v>249</v>
      </c>
      <c r="J49" s="811"/>
      <c r="K49" s="808">
        <f>K44-K47</f>
        <v>90157.979999999865</v>
      </c>
      <c r="L49" s="809"/>
      <c r="N49" s="113"/>
    </row>
    <row r="50" spans="2:14" customFormat="1" x14ac:dyDescent="0.25">
      <c r="D50" s="155"/>
      <c r="F50" s="44"/>
      <c r="I50" s="44"/>
      <c r="J50" s="44"/>
      <c r="M50" s="107"/>
      <c r="N50" s="113"/>
    </row>
    <row r="51" spans="2:14" customFormat="1" x14ac:dyDescent="0.25">
      <c r="D51" s="155"/>
      <c r="F51" s="44"/>
      <c r="I51" s="44"/>
      <c r="J51" s="44"/>
      <c r="N51" s="44"/>
    </row>
    <row r="52" spans="2:14" customFormat="1" x14ac:dyDescent="0.25">
      <c r="D52" s="155"/>
    </row>
    <row r="53" spans="2:14" customFormat="1" x14ac:dyDescent="0.25">
      <c r="D53" s="155"/>
      <c r="F53" s="44"/>
      <c r="I53" s="44"/>
      <c r="J53" s="44"/>
      <c r="N53" s="44"/>
    </row>
    <row r="54" spans="2:14" customFormat="1" x14ac:dyDescent="0.25">
      <c r="B54" s="38"/>
      <c r="C54" s="44"/>
      <c r="D54" s="155"/>
      <c r="F54" s="44"/>
      <c r="I54" s="44"/>
      <c r="J54" s="44"/>
      <c r="N54" s="56"/>
    </row>
    <row r="55" spans="2:14" customFormat="1" x14ac:dyDescent="0.25">
      <c r="B55" s="38"/>
      <c r="C55" s="44"/>
      <c r="D55" s="155"/>
      <c r="F55" s="44"/>
      <c r="I55" s="44"/>
      <c r="J55" s="44"/>
      <c r="N55" s="56"/>
    </row>
    <row r="56" spans="2:14" customFormat="1" x14ac:dyDescent="0.25">
      <c r="B56" s="38"/>
      <c r="C56" s="44"/>
      <c r="D56" s="155"/>
      <c r="F56" s="44"/>
      <c r="I56" s="44"/>
      <c r="J56" s="44"/>
      <c r="N56" s="56"/>
    </row>
    <row r="57" spans="2:14" customFormat="1" x14ac:dyDescent="0.25">
      <c r="B57" s="38"/>
      <c r="C57" s="44"/>
      <c r="D57" s="155"/>
      <c r="F57" s="44"/>
      <c r="I57" s="44"/>
      <c r="J57" s="44"/>
      <c r="N57" s="56"/>
    </row>
  </sheetData>
  <mergeCells count="16">
    <mergeCell ref="C1:K1"/>
    <mergeCell ref="E4:F4"/>
    <mergeCell ref="I4:L4"/>
    <mergeCell ref="M37:N37"/>
    <mergeCell ref="H40:I40"/>
    <mergeCell ref="K40:L40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O88"/>
  <sheetViews>
    <sheetView topLeftCell="A43" workbookViewId="0">
      <selection activeCell="L13" sqref="L13"/>
    </sheetView>
  </sheetViews>
  <sheetFormatPr baseColWidth="10" defaultRowHeight="15" x14ac:dyDescent="0.25"/>
  <cols>
    <col min="2" max="2" width="18.7109375" style="59" bestFit="1" customWidth="1"/>
    <col min="3" max="3" width="10.140625" customWidth="1"/>
    <col min="4" max="4" width="15.28515625" style="111" customWidth="1"/>
    <col min="5" max="5" width="25.140625" style="44" bestFit="1" customWidth="1"/>
    <col min="6" max="6" width="11.42578125" style="222"/>
    <col min="8" max="8" width="11.42578125" style="276"/>
    <col min="9" max="9" width="12.5703125" style="5" bestFit="1" customWidth="1"/>
    <col min="10" max="10" width="12.85546875" bestFit="1" customWidth="1"/>
    <col min="11" max="11" width="14.42578125" style="44" bestFit="1" customWidth="1"/>
    <col min="12" max="12" width="12.42578125" bestFit="1" customWidth="1"/>
    <col min="13" max="13" width="14.140625" style="336" bestFit="1" customWidth="1"/>
    <col min="14" max="14" width="18.5703125" style="336" bestFit="1" customWidth="1"/>
  </cols>
  <sheetData>
    <row r="1" spans="1:15" ht="19.5" thickBot="1" x14ac:dyDescent="0.35">
      <c r="B1" s="474" t="s">
        <v>205</v>
      </c>
      <c r="C1" s="204"/>
      <c r="D1" s="441"/>
      <c r="E1" s="463">
        <v>42103</v>
      </c>
      <c r="G1" s="73"/>
      <c r="J1" s="204" t="s">
        <v>387</v>
      </c>
    </row>
    <row r="2" spans="1:15" ht="15.75" x14ac:dyDescent="0.25">
      <c r="A2" s="205"/>
      <c r="B2" s="419"/>
      <c r="C2" s="205"/>
      <c r="D2" s="206"/>
      <c r="E2" s="207"/>
      <c r="F2" s="223"/>
      <c r="G2" s="73"/>
    </row>
    <row r="3" spans="1:15" ht="15.75" x14ac:dyDescent="0.25">
      <c r="A3" s="212" t="s">
        <v>202</v>
      </c>
      <c r="B3" s="419" t="s">
        <v>195</v>
      </c>
      <c r="C3" s="205"/>
      <c r="D3" s="206" t="s">
        <v>203</v>
      </c>
      <c r="E3" s="207" t="s">
        <v>204</v>
      </c>
      <c r="F3" s="223"/>
      <c r="G3" s="73"/>
      <c r="I3" s="249">
        <v>42096</v>
      </c>
      <c r="J3" s="339">
        <v>16665</v>
      </c>
      <c r="K3" s="44">
        <v>873.6</v>
      </c>
      <c r="L3" s="38">
        <v>42103</v>
      </c>
      <c r="M3" s="44">
        <v>873.6</v>
      </c>
      <c r="N3" s="296">
        <f t="shared" ref="N3:N37" si="0">K3-M3</f>
        <v>0</v>
      </c>
    </row>
    <row r="4" spans="1:15" ht="15.75" x14ac:dyDescent="0.25">
      <c r="A4" s="215">
        <v>16220</v>
      </c>
      <c r="B4" s="216">
        <v>491</v>
      </c>
      <c r="C4" s="216"/>
      <c r="D4" s="331" t="s">
        <v>396</v>
      </c>
      <c r="E4" s="332">
        <v>2179</v>
      </c>
      <c r="F4" s="333">
        <v>42094</v>
      </c>
      <c r="G4" s="364">
        <v>42092</v>
      </c>
      <c r="I4" s="340">
        <v>42098</v>
      </c>
      <c r="J4" s="341">
        <v>16808</v>
      </c>
      <c r="K4" s="44">
        <v>70116.899999999994</v>
      </c>
      <c r="L4" s="38">
        <v>42103</v>
      </c>
      <c r="M4" s="44">
        <v>70116.899999999994</v>
      </c>
      <c r="N4" s="296">
        <f t="shared" si="0"/>
        <v>0</v>
      </c>
    </row>
    <row r="5" spans="1:15" ht="15.75" x14ac:dyDescent="0.25">
      <c r="A5" s="233">
        <v>16360</v>
      </c>
      <c r="B5" s="234">
        <v>2339.1999999999998</v>
      </c>
      <c r="C5" s="234"/>
      <c r="D5" s="331" t="s">
        <v>396</v>
      </c>
      <c r="E5" s="332">
        <v>26210</v>
      </c>
      <c r="F5" s="333">
        <v>42094</v>
      </c>
      <c r="G5" s="364">
        <v>42093</v>
      </c>
      <c r="I5" s="340">
        <v>42099</v>
      </c>
      <c r="J5" s="341">
        <v>16865</v>
      </c>
      <c r="K5" s="44">
        <v>26590.400000000001</v>
      </c>
      <c r="L5" s="38">
        <v>42103</v>
      </c>
      <c r="M5" s="44">
        <v>26590.400000000001</v>
      </c>
      <c r="N5" s="296">
        <f t="shared" si="0"/>
        <v>0</v>
      </c>
    </row>
    <row r="6" spans="1:15" ht="15.75" x14ac:dyDescent="0.25">
      <c r="A6" s="233">
        <v>16365</v>
      </c>
      <c r="B6" s="234">
        <v>52798.65</v>
      </c>
      <c r="C6" s="234"/>
      <c r="D6" s="331" t="s">
        <v>396</v>
      </c>
      <c r="E6" s="332">
        <v>771.5</v>
      </c>
      <c r="F6" s="333">
        <v>42098</v>
      </c>
      <c r="G6" s="364">
        <v>42094</v>
      </c>
      <c r="I6" s="340">
        <v>42100</v>
      </c>
      <c r="J6" s="341">
        <v>16943</v>
      </c>
      <c r="K6" s="44">
        <v>13959.8</v>
      </c>
      <c r="L6" s="38">
        <v>42103</v>
      </c>
      <c r="M6" s="44">
        <v>13959.8</v>
      </c>
      <c r="N6" s="296">
        <f t="shared" si="0"/>
        <v>0</v>
      </c>
    </row>
    <row r="7" spans="1:15" ht="15.75" x14ac:dyDescent="0.25">
      <c r="A7" s="233">
        <v>16480</v>
      </c>
      <c r="B7" s="234">
        <v>7077.6</v>
      </c>
      <c r="C7" s="234"/>
      <c r="D7" s="331" t="s">
        <v>396</v>
      </c>
      <c r="E7" s="332">
        <v>25340</v>
      </c>
      <c r="F7" s="333">
        <v>42095</v>
      </c>
      <c r="G7" s="364">
        <v>42094</v>
      </c>
      <c r="I7" s="340">
        <v>42100</v>
      </c>
      <c r="J7" s="341">
        <v>17005</v>
      </c>
      <c r="K7" s="44">
        <v>69222.210000000006</v>
      </c>
      <c r="L7" s="38">
        <v>42103</v>
      </c>
      <c r="M7" s="44">
        <v>69222.210000000006</v>
      </c>
      <c r="N7" s="296">
        <f t="shared" si="0"/>
        <v>0</v>
      </c>
    </row>
    <row r="8" spans="1:15" ht="15.75" x14ac:dyDescent="0.25">
      <c r="A8" s="233">
        <v>16665</v>
      </c>
      <c r="B8" s="234">
        <v>873.6</v>
      </c>
      <c r="C8" s="234"/>
      <c r="D8" s="331" t="s">
        <v>396</v>
      </c>
      <c r="E8" s="332">
        <v>25053</v>
      </c>
      <c r="F8" s="333">
        <v>42098</v>
      </c>
      <c r="G8" s="364">
        <v>42095</v>
      </c>
      <c r="I8" s="340">
        <v>42101</v>
      </c>
      <c r="J8" s="341">
        <v>17083</v>
      </c>
      <c r="K8" s="44">
        <v>20005.599999999999</v>
      </c>
      <c r="L8" s="468">
        <v>42103</v>
      </c>
      <c r="M8" s="336">
        <v>20005.599999999999</v>
      </c>
      <c r="N8" s="296">
        <f t="shared" si="0"/>
        <v>0</v>
      </c>
    </row>
    <row r="9" spans="1:15" ht="15.75" x14ac:dyDescent="0.25">
      <c r="A9" s="233">
        <v>16808</v>
      </c>
      <c r="B9" s="235">
        <v>70116.899999999994</v>
      </c>
      <c r="C9" s="235"/>
      <c r="D9" s="331" t="s">
        <v>396</v>
      </c>
      <c r="E9" s="332">
        <v>21600</v>
      </c>
      <c r="F9" s="333">
        <v>42098</v>
      </c>
      <c r="G9" s="364">
        <v>42096</v>
      </c>
      <c r="I9" s="340">
        <v>42102</v>
      </c>
      <c r="J9" s="341">
        <v>17209</v>
      </c>
      <c r="K9" s="56">
        <v>53977.440000000002</v>
      </c>
      <c r="L9" s="466" t="s">
        <v>417</v>
      </c>
      <c r="M9" s="50">
        <f>5146.04+48831.4</f>
        <v>53977.440000000002</v>
      </c>
      <c r="N9" s="296">
        <f t="shared" si="0"/>
        <v>0</v>
      </c>
    </row>
    <row r="10" spans="1:15" ht="15.75" x14ac:dyDescent="0.25">
      <c r="A10" s="237">
        <v>16865</v>
      </c>
      <c r="B10" s="324">
        <v>26590.400000000001</v>
      </c>
      <c r="C10" s="230"/>
      <c r="D10" s="331" t="s">
        <v>396</v>
      </c>
      <c r="E10" s="324">
        <v>2150.5</v>
      </c>
      <c r="F10" s="334">
        <v>42100</v>
      </c>
      <c r="G10" s="364">
        <v>42096</v>
      </c>
      <c r="I10" s="340">
        <v>42103</v>
      </c>
      <c r="J10" s="342">
        <v>17274</v>
      </c>
      <c r="K10" s="56">
        <v>18321</v>
      </c>
      <c r="L10" s="281">
        <v>42112</v>
      </c>
      <c r="M10" s="56">
        <v>18321</v>
      </c>
      <c r="N10" s="296">
        <f t="shared" si="0"/>
        <v>0</v>
      </c>
    </row>
    <row r="11" spans="1:15" ht="15.75" x14ac:dyDescent="0.25">
      <c r="A11" s="237">
        <v>16943</v>
      </c>
      <c r="B11" s="324">
        <v>13959.8</v>
      </c>
      <c r="C11" s="230"/>
      <c r="D11" s="331" t="s">
        <v>396</v>
      </c>
      <c r="E11" s="324">
        <v>66700</v>
      </c>
      <c r="F11" s="334">
        <v>42161</v>
      </c>
      <c r="G11" s="364">
        <v>42098</v>
      </c>
      <c r="I11" s="340">
        <v>42104</v>
      </c>
      <c r="J11" s="342">
        <v>17384</v>
      </c>
      <c r="K11" s="50">
        <v>5385.6</v>
      </c>
      <c r="L11" s="281">
        <v>42112</v>
      </c>
      <c r="M11" s="50">
        <v>5385.6</v>
      </c>
      <c r="N11" s="297">
        <f t="shared" si="0"/>
        <v>0</v>
      </c>
    </row>
    <row r="12" spans="1:15" ht="15.75" x14ac:dyDescent="0.25">
      <c r="A12" s="237">
        <v>17005</v>
      </c>
      <c r="B12" s="324">
        <v>69222.210000000006</v>
      </c>
      <c r="C12" s="230"/>
      <c r="D12" s="331" t="s">
        <v>396</v>
      </c>
      <c r="E12" s="324">
        <v>39550</v>
      </c>
      <c r="F12" s="334">
        <v>42100</v>
      </c>
      <c r="G12" s="21">
        <v>42099</v>
      </c>
      <c r="H12" s="252"/>
      <c r="I12" s="340">
        <v>42104</v>
      </c>
      <c r="J12" s="342">
        <v>17460</v>
      </c>
      <c r="K12" s="50">
        <v>35553.800000000003</v>
      </c>
      <c r="L12" s="281">
        <v>42112</v>
      </c>
      <c r="M12" s="50">
        <v>35553.800000000003</v>
      </c>
      <c r="N12" s="297">
        <f t="shared" si="0"/>
        <v>0</v>
      </c>
    </row>
    <row r="13" spans="1:15" ht="15.75" x14ac:dyDescent="0.25">
      <c r="A13" s="237">
        <v>17083</v>
      </c>
      <c r="B13" s="324">
        <v>20005.599999999999</v>
      </c>
      <c r="C13" s="230"/>
      <c r="D13" s="331" t="s">
        <v>396</v>
      </c>
      <c r="E13" s="232">
        <v>4250</v>
      </c>
      <c r="F13" s="229">
        <v>42101</v>
      </c>
      <c r="G13" s="21">
        <v>42099</v>
      </c>
      <c r="H13" s="252"/>
      <c r="I13" s="340">
        <v>42105</v>
      </c>
      <c r="J13" s="342">
        <v>17488</v>
      </c>
      <c r="K13" s="50">
        <v>24689.439999999999</v>
      </c>
      <c r="L13" s="485" t="s">
        <v>451</v>
      </c>
      <c r="M13" s="469">
        <f>22074.24+2322.4</f>
        <v>24396.640000000003</v>
      </c>
      <c r="N13" s="476">
        <f t="shared" si="0"/>
        <v>292.79999999999563</v>
      </c>
      <c r="O13" t="s">
        <v>418</v>
      </c>
    </row>
    <row r="14" spans="1:15" ht="15.75" x14ac:dyDescent="0.25">
      <c r="A14" s="237">
        <v>17209</v>
      </c>
      <c r="B14" s="324">
        <v>5146.04</v>
      </c>
      <c r="C14" s="416" t="s">
        <v>236</v>
      </c>
      <c r="D14" s="331" t="s">
        <v>396</v>
      </c>
      <c r="E14" s="232">
        <v>2547</v>
      </c>
      <c r="F14" s="229">
        <v>42102</v>
      </c>
      <c r="G14" s="21">
        <v>42100</v>
      </c>
      <c r="H14" s="287"/>
      <c r="I14" s="343">
        <v>42105</v>
      </c>
      <c r="J14" s="344">
        <v>17565</v>
      </c>
      <c r="K14" s="81">
        <v>103591.73</v>
      </c>
      <c r="L14" s="281">
        <v>42112</v>
      </c>
      <c r="M14" s="81">
        <v>103591.73</v>
      </c>
      <c r="N14" s="297">
        <f t="shared" si="0"/>
        <v>0</v>
      </c>
    </row>
    <row r="15" spans="1:15" ht="15.75" x14ac:dyDescent="0.25">
      <c r="A15" s="237"/>
      <c r="B15" s="324"/>
      <c r="C15" s="230"/>
      <c r="D15" s="331" t="s">
        <v>396</v>
      </c>
      <c r="E15" s="232">
        <v>26740</v>
      </c>
      <c r="F15" s="229">
        <v>42101</v>
      </c>
      <c r="G15" s="21">
        <v>42100</v>
      </c>
      <c r="H15" s="287"/>
      <c r="I15" s="343">
        <v>42106</v>
      </c>
      <c r="J15" s="344">
        <v>17612</v>
      </c>
      <c r="K15" s="81">
        <v>10179.1</v>
      </c>
      <c r="L15" s="281">
        <v>42112</v>
      </c>
      <c r="M15" s="81">
        <v>10179.1</v>
      </c>
      <c r="N15" s="297">
        <f t="shared" si="0"/>
        <v>0</v>
      </c>
    </row>
    <row r="16" spans="1:15" ht="15.75" x14ac:dyDescent="0.25">
      <c r="A16" s="230"/>
      <c r="B16" s="324"/>
      <c r="C16" s="230"/>
      <c r="D16" s="331" t="s">
        <v>396</v>
      </c>
      <c r="E16" s="232">
        <v>25530</v>
      </c>
      <c r="F16" s="229">
        <v>42102</v>
      </c>
      <c r="G16" s="21">
        <v>42101</v>
      </c>
      <c r="H16" s="287"/>
      <c r="I16" s="343">
        <v>42107</v>
      </c>
      <c r="J16" s="344">
        <v>17669</v>
      </c>
      <c r="K16" s="81">
        <v>9680</v>
      </c>
      <c r="L16" s="465">
        <v>42112</v>
      </c>
      <c r="M16" s="81">
        <v>9680</v>
      </c>
      <c r="N16" s="297">
        <f t="shared" si="0"/>
        <v>0</v>
      </c>
    </row>
    <row r="17" spans="1:14" ht="18.75" x14ac:dyDescent="0.3">
      <c r="A17" s="459"/>
      <c r="B17" s="464"/>
      <c r="C17" s="460"/>
      <c r="D17" s="461"/>
      <c r="E17" s="462"/>
      <c r="F17" s="328"/>
      <c r="G17" s="73"/>
      <c r="H17" s="287"/>
      <c r="I17" s="343">
        <v>42108</v>
      </c>
      <c r="J17" s="344">
        <v>17863</v>
      </c>
      <c r="K17" s="81">
        <v>78752.92</v>
      </c>
      <c r="L17" s="477">
        <v>42112</v>
      </c>
      <c r="M17" s="81">
        <v>78752.92</v>
      </c>
      <c r="N17" s="297">
        <f t="shared" si="0"/>
        <v>0</v>
      </c>
    </row>
    <row r="18" spans="1:14" ht="16.5" thickBot="1" x14ac:dyDescent="0.3">
      <c r="A18" s="244"/>
      <c r="B18" s="226">
        <v>0</v>
      </c>
      <c r="C18" s="226"/>
      <c r="D18" s="227"/>
      <c r="E18" s="58">
        <v>0</v>
      </c>
      <c r="F18" s="245"/>
      <c r="G18" s="73"/>
      <c r="H18" s="287"/>
      <c r="I18" s="343">
        <v>42108</v>
      </c>
      <c r="J18" s="344">
        <v>17864</v>
      </c>
      <c r="K18" s="81">
        <v>1953</v>
      </c>
      <c r="L18" s="465">
        <v>42112</v>
      </c>
      <c r="M18" s="81">
        <v>1953</v>
      </c>
      <c r="N18" s="297">
        <f t="shared" si="0"/>
        <v>0</v>
      </c>
    </row>
    <row r="19" spans="1:14" ht="16.5" thickTop="1" x14ac:dyDescent="0.25">
      <c r="B19" s="419">
        <f>SUM(B4:B18)</f>
        <v>268620.99999999994</v>
      </c>
      <c r="C19" s="208"/>
      <c r="D19" s="206"/>
      <c r="E19" s="207">
        <f>SUM(E4:E18)</f>
        <v>268621</v>
      </c>
      <c r="G19" s="73"/>
      <c r="H19" s="287"/>
      <c r="I19" s="343">
        <v>42108</v>
      </c>
      <c r="J19" s="344">
        <v>17797</v>
      </c>
      <c r="K19" s="81">
        <v>10329.6</v>
      </c>
      <c r="L19" s="465">
        <v>42112</v>
      </c>
      <c r="M19" s="429">
        <v>10329.6</v>
      </c>
      <c r="N19" s="297">
        <f t="shared" si="0"/>
        <v>0</v>
      </c>
    </row>
    <row r="20" spans="1:14" ht="15.75" x14ac:dyDescent="0.25">
      <c r="A20" s="443"/>
      <c r="B20" s="246"/>
      <c r="C20" s="246"/>
      <c r="D20" s="362"/>
      <c r="E20" s="293"/>
      <c r="F20" s="363"/>
      <c r="G20" s="364"/>
      <c r="H20" s="287"/>
      <c r="I20" s="343">
        <v>42110</v>
      </c>
      <c r="J20" s="344">
        <v>18012</v>
      </c>
      <c r="K20" s="81">
        <v>14403.5</v>
      </c>
      <c r="L20" s="465">
        <v>42112</v>
      </c>
      <c r="M20" s="429">
        <v>14403.5</v>
      </c>
      <c r="N20" s="297">
        <f t="shared" si="0"/>
        <v>0</v>
      </c>
    </row>
    <row r="21" spans="1:14" ht="15.75" x14ac:dyDescent="0.25">
      <c r="A21" s="197"/>
      <c r="B21" s="358"/>
      <c r="C21" s="358"/>
      <c r="D21" s="362"/>
      <c r="E21" s="293"/>
      <c r="F21" s="363"/>
      <c r="G21" s="364"/>
      <c r="H21" s="287"/>
      <c r="I21" s="343">
        <v>42111</v>
      </c>
      <c r="J21" s="344">
        <v>18153</v>
      </c>
      <c r="K21" s="81">
        <v>2547.4499999999998</v>
      </c>
      <c r="L21" s="465">
        <v>42112</v>
      </c>
      <c r="M21" s="429">
        <v>2547.4499999999998</v>
      </c>
      <c r="N21" s="297">
        <f t="shared" si="0"/>
        <v>0</v>
      </c>
    </row>
    <row r="22" spans="1:14" ht="15.75" x14ac:dyDescent="0.25">
      <c r="A22" s="197"/>
      <c r="B22" s="358"/>
      <c r="C22" s="358"/>
      <c r="D22" s="362"/>
      <c r="E22" s="293"/>
      <c r="F22" s="363"/>
      <c r="G22" s="364"/>
      <c r="H22" s="287"/>
      <c r="I22" s="343">
        <v>42112</v>
      </c>
      <c r="J22" s="344">
        <v>18216</v>
      </c>
      <c r="K22" s="81">
        <v>20926.599999999999</v>
      </c>
      <c r="L22" s="465">
        <v>42112</v>
      </c>
      <c r="M22" s="429">
        <v>20926.599999999999</v>
      </c>
      <c r="N22" s="297">
        <f t="shared" si="0"/>
        <v>0</v>
      </c>
    </row>
    <row r="23" spans="1:14" ht="16.5" thickBot="1" x14ac:dyDescent="0.3">
      <c r="A23" s="197"/>
      <c r="B23" s="358"/>
      <c r="C23" s="358"/>
      <c r="D23" s="362"/>
      <c r="E23" s="293"/>
      <c r="F23" s="363"/>
      <c r="G23" s="364"/>
      <c r="H23" s="287"/>
      <c r="I23" s="359">
        <v>42112</v>
      </c>
      <c r="J23" s="344">
        <v>18263</v>
      </c>
      <c r="K23" s="81">
        <v>71310.75</v>
      </c>
      <c r="L23" s="481" t="s">
        <v>451</v>
      </c>
      <c r="M23" s="429">
        <f>28989.46+42321.29</f>
        <v>71310.75</v>
      </c>
      <c r="N23" s="297">
        <f t="shared" si="0"/>
        <v>0</v>
      </c>
    </row>
    <row r="24" spans="1:14" ht="19.5" thickBot="1" x14ac:dyDescent="0.35">
      <c r="B24" s="474" t="s">
        <v>205</v>
      </c>
      <c r="C24" s="204"/>
      <c r="D24" s="472"/>
      <c r="E24" s="463">
        <v>42112</v>
      </c>
      <c r="G24" s="364"/>
      <c r="H24" s="287"/>
      <c r="I24" s="359">
        <v>42112</v>
      </c>
      <c r="J24" s="344">
        <v>18267</v>
      </c>
      <c r="K24" s="322">
        <v>6001.6</v>
      </c>
      <c r="L24" s="465">
        <v>42112</v>
      </c>
      <c r="M24" s="429">
        <v>6001.6</v>
      </c>
      <c r="N24" s="297">
        <f t="shared" si="0"/>
        <v>0</v>
      </c>
    </row>
    <row r="25" spans="1:14" ht="15.75" x14ac:dyDescent="0.25">
      <c r="A25" s="205"/>
      <c r="B25" s="419"/>
      <c r="C25" s="205"/>
      <c r="D25" s="206"/>
      <c r="E25" s="207"/>
      <c r="F25" s="223"/>
      <c r="G25" s="364"/>
      <c r="H25" s="287"/>
      <c r="I25" s="359">
        <v>42112</v>
      </c>
      <c r="J25" s="344">
        <v>18324</v>
      </c>
      <c r="K25" s="81">
        <v>5370</v>
      </c>
      <c r="L25" s="480">
        <v>42125</v>
      </c>
      <c r="M25" s="366">
        <v>5370</v>
      </c>
      <c r="N25" s="297">
        <f t="shared" si="0"/>
        <v>0</v>
      </c>
    </row>
    <row r="26" spans="1:14" ht="15.75" x14ac:dyDescent="0.25">
      <c r="A26" s="212" t="s">
        <v>202</v>
      </c>
      <c r="B26" s="419" t="s">
        <v>195</v>
      </c>
      <c r="C26" s="205"/>
      <c r="D26" s="206" t="s">
        <v>203</v>
      </c>
      <c r="E26" s="207" t="s">
        <v>204</v>
      </c>
      <c r="F26" s="223"/>
      <c r="G26" s="364"/>
      <c r="H26" s="287"/>
      <c r="I26" s="359">
        <v>42115</v>
      </c>
      <c r="J26" s="344">
        <v>18566</v>
      </c>
      <c r="K26" s="81">
        <v>15428.2</v>
      </c>
      <c r="L26" s="480">
        <v>42125</v>
      </c>
      <c r="M26" s="366">
        <v>15428.2</v>
      </c>
      <c r="N26" s="297">
        <f t="shared" si="0"/>
        <v>0</v>
      </c>
    </row>
    <row r="27" spans="1:14" ht="15.75" x14ac:dyDescent="0.25">
      <c r="A27" s="215">
        <v>17209</v>
      </c>
      <c r="B27" s="216">
        <v>48831.4</v>
      </c>
      <c r="C27" s="216"/>
      <c r="D27" s="331" t="s">
        <v>396</v>
      </c>
      <c r="E27" s="332">
        <v>3263</v>
      </c>
      <c r="F27" s="333">
        <v>42103</v>
      </c>
      <c r="G27" s="364">
        <v>42101</v>
      </c>
      <c r="H27" s="287"/>
      <c r="I27" s="359">
        <v>42115</v>
      </c>
      <c r="J27" s="344">
        <v>18601</v>
      </c>
      <c r="K27" s="81">
        <v>73847.7</v>
      </c>
      <c r="L27" s="480">
        <v>42125</v>
      </c>
      <c r="M27" s="366">
        <v>73847.7</v>
      </c>
      <c r="N27" s="297">
        <f t="shared" si="0"/>
        <v>0</v>
      </c>
    </row>
    <row r="28" spans="1:14" ht="15.75" x14ac:dyDescent="0.25">
      <c r="A28" s="233">
        <v>17274</v>
      </c>
      <c r="B28" s="234">
        <v>18321</v>
      </c>
      <c r="C28" s="234"/>
      <c r="D28" s="331" t="s">
        <v>396</v>
      </c>
      <c r="E28" s="332">
        <v>34350</v>
      </c>
      <c r="F28" s="333">
        <v>42103</v>
      </c>
      <c r="G28" s="364">
        <v>42102</v>
      </c>
      <c r="H28" s="287"/>
      <c r="I28" s="359">
        <v>42116</v>
      </c>
      <c r="J28" s="342">
        <v>18674</v>
      </c>
      <c r="K28" s="59">
        <v>9608.7999999999993</v>
      </c>
      <c r="L28" s="43">
        <v>42125</v>
      </c>
      <c r="M28" s="369">
        <v>9608.7999999999993</v>
      </c>
      <c r="N28" s="297">
        <f t="shared" si="0"/>
        <v>0</v>
      </c>
    </row>
    <row r="29" spans="1:14" ht="15.75" x14ac:dyDescent="0.25">
      <c r="A29" s="233">
        <v>17384</v>
      </c>
      <c r="B29" s="234">
        <v>5385.6</v>
      </c>
      <c r="C29" s="234"/>
      <c r="D29" s="331" t="s">
        <v>396</v>
      </c>
      <c r="E29" s="332">
        <v>1059</v>
      </c>
      <c r="F29" s="333">
        <v>42104</v>
      </c>
      <c r="G29" s="364">
        <v>42102</v>
      </c>
      <c r="H29" s="287"/>
      <c r="I29" s="359">
        <v>42117</v>
      </c>
      <c r="J29" s="342">
        <v>18746</v>
      </c>
      <c r="K29" s="59">
        <v>9898.4</v>
      </c>
      <c r="L29" s="43">
        <v>42125</v>
      </c>
      <c r="M29" s="369">
        <v>9898.4</v>
      </c>
      <c r="N29" s="297">
        <f t="shared" si="0"/>
        <v>0</v>
      </c>
    </row>
    <row r="30" spans="1:14" ht="15.75" x14ac:dyDescent="0.25">
      <c r="A30" s="233">
        <v>17460</v>
      </c>
      <c r="B30" s="234">
        <v>35553.800000000003</v>
      </c>
      <c r="C30" s="234"/>
      <c r="D30" s="331" t="s">
        <v>396</v>
      </c>
      <c r="E30" s="332">
        <v>31400</v>
      </c>
      <c r="F30" s="333">
        <v>42104</v>
      </c>
      <c r="G30" s="364">
        <v>42103</v>
      </c>
      <c r="H30" s="287"/>
      <c r="I30" s="359">
        <v>42118</v>
      </c>
      <c r="J30" s="344">
        <v>18890</v>
      </c>
      <c r="K30" s="81">
        <v>90896.9</v>
      </c>
      <c r="L30" s="480">
        <v>42125</v>
      </c>
      <c r="M30" s="366">
        <v>90896.9</v>
      </c>
      <c r="N30" s="297">
        <f t="shared" si="0"/>
        <v>0</v>
      </c>
    </row>
    <row r="31" spans="1:14" ht="15.75" x14ac:dyDescent="0.25">
      <c r="A31" s="233">
        <v>17488</v>
      </c>
      <c r="B31" s="234">
        <v>22074.240000000002</v>
      </c>
      <c r="C31" s="234" t="s">
        <v>416</v>
      </c>
      <c r="D31" s="331" t="s">
        <v>396</v>
      </c>
      <c r="E31" s="332">
        <v>2567</v>
      </c>
      <c r="F31" s="333">
        <v>42105</v>
      </c>
      <c r="G31" s="364">
        <v>42103</v>
      </c>
      <c r="H31" s="287"/>
      <c r="I31" s="359">
        <v>42119</v>
      </c>
      <c r="J31" s="344">
        <v>18998</v>
      </c>
      <c r="K31" s="292">
        <v>5515.2</v>
      </c>
      <c r="L31" s="480">
        <v>42125</v>
      </c>
      <c r="M31" s="366">
        <v>5515.2</v>
      </c>
      <c r="N31" s="297">
        <f t="shared" si="0"/>
        <v>0</v>
      </c>
    </row>
    <row r="32" spans="1:14" ht="15.75" x14ac:dyDescent="0.25">
      <c r="A32" s="233">
        <v>17565</v>
      </c>
      <c r="B32" s="235">
        <v>103591.73</v>
      </c>
      <c r="C32" s="235"/>
      <c r="D32" s="331" t="s">
        <v>396</v>
      </c>
      <c r="E32" s="332">
        <v>67300</v>
      </c>
      <c r="F32" s="333">
        <v>42105</v>
      </c>
      <c r="G32" s="364">
        <v>42104</v>
      </c>
      <c r="H32" s="287"/>
      <c r="I32" s="359">
        <v>42120</v>
      </c>
      <c r="J32" s="344">
        <v>19107</v>
      </c>
      <c r="K32" s="81">
        <v>16318.4</v>
      </c>
      <c r="L32" s="480">
        <v>42125</v>
      </c>
      <c r="M32" s="366">
        <v>16318.4</v>
      </c>
      <c r="N32" s="297">
        <f t="shared" si="0"/>
        <v>0</v>
      </c>
    </row>
    <row r="33" spans="1:15" ht="15.75" x14ac:dyDescent="0.25">
      <c r="A33" s="237">
        <v>17612</v>
      </c>
      <c r="B33" s="324">
        <v>10179.1</v>
      </c>
      <c r="C33" s="230"/>
      <c r="D33" s="331" t="s">
        <v>396</v>
      </c>
      <c r="E33" s="324">
        <v>2042.5</v>
      </c>
      <c r="F33" s="334">
        <v>42107</v>
      </c>
      <c r="G33" s="364">
        <v>42104</v>
      </c>
      <c r="H33" s="287"/>
      <c r="I33" s="359">
        <v>42121</v>
      </c>
      <c r="J33" s="344">
        <v>19172</v>
      </c>
      <c r="K33" s="81">
        <v>66599.820000000007</v>
      </c>
      <c r="L33" s="480" t="s">
        <v>481</v>
      </c>
      <c r="M33" s="366">
        <f>65449.21+1150.61</f>
        <v>66599.819999999992</v>
      </c>
      <c r="N33" s="297">
        <f t="shared" si="0"/>
        <v>0</v>
      </c>
    </row>
    <row r="34" spans="1:15" ht="15.75" x14ac:dyDescent="0.25">
      <c r="A34" s="237">
        <v>17669</v>
      </c>
      <c r="B34" s="324">
        <v>9680</v>
      </c>
      <c r="C34" s="230"/>
      <c r="D34" s="331" t="s">
        <v>396</v>
      </c>
      <c r="E34" s="324">
        <v>50462</v>
      </c>
      <c r="F34" s="334">
        <v>42107</v>
      </c>
      <c r="G34" s="364">
        <v>42105</v>
      </c>
      <c r="H34" s="287"/>
      <c r="I34" s="359">
        <v>42122</v>
      </c>
      <c r="J34" s="344">
        <v>19303</v>
      </c>
      <c r="K34" s="81">
        <v>19072.5</v>
      </c>
      <c r="L34" s="480">
        <v>42125</v>
      </c>
      <c r="M34" s="366">
        <v>19072.5</v>
      </c>
      <c r="N34" s="297">
        <f t="shared" si="0"/>
        <v>0</v>
      </c>
    </row>
    <row r="35" spans="1:15" ht="15.75" x14ac:dyDescent="0.25">
      <c r="A35" s="237">
        <v>17863</v>
      </c>
      <c r="B35" s="324">
        <v>78752.92</v>
      </c>
      <c r="C35" s="230"/>
      <c r="D35" s="331" t="s">
        <v>396</v>
      </c>
      <c r="E35" s="324">
        <v>44800</v>
      </c>
      <c r="F35" s="334">
        <v>42107</v>
      </c>
      <c r="G35" s="364">
        <v>42106</v>
      </c>
      <c r="H35" s="287"/>
      <c r="I35" s="359">
        <v>42123</v>
      </c>
      <c r="J35" s="344">
        <v>19396</v>
      </c>
      <c r="K35" s="81">
        <v>3567.4</v>
      </c>
      <c r="L35" s="287">
        <v>42140</v>
      </c>
      <c r="M35" s="294">
        <v>3567.4</v>
      </c>
      <c r="N35" s="297">
        <f t="shared" si="0"/>
        <v>0</v>
      </c>
    </row>
    <row r="36" spans="1:15" ht="15.75" x14ac:dyDescent="0.25">
      <c r="A36" s="237">
        <v>17864</v>
      </c>
      <c r="B36" s="324">
        <v>1953</v>
      </c>
      <c r="C36" s="230"/>
      <c r="D36" s="331" t="s">
        <v>396</v>
      </c>
      <c r="E36" s="232">
        <v>2254</v>
      </c>
      <c r="F36" s="229">
        <v>42108</v>
      </c>
      <c r="G36" s="364">
        <v>42106</v>
      </c>
      <c r="H36" s="287"/>
      <c r="I36" s="359">
        <v>42123</v>
      </c>
      <c r="J36" s="344">
        <v>19451</v>
      </c>
      <c r="K36" s="81">
        <v>4681</v>
      </c>
      <c r="L36" s="287">
        <v>42140</v>
      </c>
      <c r="M36" s="294">
        <v>4681</v>
      </c>
      <c r="N36" s="297">
        <f t="shared" si="0"/>
        <v>0</v>
      </c>
    </row>
    <row r="37" spans="1:15" ht="15.75" x14ac:dyDescent="0.25">
      <c r="A37" s="237">
        <v>17797</v>
      </c>
      <c r="B37" s="324">
        <v>10329.6</v>
      </c>
      <c r="C37" s="416"/>
      <c r="D37" s="331" t="s">
        <v>396</v>
      </c>
      <c r="E37" s="232">
        <v>29470</v>
      </c>
      <c r="F37" s="229">
        <v>42108</v>
      </c>
      <c r="G37" s="364">
        <v>42107</v>
      </c>
      <c r="H37" s="287"/>
      <c r="I37" s="359">
        <v>42124</v>
      </c>
      <c r="J37" s="344">
        <v>19540</v>
      </c>
      <c r="K37" s="81">
        <v>69805.22</v>
      </c>
      <c r="L37" s="287">
        <v>42140</v>
      </c>
      <c r="M37" s="294">
        <v>69805.22</v>
      </c>
      <c r="N37" s="297">
        <f t="shared" si="0"/>
        <v>0</v>
      </c>
    </row>
    <row r="38" spans="1:15" ht="16.5" thickBot="1" x14ac:dyDescent="0.3">
      <c r="A38" s="237">
        <v>18012</v>
      </c>
      <c r="B38" s="324">
        <v>14403.5</v>
      </c>
      <c r="C38" s="230"/>
      <c r="D38" s="331" t="s">
        <v>396</v>
      </c>
      <c r="E38" s="232">
        <v>1191</v>
      </c>
      <c r="F38" s="229">
        <v>42109</v>
      </c>
      <c r="G38" s="364">
        <v>42107</v>
      </c>
      <c r="H38" s="287"/>
      <c r="I38" s="288"/>
      <c r="J38" s="263"/>
      <c r="K38" s="180">
        <v>0</v>
      </c>
      <c r="L38" s="467"/>
      <c r="M38" s="295">
        <v>0</v>
      </c>
      <c r="N38" s="298">
        <f>K38-M38</f>
        <v>0</v>
      </c>
    </row>
    <row r="39" spans="1:15" ht="16.5" thickTop="1" x14ac:dyDescent="0.25">
      <c r="A39" s="237">
        <v>18153</v>
      </c>
      <c r="B39" s="324">
        <v>2547.4499999999998</v>
      </c>
      <c r="C39" s="230"/>
      <c r="D39" s="331" t="s">
        <v>396</v>
      </c>
      <c r="E39" s="232">
        <v>6161</v>
      </c>
      <c r="F39" s="229">
        <v>42110</v>
      </c>
      <c r="G39" s="364">
        <v>42108</v>
      </c>
      <c r="H39" s="287"/>
      <c r="I39" s="288"/>
      <c r="J39" s="5"/>
      <c r="K39" s="44">
        <f>SUM(K3:K38)</f>
        <v>1058981.5799999998</v>
      </c>
      <c r="L39" s="38"/>
      <c r="M39" s="336">
        <f>SUM(M3:M38)</f>
        <v>1058688.7799999998</v>
      </c>
      <c r="N39" s="336">
        <f>SUM(N3:N38)</f>
        <v>292.79999999999563</v>
      </c>
    </row>
    <row r="40" spans="1:15" ht="15.75" customHeight="1" x14ac:dyDescent="0.3">
      <c r="A40" s="329">
        <v>18216</v>
      </c>
      <c r="B40" s="432">
        <v>20926.599999999999</v>
      </c>
      <c r="C40" s="460"/>
      <c r="D40" s="329" t="s">
        <v>396</v>
      </c>
      <c r="E40" s="234">
        <v>51890</v>
      </c>
      <c r="F40" s="328">
        <v>42109</v>
      </c>
      <c r="G40" s="364">
        <v>42108</v>
      </c>
      <c r="H40" s="287"/>
      <c r="I40" s="288"/>
      <c r="J40" s="253"/>
      <c r="K40" s="81"/>
      <c r="L40" s="465"/>
      <c r="M40" s="294"/>
      <c r="N40" s="294"/>
    </row>
    <row r="41" spans="1:15" ht="15.75" customHeight="1" x14ac:dyDescent="0.3">
      <c r="A41" s="237">
        <v>18263</v>
      </c>
      <c r="B41" s="324">
        <v>28989.46</v>
      </c>
      <c r="C41" s="416" t="s">
        <v>236</v>
      </c>
      <c r="D41" s="237" t="s">
        <v>396</v>
      </c>
      <c r="E41" s="232">
        <v>37840</v>
      </c>
      <c r="F41" s="229">
        <v>42110</v>
      </c>
      <c r="G41" s="364">
        <v>42109</v>
      </c>
      <c r="H41" s="287"/>
      <c r="I41" s="442"/>
      <c r="J41" s="253"/>
      <c r="K41" s="475"/>
      <c r="L41" s="465"/>
      <c r="M41" s="294"/>
      <c r="N41" s="294"/>
      <c r="O41" s="25"/>
    </row>
    <row r="42" spans="1:15" ht="15.75" customHeight="1" x14ac:dyDescent="0.25">
      <c r="A42" s="237">
        <v>18267</v>
      </c>
      <c r="B42" s="324">
        <v>6001.6</v>
      </c>
      <c r="C42" s="230"/>
      <c r="D42" s="237" t="s">
        <v>396</v>
      </c>
      <c r="E42" s="232">
        <v>7030.5</v>
      </c>
      <c r="F42" s="229">
        <v>42111</v>
      </c>
      <c r="G42" s="364">
        <v>42109</v>
      </c>
      <c r="H42" s="287"/>
      <c r="I42" s="288"/>
      <c r="J42" s="253"/>
      <c r="K42" s="81"/>
      <c r="L42" s="465"/>
      <c r="M42" s="294"/>
      <c r="N42" s="294"/>
    </row>
    <row r="43" spans="1:15" ht="15.75" x14ac:dyDescent="0.25">
      <c r="A43" s="215"/>
      <c r="B43" s="216"/>
      <c r="C43" s="216"/>
      <c r="D43" s="421" t="s">
        <v>396</v>
      </c>
      <c r="E43" s="432">
        <v>39070</v>
      </c>
      <c r="F43" s="473">
        <v>42111</v>
      </c>
      <c r="G43" s="364">
        <v>42110</v>
      </c>
      <c r="H43" s="287"/>
      <c r="I43" s="442"/>
      <c r="J43" s="253"/>
      <c r="K43" s="81"/>
      <c r="L43" s="465"/>
      <c r="M43" s="294"/>
      <c r="N43" s="294"/>
    </row>
    <row r="44" spans="1:15" ht="16.5" customHeight="1" x14ac:dyDescent="0.25">
      <c r="A44" s="233"/>
      <c r="B44" s="234"/>
      <c r="C44" s="234"/>
      <c r="D44" s="421" t="s">
        <v>396</v>
      </c>
      <c r="E44" s="432">
        <v>5351</v>
      </c>
      <c r="F44" s="473">
        <v>42112</v>
      </c>
      <c r="G44" s="364">
        <v>42110</v>
      </c>
      <c r="H44" s="287"/>
      <c r="I44" s="288"/>
      <c r="J44" s="253"/>
      <c r="K44" s="81"/>
      <c r="L44" s="465"/>
      <c r="M44" s="294"/>
      <c r="N44" s="294"/>
    </row>
    <row r="45" spans="1:15" ht="16.5" customHeight="1" x14ac:dyDescent="0.25">
      <c r="A45" s="344"/>
      <c r="B45" s="432"/>
      <c r="C45" s="459"/>
      <c r="D45" s="421" t="s">
        <v>396</v>
      </c>
      <c r="E45" s="432">
        <v>20</v>
      </c>
      <c r="F45" s="473"/>
      <c r="G45" s="364"/>
      <c r="H45" s="287"/>
      <c r="I45" s="288"/>
      <c r="J45" s="253"/>
      <c r="K45" s="81"/>
      <c r="L45" s="253"/>
      <c r="M45" s="294"/>
      <c r="N45" s="294"/>
    </row>
    <row r="46" spans="1:15" ht="16.5" thickBot="1" x14ac:dyDescent="0.3">
      <c r="A46" s="244"/>
      <c r="B46" s="226">
        <v>0</v>
      </c>
      <c r="C46" s="226"/>
      <c r="D46" s="227"/>
      <c r="E46" s="58">
        <v>0</v>
      </c>
      <c r="F46" s="245"/>
      <c r="G46" s="364"/>
      <c r="H46" s="252"/>
      <c r="I46" s="286"/>
      <c r="J46" s="290"/>
      <c r="K46" s="293"/>
      <c r="L46" s="290"/>
      <c r="M46" s="50"/>
      <c r="N46" s="50"/>
    </row>
    <row r="47" spans="1:15" ht="16.5" thickTop="1" x14ac:dyDescent="0.25">
      <c r="B47" s="419">
        <f>SUM(B27:B46)</f>
        <v>417521</v>
      </c>
      <c r="C47" s="208"/>
      <c r="D47" s="206"/>
      <c r="E47" s="207">
        <f>SUM(E27:E46)</f>
        <v>417521</v>
      </c>
      <c r="G47" s="364"/>
      <c r="H47" s="252"/>
    </row>
    <row r="48" spans="1:15" x14ac:dyDescent="0.25">
      <c r="A48" s="73"/>
      <c r="B48" s="81"/>
      <c r="C48" s="73"/>
      <c r="D48" s="361"/>
      <c r="E48" s="81"/>
      <c r="F48" s="252"/>
      <c r="G48" s="364"/>
      <c r="H48" s="252"/>
    </row>
    <row r="49" spans="1:12" customFormat="1" x14ac:dyDescent="0.25">
      <c r="A49" s="73"/>
      <c r="B49" s="81"/>
      <c r="C49" s="73"/>
      <c r="D49" s="447"/>
      <c r="E49" s="50"/>
      <c r="F49" s="285"/>
      <c r="G49" s="364"/>
      <c r="H49" s="252"/>
      <c r="I49" s="5"/>
      <c r="J49" t="s">
        <v>101</v>
      </c>
      <c r="K49" s="44"/>
    </row>
    <row r="50" spans="1:12" customFormat="1" ht="15.75" thickBot="1" x14ac:dyDescent="0.3">
      <c r="A50" s="73"/>
      <c r="B50" s="81"/>
      <c r="C50" s="73"/>
      <c r="D50" s="447"/>
      <c r="E50" s="50"/>
      <c r="F50" s="285"/>
      <c r="G50" s="364"/>
      <c r="H50" s="252"/>
      <c r="I50" s="5"/>
      <c r="K50" s="44"/>
    </row>
    <row r="51" spans="1:12" customFormat="1" ht="19.5" thickBot="1" x14ac:dyDescent="0.35">
      <c r="B51" s="474" t="s">
        <v>205</v>
      </c>
      <c r="C51" s="204"/>
      <c r="D51" s="478"/>
      <c r="E51" s="479">
        <v>42125</v>
      </c>
      <c r="F51" s="222"/>
      <c r="G51" s="364"/>
      <c r="H51" s="252"/>
      <c r="I51" s="5"/>
      <c r="K51" s="44"/>
    </row>
    <row r="52" spans="1:12" customFormat="1" ht="15.75" x14ac:dyDescent="0.25">
      <c r="A52" s="205"/>
      <c r="B52" s="419"/>
      <c r="C52" s="205"/>
      <c r="D52" s="206"/>
      <c r="E52" s="207"/>
      <c r="F52" s="223"/>
      <c r="G52" s="364"/>
      <c r="H52" s="252"/>
      <c r="I52" s="5"/>
      <c r="K52" s="44"/>
    </row>
    <row r="53" spans="1:12" customFormat="1" ht="15.75" x14ac:dyDescent="0.25">
      <c r="A53" s="212" t="s">
        <v>202</v>
      </c>
      <c r="B53" s="419" t="s">
        <v>195</v>
      </c>
      <c r="C53" s="205"/>
      <c r="D53" s="206" t="s">
        <v>203</v>
      </c>
      <c r="E53" s="207" t="s">
        <v>204</v>
      </c>
      <c r="F53" s="223"/>
      <c r="G53" s="364"/>
      <c r="H53" s="252"/>
      <c r="I53" s="5"/>
      <c r="K53" s="44"/>
    </row>
    <row r="54" spans="1:12" customFormat="1" ht="15.75" x14ac:dyDescent="0.25">
      <c r="A54" s="215">
        <v>17488</v>
      </c>
      <c r="B54" s="216">
        <v>2322.4</v>
      </c>
      <c r="C54" s="216" t="s">
        <v>236</v>
      </c>
      <c r="D54" s="331" t="s">
        <v>396</v>
      </c>
      <c r="E54" s="332">
        <v>5443</v>
      </c>
      <c r="F54" s="333">
        <v>42114</v>
      </c>
      <c r="G54" s="364">
        <v>42111</v>
      </c>
      <c r="H54" s="252"/>
      <c r="I54" s="5"/>
      <c r="K54" s="44"/>
    </row>
    <row r="55" spans="1:12" customFormat="1" ht="15.75" x14ac:dyDescent="0.25">
      <c r="A55" s="233">
        <v>18263</v>
      </c>
      <c r="B55" s="234">
        <v>42321.29</v>
      </c>
      <c r="C55" s="234"/>
      <c r="D55" s="331" t="s">
        <v>396</v>
      </c>
      <c r="E55" s="332">
        <v>54220</v>
      </c>
      <c r="F55" s="333">
        <v>42112</v>
      </c>
      <c r="G55" s="364">
        <v>42111</v>
      </c>
      <c r="H55" s="252"/>
      <c r="I55" s="5"/>
      <c r="K55" s="44"/>
    </row>
    <row r="56" spans="1:12" customFormat="1" ht="15.75" x14ac:dyDescent="0.25">
      <c r="A56" s="233">
        <v>18324</v>
      </c>
      <c r="B56" s="234">
        <v>5370</v>
      </c>
      <c r="C56" s="234"/>
      <c r="D56" s="331" t="s">
        <v>396</v>
      </c>
      <c r="E56" s="332">
        <v>47101</v>
      </c>
      <c r="F56" s="333">
        <v>42114</v>
      </c>
      <c r="G56" s="364">
        <v>42112</v>
      </c>
      <c r="H56" s="252"/>
      <c r="I56" s="5"/>
      <c r="K56" s="44"/>
    </row>
    <row r="57" spans="1:12" customFormat="1" ht="15.75" x14ac:dyDescent="0.25">
      <c r="A57" s="233">
        <v>18566</v>
      </c>
      <c r="B57" s="234">
        <v>15428.2</v>
      </c>
      <c r="C57" s="234"/>
      <c r="D57" s="331" t="s">
        <v>396</v>
      </c>
      <c r="E57" s="332">
        <v>26850</v>
      </c>
      <c r="F57" s="333">
        <v>42114</v>
      </c>
      <c r="G57" s="364">
        <v>42113</v>
      </c>
      <c r="H57" s="252"/>
      <c r="I57" s="5"/>
      <c r="K57" s="44"/>
    </row>
    <row r="58" spans="1:12" customFormat="1" ht="15.75" x14ac:dyDescent="0.25">
      <c r="A58" s="233">
        <v>18601</v>
      </c>
      <c r="B58" s="234">
        <v>73847.7</v>
      </c>
      <c r="C58" s="234"/>
      <c r="D58" s="331" t="s">
        <v>396</v>
      </c>
      <c r="E58" s="332">
        <v>5179</v>
      </c>
      <c r="F58" s="333">
        <v>42115</v>
      </c>
      <c r="G58" s="364">
        <v>42113</v>
      </c>
      <c r="H58" s="252"/>
      <c r="I58" s="5"/>
      <c r="K58" s="44"/>
    </row>
    <row r="59" spans="1:12" customFormat="1" ht="15.75" x14ac:dyDescent="0.25">
      <c r="A59" s="233">
        <v>18674</v>
      </c>
      <c r="B59" s="235">
        <v>9608.7999999999993</v>
      </c>
      <c r="C59" s="235"/>
      <c r="D59" s="331" t="s">
        <v>396</v>
      </c>
      <c r="E59" s="332">
        <v>22720</v>
      </c>
      <c r="F59" s="333">
        <v>42115</v>
      </c>
      <c r="G59" s="364">
        <v>42114</v>
      </c>
      <c r="H59" s="252"/>
      <c r="I59" s="5"/>
      <c r="K59" s="44"/>
    </row>
    <row r="60" spans="1:12" customFormat="1" ht="15.75" x14ac:dyDescent="0.25">
      <c r="A60" s="237">
        <v>18746</v>
      </c>
      <c r="B60" s="324">
        <v>9898.4</v>
      </c>
      <c r="C60" s="230"/>
      <c r="D60" s="331" t="s">
        <v>396</v>
      </c>
      <c r="E60" s="324">
        <v>6080</v>
      </c>
      <c r="F60" s="334">
        <v>42116</v>
      </c>
      <c r="G60" s="364">
        <v>42114</v>
      </c>
      <c r="H60" s="252"/>
      <c r="I60" s="5" t="s">
        <v>315</v>
      </c>
      <c r="K60" s="44"/>
    </row>
    <row r="61" spans="1:12" customFormat="1" ht="15.75" x14ac:dyDescent="0.25">
      <c r="A61" s="237">
        <v>18890</v>
      </c>
      <c r="B61" s="324">
        <v>90896.9</v>
      </c>
      <c r="C61" s="230"/>
      <c r="D61" s="331" t="s">
        <v>396</v>
      </c>
      <c r="E61" s="324">
        <v>7631</v>
      </c>
      <c r="F61" s="334">
        <v>42117</v>
      </c>
      <c r="G61" s="364">
        <v>42115</v>
      </c>
      <c r="H61" s="252"/>
      <c r="I61" s="5"/>
      <c r="K61" s="44"/>
      <c r="L61" s="4"/>
    </row>
    <row r="62" spans="1:12" customFormat="1" ht="15.75" x14ac:dyDescent="0.25">
      <c r="A62" s="237">
        <v>18998</v>
      </c>
      <c r="B62" s="324">
        <v>5515.2</v>
      </c>
      <c r="C62" s="230"/>
      <c r="D62" s="331" t="s">
        <v>396</v>
      </c>
      <c r="E62" s="324">
        <v>19550</v>
      </c>
      <c r="F62" s="334">
        <v>42116</v>
      </c>
      <c r="G62" s="364">
        <v>42115</v>
      </c>
      <c r="H62" s="252"/>
      <c r="I62" s="5"/>
      <c r="K62" s="44"/>
    </row>
    <row r="63" spans="1:12" customFormat="1" ht="15.75" x14ac:dyDescent="0.25">
      <c r="A63" s="237">
        <v>19107</v>
      </c>
      <c r="B63" s="324">
        <v>16318.4</v>
      </c>
      <c r="C63" s="230"/>
      <c r="D63" s="331" t="s">
        <v>396</v>
      </c>
      <c r="E63" s="324">
        <v>5720</v>
      </c>
      <c r="F63" s="334">
        <v>42118</v>
      </c>
      <c r="G63" s="364">
        <v>42116</v>
      </c>
      <c r="H63" s="252"/>
      <c r="I63" s="5"/>
      <c r="K63" s="44"/>
    </row>
    <row r="64" spans="1:12" customFormat="1" ht="15.75" x14ac:dyDescent="0.25">
      <c r="A64" s="237">
        <v>19303</v>
      </c>
      <c r="B64" s="324">
        <v>19072.5</v>
      </c>
      <c r="C64" s="416"/>
      <c r="D64" s="331" t="s">
        <v>396</v>
      </c>
      <c r="E64" s="324">
        <v>25210</v>
      </c>
      <c r="F64" s="334">
        <v>42117</v>
      </c>
      <c r="G64" s="364">
        <v>42116</v>
      </c>
      <c r="H64" s="252"/>
      <c r="I64" s="5"/>
      <c r="K64" s="44"/>
    </row>
    <row r="65" spans="1:14" ht="15.75" x14ac:dyDescent="0.25">
      <c r="A65" s="237">
        <v>19172</v>
      </c>
      <c r="B65" s="324">
        <v>65449.21</v>
      </c>
      <c r="C65" s="416" t="s">
        <v>236</v>
      </c>
      <c r="D65" s="331" t="s">
        <v>396</v>
      </c>
      <c r="E65" s="324">
        <v>6148.5</v>
      </c>
      <c r="F65" s="334">
        <v>42119</v>
      </c>
      <c r="G65" s="364">
        <v>42117</v>
      </c>
      <c r="H65" s="73"/>
      <c r="I65"/>
      <c r="K65"/>
      <c r="M65"/>
      <c r="N65"/>
    </row>
    <row r="66" spans="1:14" ht="15.75" x14ac:dyDescent="0.25">
      <c r="A66" s="237"/>
      <c r="B66" s="324">
        <v>0</v>
      </c>
      <c r="C66" s="230"/>
      <c r="D66" s="331" t="s">
        <v>396</v>
      </c>
      <c r="E66" s="324">
        <v>24440</v>
      </c>
      <c r="F66" s="334">
        <v>42118</v>
      </c>
      <c r="G66" s="364">
        <v>42117</v>
      </c>
      <c r="H66" s="73"/>
      <c r="I66"/>
      <c r="K66"/>
      <c r="M66"/>
      <c r="N66"/>
    </row>
    <row r="67" spans="1:14" ht="18.75" x14ac:dyDescent="0.3">
      <c r="A67" s="459"/>
      <c r="B67" s="432"/>
      <c r="C67" s="460"/>
      <c r="D67" s="329" t="s">
        <v>396</v>
      </c>
      <c r="E67" s="234">
        <v>45690</v>
      </c>
      <c r="F67" s="473">
        <v>42119</v>
      </c>
      <c r="G67" s="364">
        <v>42118</v>
      </c>
      <c r="H67" s="73"/>
      <c r="I67"/>
      <c r="K67"/>
      <c r="M67"/>
      <c r="N67"/>
    </row>
    <row r="68" spans="1:14" x14ac:dyDescent="0.25">
      <c r="A68" s="230"/>
      <c r="B68" s="324"/>
      <c r="C68" s="416"/>
      <c r="D68" s="237" t="s">
        <v>396</v>
      </c>
      <c r="E68" s="324">
        <v>5068.5</v>
      </c>
      <c r="F68" s="334">
        <v>42122</v>
      </c>
      <c r="G68" s="364">
        <v>42118</v>
      </c>
      <c r="H68" s="73"/>
      <c r="I68"/>
      <c r="K68"/>
      <c r="M68"/>
      <c r="N68"/>
    </row>
    <row r="69" spans="1:14" x14ac:dyDescent="0.25">
      <c r="A69" s="230"/>
      <c r="B69" s="324"/>
      <c r="C69" s="230"/>
      <c r="D69" s="237" t="s">
        <v>396</v>
      </c>
      <c r="E69" s="324">
        <v>37300</v>
      </c>
      <c r="F69" s="334">
        <v>42122</v>
      </c>
      <c r="G69" s="364">
        <v>42119</v>
      </c>
      <c r="H69" s="73"/>
      <c r="I69"/>
      <c r="K69"/>
      <c r="M69"/>
      <c r="N69"/>
    </row>
    <row r="70" spans="1:14" ht="15.75" x14ac:dyDescent="0.25">
      <c r="A70" s="215"/>
      <c r="B70" s="216"/>
      <c r="C70" s="216"/>
      <c r="D70" s="421" t="s">
        <v>396</v>
      </c>
      <c r="E70" s="432">
        <v>3409</v>
      </c>
      <c r="F70" s="473">
        <v>42122</v>
      </c>
      <c r="G70" s="364">
        <v>42120</v>
      </c>
      <c r="H70" s="73"/>
      <c r="I70"/>
      <c r="K70"/>
      <c r="M70"/>
      <c r="N70"/>
    </row>
    <row r="71" spans="1:14" ht="15.75" x14ac:dyDescent="0.25">
      <c r="A71" s="233"/>
      <c r="B71" s="234"/>
      <c r="C71" s="234"/>
      <c r="D71" s="421" t="s">
        <v>396</v>
      </c>
      <c r="E71" s="432">
        <v>3596</v>
      </c>
      <c r="F71" s="473">
        <v>42124</v>
      </c>
      <c r="G71" s="364">
        <v>42122</v>
      </c>
      <c r="H71" s="73"/>
      <c r="I71"/>
      <c r="K71"/>
      <c r="M71"/>
      <c r="N71"/>
    </row>
    <row r="72" spans="1:14" ht="15.75" x14ac:dyDescent="0.25">
      <c r="A72" s="344"/>
      <c r="B72" s="432"/>
      <c r="C72" s="459"/>
      <c r="D72" s="421" t="s">
        <v>396</v>
      </c>
      <c r="E72" s="432">
        <v>4693</v>
      </c>
      <c r="F72" s="473">
        <v>42123</v>
      </c>
      <c r="G72" s="364">
        <v>42121</v>
      </c>
      <c r="H72" s="73"/>
      <c r="I72"/>
      <c r="K72"/>
      <c r="M72"/>
      <c r="N72"/>
    </row>
    <row r="73" spans="1:14" ht="18.75" x14ac:dyDescent="0.3">
      <c r="A73" s="459"/>
      <c r="B73" s="464"/>
      <c r="C73" s="460"/>
      <c r="D73" s="461"/>
      <c r="E73" s="234">
        <v>0</v>
      </c>
      <c r="F73" s="328"/>
      <c r="G73" s="73"/>
      <c r="H73"/>
      <c r="I73"/>
      <c r="K73"/>
      <c r="M73"/>
      <c r="N73"/>
    </row>
    <row r="74" spans="1:14" ht="16.5" thickBot="1" x14ac:dyDescent="0.3">
      <c r="A74" s="445"/>
      <c r="B74" s="226">
        <v>0</v>
      </c>
      <c r="C74" s="226"/>
      <c r="D74" s="227"/>
      <c r="E74" s="58">
        <v>0</v>
      </c>
      <c r="F74" s="245"/>
      <c r="G74" s="73"/>
      <c r="H74"/>
      <c r="I74"/>
      <c r="K74"/>
      <c r="M74"/>
      <c r="N74"/>
    </row>
    <row r="75" spans="1:14" ht="16.5" thickTop="1" x14ac:dyDescent="0.25">
      <c r="A75" s="446"/>
      <c r="B75" s="419">
        <f>SUM(B54:B74)</f>
        <v>356049</v>
      </c>
      <c r="C75" s="208"/>
      <c r="D75" s="206"/>
      <c r="E75" s="419">
        <f>SUM(E54:E74)</f>
        <v>356049</v>
      </c>
      <c r="G75" s="73"/>
      <c r="K75"/>
      <c r="M75"/>
      <c r="N75"/>
    </row>
    <row r="76" spans="1:14" ht="15.75" x14ac:dyDescent="0.25">
      <c r="A76" s="449"/>
      <c r="B76" s="81"/>
      <c r="C76" s="246"/>
      <c r="D76" s="362"/>
      <c r="E76" s="293"/>
      <c r="F76" s="363"/>
      <c r="G76" s="364"/>
      <c r="K76"/>
      <c r="M76"/>
      <c r="N76"/>
    </row>
    <row r="77" spans="1:14" ht="15.75" x14ac:dyDescent="0.25">
      <c r="A77" s="449"/>
      <c r="B77" s="81"/>
      <c r="C77" s="358"/>
      <c r="D77" s="362"/>
      <c r="E77" s="293"/>
      <c r="F77" s="363"/>
      <c r="G77" s="364"/>
      <c r="K77"/>
      <c r="M77"/>
      <c r="N77"/>
    </row>
    <row r="78" spans="1:14" ht="15.75" x14ac:dyDescent="0.25">
      <c r="A78" s="444"/>
      <c r="B78" s="81"/>
      <c r="C78" s="358"/>
      <c r="D78" s="362"/>
      <c r="E78" s="293"/>
      <c r="F78" s="363"/>
      <c r="G78" s="364"/>
      <c r="K78"/>
      <c r="M78"/>
      <c r="N78"/>
    </row>
    <row r="79" spans="1:14" ht="15.75" x14ac:dyDescent="0.25">
      <c r="A79" s="444"/>
      <c r="B79" s="81"/>
      <c r="C79" s="358"/>
      <c r="D79" s="362"/>
      <c r="E79" s="293"/>
      <c r="F79" s="363"/>
      <c r="G79" s="364"/>
      <c r="K79"/>
      <c r="M79"/>
      <c r="N79"/>
    </row>
    <row r="80" spans="1:14" ht="15.75" x14ac:dyDescent="0.25">
      <c r="A80" s="444"/>
      <c r="B80" s="81"/>
      <c r="C80" s="358"/>
      <c r="D80" s="362"/>
      <c r="E80" s="293"/>
      <c r="F80" s="363"/>
      <c r="G80" s="364"/>
      <c r="K80"/>
      <c r="M80"/>
      <c r="N80"/>
    </row>
    <row r="81" spans="1:14" ht="15.75" x14ac:dyDescent="0.25">
      <c r="A81" s="444"/>
      <c r="B81" s="81"/>
      <c r="C81" s="358"/>
      <c r="D81" s="362"/>
      <c r="E81" s="293"/>
      <c r="F81" s="363"/>
      <c r="G81" s="364"/>
      <c r="K81"/>
      <c r="M81"/>
      <c r="N81"/>
    </row>
    <row r="82" spans="1:14" ht="15.75" x14ac:dyDescent="0.25">
      <c r="A82" s="444"/>
      <c r="B82" s="81"/>
      <c r="C82" s="286"/>
      <c r="D82" s="362"/>
      <c r="E82" s="81"/>
      <c r="F82" s="252"/>
      <c r="G82" s="364"/>
      <c r="K82"/>
      <c r="M82"/>
      <c r="N82"/>
    </row>
    <row r="83" spans="1:14" ht="15.75" x14ac:dyDescent="0.25">
      <c r="A83" s="444"/>
      <c r="B83" s="81"/>
      <c r="C83" s="73"/>
      <c r="D83" s="362"/>
      <c r="E83" s="81"/>
      <c r="F83" s="252"/>
      <c r="G83" s="364"/>
      <c r="K83"/>
      <c r="M83"/>
      <c r="N83"/>
    </row>
    <row r="84" spans="1:14" ht="15.75" x14ac:dyDescent="0.25">
      <c r="A84" s="443"/>
      <c r="B84" s="246"/>
      <c r="C84" s="246"/>
      <c r="D84" s="362"/>
      <c r="E84" s="293"/>
      <c r="F84" s="363"/>
      <c r="G84" s="73"/>
      <c r="K84"/>
      <c r="M84"/>
      <c r="N84"/>
    </row>
    <row r="85" spans="1:14" ht="15.75" x14ac:dyDescent="0.25">
      <c r="A85" s="73"/>
      <c r="B85" s="246"/>
      <c r="C85" s="246"/>
      <c r="D85" s="447"/>
      <c r="E85" s="50"/>
      <c r="F85" s="285"/>
      <c r="G85" s="73"/>
      <c r="K85"/>
      <c r="M85"/>
      <c r="N85"/>
    </row>
    <row r="86" spans="1:14" ht="15.75" x14ac:dyDescent="0.25">
      <c r="A86" s="73"/>
      <c r="B86" s="293"/>
      <c r="C86" s="448"/>
      <c r="D86" s="362"/>
      <c r="E86" s="293"/>
      <c r="F86" s="285"/>
      <c r="G86" s="73"/>
      <c r="K86"/>
      <c r="M86"/>
      <c r="N86"/>
    </row>
    <row r="87" spans="1:14" x14ac:dyDescent="0.25">
      <c r="A87" s="73"/>
      <c r="B87" s="81"/>
      <c r="C87" s="73"/>
      <c r="D87" s="447"/>
      <c r="E87" s="50"/>
      <c r="F87" s="285"/>
      <c r="G87" s="73"/>
    </row>
    <row r="88" spans="1:14" x14ac:dyDescent="0.25">
      <c r="A88" s="73"/>
      <c r="B88" s="81"/>
      <c r="C88" s="73"/>
      <c r="D88" s="447"/>
      <c r="E88" s="50"/>
      <c r="F88" s="285"/>
      <c r="G88" s="73"/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-0.249977111117893"/>
  </sheetPr>
  <dimension ref="A1:R57"/>
  <sheetViews>
    <sheetView topLeftCell="A22" workbookViewId="0">
      <selection activeCell="O41" sqref="O41"/>
    </sheetView>
  </sheetViews>
  <sheetFormatPr baseColWidth="10" defaultRowHeight="15" x14ac:dyDescent="0.25"/>
  <cols>
    <col min="1" max="1" width="2.5703125" customWidth="1"/>
    <col min="2" max="2" width="12.42578125" style="38" customWidth="1"/>
    <col min="3" max="3" width="16.42578125" style="44" customWidth="1"/>
    <col min="4" max="4" width="9" style="155" customWidth="1"/>
    <col min="6" max="6" width="17.85546875" style="44" customWidth="1"/>
    <col min="7" max="7" width="2.85546875" customWidth="1"/>
    <col min="9" max="9" width="12.140625" style="44" customWidth="1"/>
    <col min="10" max="10" width="6.42578125" style="44" customWidth="1"/>
    <col min="11" max="11" width="12.28515625" customWidth="1"/>
    <col min="12" max="12" width="11.28515625" customWidth="1"/>
    <col min="13" max="13" width="17.140625" customWidth="1"/>
    <col min="14" max="14" width="12.5703125" style="44" bestFit="1" customWidth="1"/>
    <col min="15" max="15" width="11.42578125" style="44"/>
  </cols>
  <sheetData>
    <row r="1" spans="1:17" ht="23.25" x14ac:dyDescent="0.35">
      <c r="C1" s="780" t="s">
        <v>704</v>
      </c>
      <c r="D1" s="780"/>
      <c r="E1" s="780"/>
      <c r="F1" s="780"/>
      <c r="G1" s="780"/>
      <c r="H1" s="780"/>
      <c r="I1" s="780"/>
      <c r="J1" s="780"/>
      <c r="K1" s="780"/>
      <c r="L1" s="133" t="s">
        <v>158</v>
      </c>
      <c r="M1" s="134"/>
    </row>
    <row r="2" spans="1:17" ht="15.75" thickBot="1" x14ac:dyDescent="0.3">
      <c r="E2" s="517"/>
      <c r="F2" s="51"/>
      <c r="I2" s="44" t="s">
        <v>101</v>
      </c>
    </row>
    <row r="3" spans="1:17" ht="15.75" thickBot="1" x14ac:dyDescent="0.3">
      <c r="C3" s="45" t="s">
        <v>0</v>
      </c>
      <c r="D3" s="3"/>
    </row>
    <row r="4" spans="1:17" ht="20.25" thickTop="1" thickBot="1" x14ac:dyDescent="0.35">
      <c r="A4" s="415" t="s">
        <v>2</v>
      </c>
      <c r="B4" s="414"/>
      <c r="C4" s="97">
        <v>144149.15</v>
      </c>
      <c r="D4" s="156"/>
      <c r="E4" s="797" t="s">
        <v>19</v>
      </c>
      <c r="F4" s="798"/>
      <c r="I4" s="783" t="s">
        <v>4</v>
      </c>
      <c r="J4" s="784"/>
      <c r="K4" s="784"/>
      <c r="L4" s="784"/>
      <c r="M4" s="69" t="s">
        <v>24</v>
      </c>
      <c r="N4" s="112" t="s">
        <v>159</v>
      </c>
    </row>
    <row r="5" spans="1:17" ht="15.75" thickTop="1" x14ac:dyDescent="0.25">
      <c r="A5" s="21"/>
      <c r="B5" s="40">
        <v>42125</v>
      </c>
      <c r="C5" s="46">
        <v>308</v>
      </c>
      <c r="D5" s="96" t="s">
        <v>22</v>
      </c>
      <c r="E5" s="28">
        <v>42125</v>
      </c>
      <c r="F5" s="52">
        <v>62651</v>
      </c>
      <c r="G5" s="25"/>
      <c r="H5" s="26">
        <v>42125</v>
      </c>
      <c r="I5" s="61">
        <v>989.07</v>
      </c>
      <c r="J5" s="80"/>
      <c r="K5" s="122"/>
      <c r="L5" s="123"/>
      <c r="M5" s="152" t="s">
        <v>458</v>
      </c>
      <c r="N5" s="151">
        <v>62071</v>
      </c>
      <c r="O5" s="336"/>
    </row>
    <row r="6" spans="1:17" x14ac:dyDescent="0.25">
      <c r="A6" s="21"/>
      <c r="B6" s="40">
        <v>42126</v>
      </c>
      <c r="C6" s="46">
        <v>796</v>
      </c>
      <c r="D6" s="70" t="s">
        <v>22</v>
      </c>
      <c r="E6" s="28">
        <v>42126</v>
      </c>
      <c r="F6" s="52">
        <v>57194.5</v>
      </c>
      <c r="G6" s="20"/>
      <c r="H6" s="29">
        <v>42126</v>
      </c>
      <c r="I6" s="62">
        <v>73</v>
      </c>
      <c r="J6" s="81"/>
      <c r="K6" s="73" t="s">
        <v>5</v>
      </c>
      <c r="L6" s="125">
        <v>539</v>
      </c>
      <c r="M6" s="392" t="s">
        <v>460</v>
      </c>
      <c r="N6" s="116">
        <v>63751</v>
      </c>
      <c r="O6" s="336"/>
    </row>
    <row r="7" spans="1:17" x14ac:dyDescent="0.25">
      <c r="A7" s="21"/>
      <c r="B7" s="40">
        <v>42127</v>
      </c>
      <c r="C7" s="46">
        <v>0</v>
      </c>
      <c r="D7" s="96"/>
      <c r="E7" s="28">
        <v>42127</v>
      </c>
      <c r="F7" s="52">
        <v>48494</v>
      </c>
      <c r="G7" s="25"/>
      <c r="H7" s="29">
        <v>42127</v>
      </c>
      <c r="I7" s="62">
        <v>0</v>
      </c>
      <c r="J7" s="81"/>
      <c r="K7" s="73" t="s">
        <v>3</v>
      </c>
      <c r="L7" s="125">
        <v>0</v>
      </c>
      <c r="M7" s="482" t="s">
        <v>461</v>
      </c>
      <c r="N7" s="116">
        <v>41935.5</v>
      </c>
      <c r="O7" s="336"/>
    </row>
    <row r="8" spans="1:17" x14ac:dyDescent="0.25">
      <c r="A8" s="21"/>
      <c r="B8" s="40">
        <v>42128</v>
      </c>
      <c r="C8" s="46">
        <v>0</v>
      </c>
      <c r="D8" s="33"/>
      <c r="E8" s="28">
        <v>42128</v>
      </c>
      <c r="F8" s="52">
        <v>21465</v>
      </c>
      <c r="G8" s="25"/>
      <c r="H8" s="29">
        <v>42128</v>
      </c>
      <c r="I8" s="62">
        <v>136.51</v>
      </c>
      <c r="J8" s="81"/>
      <c r="K8" s="73" t="s">
        <v>6</v>
      </c>
      <c r="L8" s="124">
        <v>28750</v>
      </c>
      <c r="M8" s="395" t="s">
        <v>465</v>
      </c>
      <c r="N8" s="116">
        <v>21328</v>
      </c>
      <c r="O8" s="336"/>
      <c r="P8" t="s">
        <v>462</v>
      </c>
      <c r="Q8">
        <v>1600</v>
      </c>
    </row>
    <row r="9" spans="1:17" x14ac:dyDescent="0.25">
      <c r="A9" s="21"/>
      <c r="B9" s="40">
        <v>42129</v>
      </c>
      <c r="C9" s="46">
        <v>257</v>
      </c>
      <c r="D9" s="96" t="s">
        <v>269</v>
      </c>
      <c r="E9" s="28">
        <v>42129</v>
      </c>
      <c r="F9" s="52">
        <v>24938</v>
      </c>
      <c r="G9" s="25"/>
      <c r="H9" s="29">
        <v>42129</v>
      </c>
      <c r="I9" s="62">
        <v>58</v>
      </c>
      <c r="J9" s="82"/>
      <c r="K9" s="73" t="s">
        <v>385</v>
      </c>
      <c r="L9" s="125">
        <f>6558.33+1600</f>
        <v>8158.33</v>
      </c>
      <c r="M9" s="395" t="s">
        <v>466</v>
      </c>
      <c r="N9" s="116">
        <v>24623</v>
      </c>
      <c r="O9" s="336"/>
      <c r="P9" t="s">
        <v>463</v>
      </c>
      <c r="Q9">
        <v>2500</v>
      </c>
    </row>
    <row r="10" spans="1:17" x14ac:dyDescent="0.25">
      <c r="A10" s="21"/>
      <c r="B10" s="40">
        <v>42130</v>
      </c>
      <c r="C10" s="46">
        <v>440</v>
      </c>
      <c r="D10" s="96" t="s">
        <v>404</v>
      </c>
      <c r="E10" s="28">
        <v>42130</v>
      </c>
      <c r="F10" s="52">
        <v>38470</v>
      </c>
      <c r="G10" s="25"/>
      <c r="H10" s="29">
        <v>42130</v>
      </c>
      <c r="I10" s="62">
        <v>3106.85</v>
      </c>
      <c r="J10" s="82"/>
      <c r="K10" s="73" t="s">
        <v>452</v>
      </c>
      <c r="L10" s="125">
        <f>6024.97+1600+3000</f>
        <v>10624.970000000001</v>
      </c>
      <c r="M10" s="395" t="s">
        <v>467</v>
      </c>
      <c r="N10" s="116">
        <f>34883+40</f>
        <v>34923</v>
      </c>
      <c r="O10" s="336"/>
      <c r="P10" t="s">
        <v>464</v>
      </c>
      <c r="Q10">
        <v>2500</v>
      </c>
    </row>
    <row r="11" spans="1:17" x14ac:dyDescent="0.25">
      <c r="A11" s="21"/>
      <c r="B11" s="40">
        <v>42131</v>
      </c>
      <c r="C11" s="46">
        <v>0</v>
      </c>
      <c r="D11" s="96"/>
      <c r="E11" s="28">
        <v>42131</v>
      </c>
      <c r="F11" s="52">
        <v>27179.5</v>
      </c>
      <c r="G11" s="25"/>
      <c r="H11" s="29">
        <v>42131</v>
      </c>
      <c r="I11" s="62">
        <v>20</v>
      </c>
      <c r="J11" s="82"/>
      <c r="K11" s="73" t="s">
        <v>453</v>
      </c>
      <c r="L11" s="126">
        <f>5583.3+1600</f>
        <v>7183.3</v>
      </c>
      <c r="M11" s="395" t="s">
        <v>468</v>
      </c>
      <c r="N11" s="116">
        <v>27159.5</v>
      </c>
      <c r="O11" s="336"/>
    </row>
    <row r="12" spans="1:17" x14ac:dyDescent="0.25">
      <c r="A12" s="21"/>
      <c r="B12" s="40">
        <v>42132</v>
      </c>
      <c r="C12" s="46">
        <v>1077</v>
      </c>
      <c r="D12" s="30" t="s">
        <v>22</v>
      </c>
      <c r="E12" s="28">
        <v>42132</v>
      </c>
      <c r="F12" s="52">
        <v>67295</v>
      </c>
      <c r="G12" s="25"/>
      <c r="H12" s="29">
        <v>42132</v>
      </c>
      <c r="I12" s="62">
        <v>0</v>
      </c>
      <c r="J12" s="82"/>
      <c r="K12" s="73" t="s">
        <v>454</v>
      </c>
      <c r="L12" s="126">
        <f>5891.68+3000+1600</f>
        <v>10491.68</v>
      </c>
      <c r="M12" s="395" t="s">
        <v>469</v>
      </c>
      <c r="N12" s="116">
        <v>66218</v>
      </c>
      <c r="O12" s="336"/>
    </row>
    <row r="13" spans="1:17" x14ac:dyDescent="0.25">
      <c r="A13" s="21"/>
      <c r="B13" s="40">
        <v>42133</v>
      </c>
      <c r="C13" s="46">
        <v>323</v>
      </c>
      <c r="D13" s="96" t="s">
        <v>269</v>
      </c>
      <c r="E13" s="28">
        <v>42133</v>
      </c>
      <c r="F13" s="52">
        <v>75814</v>
      </c>
      <c r="G13" s="25"/>
      <c r="H13" s="29">
        <v>42133</v>
      </c>
      <c r="I13" s="62">
        <v>370</v>
      </c>
      <c r="J13" s="82"/>
      <c r="K13" s="73" t="s">
        <v>455</v>
      </c>
      <c r="L13" s="126">
        <f>5275+1600</f>
        <v>6875</v>
      </c>
      <c r="M13" s="395" t="s">
        <v>471</v>
      </c>
      <c r="N13" s="116">
        <v>73351</v>
      </c>
      <c r="O13" s="336"/>
    </row>
    <row r="14" spans="1:17" x14ac:dyDescent="0.25">
      <c r="A14" s="21"/>
      <c r="B14" s="40">
        <v>42134</v>
      </c>
      <c r="C14" s="46">
        <v>778</v>
      </c>
      <c r="D14" s="30" t="s">
        <v>22</v>
      </c>
      <c r="E14" s="28">
        <v>42134</v>
      </c>
      <c r="F14" s="52">
        <v>58968.5</v>
      </c>
      <c r="G14" s="25"/>
      <c r="H14" s="29">
        <v>42134</v>
      </c>
      <c r="I14" s="62">
        <v>150</v>
      </c>
      <c r="J14" s="82"/>
      <c r="K14" s="165" t="s">
        <v>268</v>
      </c>
      <c r="L14" s="126">
        <v>0</v>
      </c>
      <c r="M14" s="395" t="s">
        <v>473</v>
      </c>
      <c r="N14" s="116">
        <v>49015.5</v>
      </c>
      <c r="O14" s="336"/>
    </row>
    <row r="15" spans="1:17" x14ac:dyDescent="0.25">
      <c r="A15" s="21"/>
      <c r="B15" s="40">
        <v>42135</v>
      </c>
      <c r="C15" s="46">
        <v>0</v>
      </c>
      <c r="D15" s="96"/>
      <c r="E15" s="28">
        <v>42135</v>
      </c>
      <c r="F15" s="52">
        <v>32893.410000000003</v>
      </c>
      <c r="G15" s="25"/>
      <c r="H15" s="29">
        <v>42135</v>
      </c>
      <c r="I15" s="62">
        <v>0</v>
      </c>
      <c r="J15" s="82"/>
      <c r="K15" s="73" t="s">
        <v>57</v>
      </c>
      <c r="L15" s="126">
        <v>0</v>
      </c>
      <c r="M15" s="395" t="s">
        <v>474</v>
      </c>
      <c r="N15" s="116">
        <v>32354.5</v>
      </c>
      <c r="O15" s="336"/>
    </row>
    <row r="16" spans="1:17" x14ac:dyDescent="0.25">
      <c r="A16" s="21"/>
      <c r="B16" s="40">
        <v>42136</v>
      </c>
      <c r="C16" s="46">
        <v>347</v>
      </c>
      <c r="D16" s="96" t="s">
        <v>269</v>
      </c>
      <c r="E16" s="28">
        <v>42136</v>
      </c>
      <c r="F16" s="52">
        <v>23766</v>
      </c>
      <c r="G16" s="25"/>
      <c r="H16" s="29">
        <v>42136</v>
      </c>
      <c r="I16" s="62">
        <v>541.88</v>
      </c>
      <c r="J16" s="82"/>
      <c r="K16" s="192" t="s">
        <v>61</v>
      </c>
      <c r="L16" s="128">
        <v>0</v>
      </c>
      <c r="M16" s="395" t="s">
        <v>475</v>
      </c>
      <c r="N16" s="116">
        <v>22877</v>
      </c>
      <c r="O16" s="336"/>
    </row>
    <row r="17" spans="1:17" x14ac:dyDescent="0.25">
      <c r="A17" s="21"/>
      <c r="B17" s="40">
        <v>42137</v>
      </c>
      <c r="C17" s="46">
        <v>459</v>
      </c>
      <c r="D17" s="30" t="s">
        <v>476</v>
      </c>
      <c r="E17" s="28">
        <v>42137</v>
      </c>
      <c r="F17" s="52">
        <v>31188</v>
      </c>
      <c r="G17" s="25"/>
      <c r="H17" s="29">
        <v>42137</v>
      </c>
      <c r="I17" s="62">
        <v>1136.1600000000001</v>
      </c>
      <c r="J17" s="82"/>
      <c r="K17" s="73" t="s">
        <v>388</v>
      </c>
      <c r="L17" s="129">
        <v>0</v>
      </c>
      <c r="M17" s="395" t="s">
        <v>477</v>
      </c>
      <c r="N17" s="116">
        <v>29591.5</v>
      </c>
      <c r="O17" s="336"/>
    </row>
    <row r="18" spans="1:17" x14ac:dyDescent="0.25">
      <c r="A18" s="21"/>
      <c r="B18" s="40">
        <v>42138</v>
      </c>
      <c r="C18" s="46">
        <v>972</v>
      </c>
      <c r="D18" s="30" t="s">
        <v>478</v>
      </c>
      <c r="E18" s="28">
        <v>42138</v>
      </c>
      <c r="F18" s="52">
        <v>31977.5</v>
      </c>
      <c r="G18" s="25"/>
      <c r="H18" s="29">
        <v>42138</v>
      </c>
      <c r="I18" s="62">
        <v>1041</v>
      </c>
      <c r="J18" s="82"/>
      <c r="K18" s="286" t="s">
        <v>439</v>
      </c>
      <c r="L18" s="88">
        <v>0</v>
      </c>
      <c r="M18" s="395" t="s">
        <v>480</v>
      </c>
      <c r="N18" s="116">
        <v>29164.5</v>
      </c>
      <c r="O18" s="336"/>
    </row>
    <row r="19" spans="1:17" x14ac:dyDescent="0.25">
      <c r="A19" s="21"/>
      <c r="B19" s="40">
        <v>42139</v>
      </c>
      <c r="C19" s="46">
        <v>0</v>
      </c>
      <c r="D19" s="96"/>
      <c r="E19" s="28">
        <v>42139</v>
      </c>
      <c r="F19" s="52">
        <v>70470</v>
      </c>
      <c r="G19" s="25"/>
      <c r="H19" s="29">
        <v>42139</v>
      </c>
      <c r="I19" s="62">
        <v>91</v>
      </c>
      <c r="J19" s="82"/>
      <c r="K19" s="286" t="s">
        <v>386</v>
      </c>
      <c r="L19" s="88">
        <v>0</v>
      </c>
      <c r="M19" s="395" t="s">
        <v>482</v>
      </c>
      <c r="N19" s="116">
        <v>70379</v>
      </c>
      <c r="O19" s="336"/>
    </row>
    <row r="20" spans="1:17" x14ac:dyDescent="0.25">
      <c r="A20" s="21"/>
      <c r="B20" s="40">
        <v>42140</v>
      </c>
      <c r="C20" s="46">
        <f>747+468+3510</f>
        <v>4725</v>
      </c>
      <c r="D20" s="30" t="s">
        <v>483</v>
      </c>
      <c r="E20" s="28">
        <v>42140</v>
      </c>
      <c r="F20" s="52">
        <v>58671</v>
      </c>
      <c r="G20" s="25"/>
      <c r="H20" s="29">
        <v>42140</v>
      </c>
      <c r="I20" s="63">
        <v>20</v>
      </c>
      <c r="J20" s="82"/>
      <c r="K20" s="486" t="s">
        <v>111</v>
      </c>
      <c r="L20" s="129">
        <v>0</v>
      </c>
      <c r="M20" s="395" t="s">
        <v>484</v>
      </c>
      <c r="N20" s="116">
        <v>47436</v>
      </c>
      <c r="O20" s="336"/>
    </row>
    <row r="21" spans="1:17" x14ac:dyDescent="0.25">
      <c r="A21" s="21"/>
      <c r="B21" s="40">
        <v>42141</v>
      </c>
      <c r="C21" s="46">
        <v>0</v>
      </c>
      <c r="D21" s="96"/>
      <c r="E21" s="28">
        <v>42141</v>
      </c>
      <c r="F21" s="52">
        <v>47675</v>
      </c>
      <c r="G21" s="25"/>
      <c r="H21" s="29">
        <v>42141</v>
      </c>
      <c r="I21" s="63">
        <v>400</v>
      </c>
      <c r="J21" s="82"/>
      <c r="K21" s="487" t="s">
        <v>240</v>
      </c>
      <c r="L21" s="129">
        <v>0</v>
      </c>
      <c r="M21" s="395" t="s">
        <v>485</v>
      </c>
      <c r="N21" s="116">
        <v>41691.5</v>
      </c>
      <c r="O21" s="336"/>
    </row>
    <row r="22" spans="1:17" x14ac:dyDescent="0.25">
      <c r="A22" s="21"/>
      <c r="B22" s="40">
        <v>42142</v>
      </c>
      <c r="C22" s="46">
        <v>0</v>
      </c>
      <c r="D22" s="96"/>
      <c r="E22" s="28">
        <v>42142</v>
      </c>
      <c r="F22" s="52">
        <v>37847</v>
      </c>
      <c r="G22" s="25"/>
      <c r="H22" s="29">
        <v>42142</v>
      </c>
      <c r="I22" s="63">
        <v>1447.98</v>
      </c>
      <c r="J22" s="149"/>
      <c r="K22" s="491" t="s">
        <v>479</v>
      </c>
      <c r="L22" s="129">
        <v>800</v>
      </c>
      <c r="M22" s="395" t="s">
        <v>486</v>
      </c>
      <c r="N22" s="116">
        <v>36399</v>
      </c>
      <c r="O22" s="336"/>
    </row>
    <row r="23" spans="1:17" x14ac:dyDescent="0.25">
      <c r="A23" s="21"/>
      <c r="B23" s="40">
        <v>42143</v>
      </c>
      <c r="C23" s="46">
        <v>804</v>
      </c>
      <c r="D23" s="96" t="s">
        <v>83</v>
      </c>
      <c r="E23" s="28">
        <v>42143</v>
      </c>
      <c r="F23" s="52">
        <v>31527</v>
      </c>
      <c r="G23" s="25"/>
      <c r="H23" s="29">
        <v>42143</v>
      </c>
      <c r="I23" s="63">
        <v>20</v>
      </c>
      <c r="J23" s="81"/>
      <c r="K23" s="488" t="s">
        <v>459</v>
      </c>
      <c r="L23" s="129">
        <v>400</v>
      </c>
      <c r="M23" s="395" t="s">
        <v>487</v>
      </c>
      <c r="N23" s="116">
        <v>31735</v>
      </c>
      <c r="O23" s="336"/>
    </row>
    <row r="24" spans="1:17" x14ac:dyDescent="0.25">
      <c r="A24" s="21"/>
      <c r="B24" s="40">
        <v>42144</v>
      </c>
      <c r="C24" s="46">
        <v>338.5</v>
      </c>
      <c r="D24" s="96" t="s">
        <v>269</v>
      </c>
      <c r="E24" s="28">
        <v>42144</v>
      </c>
      <c r="F24" s="52">
        <v>32539</v>
      </c>
      <c r="G24" s="25"/>
      <c r="H24" s="29">
        <v>42144</v>
      </c>
      <c r="I24" s="63">
        <v>10</v>
      </c>
      <c r="J24" s="82"/>
      <c r="K24" s="489" t="s">
        <v>470</v>
      </c>
      <c r="L24" s="129">
        <f>1770+9000+1000</f>
        <v>11770</v>
      </c>
      <c r="M24" s="395" t="s">
        <v>488</v>
      </c>
      <c r="N24" s="116">
        <v>32190.5</v>
      </c>
      <c r="O24" s="336"/>
    </row>
    <row r="25" spans="1:17" x14ac:dyDescent="0.25">
      <c r="A25" s="21"/>
      <c r="B25" s="40">
        <v>42145</v>
      </c>
      <c r="C25" s="46">
        <v>258</v>
      </c>
      <c r="D25" s="30" t="s">
        <v>22</v>
      </c>
      <c r="E25" s="28">
        <v>42145</v>
      </c>
      <c r="F25" s="52">
        <v>37149</v>
      </c>
      <c r="G25" s="25"/>
      <c r="H25" s="29">
        <v>42145</v>
      </c>
      <c r="I25" s="63">
        <v>20</v>
      </c>
      <c r="J25" s="81"/>
      <c r="K25" s="489" t="s">
        <v>472</v>
      </c>
      <c r="L25" s="490">
        <v>0</v>
      </c>
      <c r="M25" s="395" t="s">
        <v>489</v>
      </c>
      <c r="N25" s="116">
        <v>36871</v>
      </c>
      <c r="O25" s="450"/>
    </row>
    <row r="26" spans="1:17" x14ac:dyDescent="0.25">
      <c r="A26" s="21"/>
      <c r="B26" s="40">
        <v>42146</v>
      </c>
      <c r="C26" s="46">
        <v>626</v>
      </c>
      <c r="D26" s="96" t="s">
        <v>490</v>
      </c>
      <c r="E26" s="28">
        <v>42146</v>
      </c>
      <c r="F26" s="52">
        <v>55537.5</v>
      </c>
      <c r="G26" s="25"/>
      <c r="H26" s="29">
        <v>42146</v>
      </c>
      <c r="I26" s="63">
        <v>27</v>
      </c>
      <c r="J26" s="98"/>
      <c r="K26" s="488" t="s">
        <v>492</v>
      </c>
      <c r="L26" s="129">
        <v>9000</v>
      </c>
      <c r="M26" s="395" t="s">
        <v>491</v>
      </c>
      <c r="N26" s="116">
        <v>54885.5</v>
      </c>
      <c r="O26" s="336"/>
    </row>
    <row r="27" spans="1:17" x14ac:dyDescent="0.25">
      <c r="A27" s="21"/>
      <c r="B27" s="40">
        <v>42147</v>
      </c>
      <c r="C27" s="46">
        <v>527</v>
      </c>
      <c r="D27" s="96" t="s">
        <v>83</v>
      </c>
      <c r="E27" s="28">
        <v>42147</v>
      </c>
      <c r="F27" s="52">
        <v>70800.5</v>
      </c>
      <c r="G27" s="25"/>
      <c r="H27" s="29">
        <v>42147</v>
      </c>
      <c r="I27" s="63">
        <v>470</v>
      </c>
      <c r="J27" s="81"/>
      <c r="K27" s="470" t="s">
        <v>510</v>
      </c>
      <c r="L27" s="129">
        <v>23500</v>
      </c>
      <c r="M27" s="395" t="s">
        <v>493</v>
      </c>
      <c r="N27" s="116">
        <v>60803.5</v>
      </c>
      <c r="O27" s="336"/>
    </row>
    <row r="28" spans="1:17" x14ac:dyDescent="0.25">
      <c r="A28" s="21"/>
      <c r="B28" s="40">
        <v>42148</v>
      </c>
      <c r="C28" s="46">
        <v>568</v>
      </c>
      <c r="D28" s="30" t="s">
        <v>83</v>
      </c>
      <c r="E28" s="28">
        <v>42148</v>
      </c>
      <c r="F28" s="52">
        <v>46414</v>
      </c>
      <c r="G28" s="25"/>
      <c r="H28" s="29">
        <v>42148</v>
      </c>
      <c r="I28" s="63">
        <v>3000</v>
      </c>
      <c r="J28" s="81" t="s">
        <v>552</v>
      </c>
      <c r="K28" s="132"/>
      <c r="L28" s="129"/>
      <c r="M28" s="395" t="s">
        <v>494</v>
      </c>
      <c r="N28" s="116">
        <v>36955</v>
      </c>
      <c r="O28" s="336"/>
    </row>
    <row r="29" spans="1:17" x14ac:dyDescent="0.25">
      <c r="A29" s="21"/>
      <c r="B29" s="40">
        <v>42149</v>
      </c>
      <c r="C29" s="46">
        <v>0</v>
      </c>
      <c r="D29" s="30"/>
      <c r="E29" s="28">
        <v>42149</v>
      </c>
      <c r="F29" s="52">
        <v>32776</v>
      </c>
      <c r="G29" s="25"/>
      <c r="H29" s="29">
        <v>42149</v>
      </c>
      <c r="I29" s="63">
        <v>716.02</v>
      </c>
      <c r="J29" s="81"/>
      <c r="K29" s="11"/>
      <c r="L29" s="87"/>
      <c r="M29" s="361" t="s">
        <v>495</v>
      </c>
      <c r="N29" s="116">
        <v>32059.98</v>
      </c>
      <c r="O29" s="336"/>
    </row>
    <row r="30" spans="1:17" x14ac:dyDescent="0.25">
      <c r="A30" s="21"/>
      <c r="B30" s="40">
        <v>42150</v>
      </c>
      <c r="C30" s="46">
        <v>2919</v>
      </c>
      <c r="D30" s="30" t="s">
        <v>496</v>
      </c>
      <c r="E30" s="28">
        <v>42150</v>
      </c>
      <c r="F30" s="52">
        <v>30230</v>
      </c>
      <c r="G30" s="25"/>
      <c r="H30" s="29">
        <v>42150</v>
      </c>
      <c r="I30" s="63">
        <v>400</v>
      </c>
      <c r="J30" s="98"/>
      <c r="K30" s="11"/>
      <c r="L30" s="87"/>
      <c r="M30" s="395" t="s">
        <v>497</v>
      </c>
      <c r="N30" s="116">
        <v>26911</v>
      </c>
      <c r="O30" s="336"/>
    </row>
    <row r="31" spans="1:17" x14ac:dyDescent="0.25">
      <c r="A31" s="21"/>
      <c r="B31" s="40">
        <v>42151</v>
      </c>
      <c r="C31" s="46">
        <v>441</v>
      </c>
      <c r="D31" s="96" t="s">
        <v>22</v>
      </c>
      <c r="E31" s="28">
        <v>42151</v>
      </c>
      <c r="F31" s="52">
        <v>31937</v>
      </c>
      <c r="G31" s="25"/>
      <c r="H31" s="29">
        <v>42151</v>
      </c>
      <c r="I31" s="63">
        <v>257</v>
      </c>
      <c r="J31" s="82"/>
      <c r="K31" s="11"/>
      <c r="L31" s="87"/>
      <c r="M31" s="395" t="s">
        <v>498</v>
      </c>
      <c r="N31" s="116">
        <v>31239</v>
      </c>
      <c r="O31" s="450"/>
      <c r="P31" s="25"/>
    </row>
    <row r="32" spans="1:17" x14ac:dyDescent="0.25">
      <c r="A32" s="21"/>
      <c r="B32" s="40">
        <v>42152</v>
      </c>
      <c r="C32" s="46">
        <v>0</v>
      </c>
      <c r="D32" s="30"/>
      <c r="E32" s="28">
        <v>42152</v>
      </c>
      <c r="F32" s="503">
        <v>38006.769999999997</v>
      </c>
      <c r="G32" s="25"/>
      <c r="H32" s="29">
        <v>42152</v>
      </c>
      <c r="I32" s="63">
        <v>1138.67</v>
      </c>
      <c r="J32" s="81"/>
      <c r="K32" s="690" t="s">
        <v>750</v>
      </c>
      <c r="L32" s="691">
        <v>5948</v>
      </c>
      <c r="M32" s="529" t="s">
        <v>705</v>
      </c>
      <c r="N32" s="689">
        <v>0</v>
      </c>
      <c r="O32" s="565">
        <v>30920</v>
      </c>
      <c r="P32" s="565" t="s">
        <v>978</v>
      </c>
      <c r="Q32" s="59"/>
    </row>
    <row r="33" spans="1:18" x14ac:dyDescent="0.25">
      <c r="A33" s="21"/>
      <c r="B33" s="40">
        <v>42153</v>
      </c>
      <c r="C33" s="46">
        <v>1185</v>
      </c>
      <c r="D33" s="96" t="s">
        <v>83</v>
      </c>
      <c r="E33" s="28">
        <v>42153</v>
      </c>
      <c r="F33" s="52">
        <v>63384.29</v>
      </c>
      <c r="G33" s="25"/>
      <c r="H33" s="29">
        <v>42153</v>
      </c>
      <c r="I33" s="63">
        <v>95</v>
      </c>
      <c r="J33" s="81"/>
      <c r="K33" s="11"/>
      <c r="L33" s="86"/>
      <c r="M33" s="395" t="s">
        <v>499</v>
      </c>
      <c r="N33" s="116">
        <v>38604.29</v>
      </c>
      <c r="O33" s="336"/>
      <c r="P33" s="450">
        <v>2465.77</v>
      </c>
      <c r="Q33" s="5"/>
    </row>
    <row r="34" spans="1:18" x14ac:dyDescent="0.25">
      <c r="A34" s="21"/>
      <c r="B34" s="40">
        <v>42154</v>
      </c>
      <c r="C34" s="46">
        <v>0</v>
      </c>
      <c r="D34" s="96"/>
      <c r="E34" s="28">
        <v>42154</v>
      </c>
      <c r="F34" s="52">
        <v>86981.8</v>
      </c>
      <c r="G34" s="25"/>
      <c r="H34" s="29">
        <v>42154</v>
      </c>
      <c r="I34" s="63">
        <v>490.36</v>
      </c>
      <c r="J34" s="81"/>
      <c r="K34" s="11"/>
      <c r="L34" s="86"/>
      <c r="M34" s="395" t="s">
        <v>500</v>
      </c>
      <c r="N34" s="116">
        <v>86491.5</v>
      </c>
      <c r="O34" s="450"/>
      <c r="P34" s="450"/>
      <c r="Q34" s="59">
        <v>1138.77</v>
      </c>
      <c r="R34" t="s">
        <v>736</v>
      </c>
    </row>
    <row r="35" spans="1:18" ht="15.75" thickBot="1" x14ac:dyDescent="0.3">
      <c r="A35" s="21"/>
      <c r="B35" s="40">
        <v>42155</v>
      </c>
      <c r="C35" s="46">
        <v>253</v>
      </c>
      <c r="D35" s="96" t="s">
        <v>83</v>
      </c>
      <c r="E35" s="28">
        <v>42155</v>
      </c>
      <c r="F35" s="52">
        <v>51246.5</v>
      </c>
      <c r="G35" s="25"/>
      <c r="H35" s="29">
        <v>42155</v>
      </c>
      <c r="I35" s="63">
        <v>0</v>
      </c>
      <c r="J35" s="81"/>
      <c r="K35" s="11"/>
      <c r="L35" s="7"/>
      <c r="M35" s="395" t="s">
        <v>511</v>
      </c>
      <c r="N35" s="116">
        <v>45718.5</v>
      </c>
      <c r="O35" s="450"/>
      <c r="P35" s="450"/>
      <c r="Q35" s="5"/>
    </row>
    <row r="36" spans="1:18" ht="15.75" thickBot="1" x14ac:dyDescent="0.3">
      <c r="A36" s="15"/>
      <c r="B36" s="145"/>
      <c r="C36" s="146">
        <v>0</v>
      </c>
      <c r="D36" s="156"/>
      <c r="E36" s="28"/>
      <c r="F36" s="52">
        <v>0</v>
      </c>
      <c r="G36" s="25"/>
      <c r="H36" s="147"/>
      <c r="I36" s="148">
        <v>0</v>
      </c>
      <c r="J36" s="56"/>
      <c r="K36" s="11"/>
      <c r="L36" s="7"/>
      <c r="M36" s="72"/>
      <c r="N36" s="115"/>
      <c r="O36" s="336"/>
      <c r="P36" s="614"/>
      <c r="Q36" s="5"/>
    </row>
    <row r="37" spans="1:18" ht="16.5" thickBot="1" x14ac:dyDescent="0.3">
      <c r="A37" s="99"/>
      <c r="B37" s="42"/>
      <c r="C37" s="48">
        <v>0</v>
      </c>
      <c r="D37" s="156"/>
      <c r="E37" s="9"/>
      <c r="F37" s="54">
        <v>0</v>
      </c>
      <c r="H37" s="32"/>
      <c r="I37" s="65">
        <v>0</v>
      </c>
      <c r="J37" s="56"/>
      <c r="K37" s="17"/>
      <c r="L37" s="117"/>
      <c r="M37" s="801">
        <f>SUM(N5:N36)</f>
        <v>1288733.27</v>
      </c>
      <c r="N37" s="802"/>
    </row>
    <row r="38" spans="1:18" x14ac:dyDescent="0.25">
      <c r="B38" s="43" t="s">
        <v>1</v>
      </c>
      <c r="C38" s="49">
        <f>SUM(C5:C37)</f>
        <v>18401.5</v>
      </c>
      <c r="E38" s="515" t="s">
        <v>1</v>
      </c>
      <c r="F38" s="55">
        <f>SUM(F5:F37)</f>
        <v>1425486.7700000003</v>
      </c>
      <c r="H38" s="517" t="s">
        <v>1</v>
      </c>
      <c r="I38" s="59">
        <f>SUM(I5:I37)</f>
        <v>16225.500000000002</v>
      </c>
      <c r="J38" s="59"/>
      <c r="K38" s="18" t="s">
        <v>1</v>
      </c>
      <c r="L38" s="4">
        <f>SUM(L5:L37)</f>
        <v>124040.28</v>
      </c>
      <c r="M38" s="72"/>
    </row>
    <row r="39" spans="1:18" x14ac:dyDescent="0.25">
      <c r="M39" s="72"/>
    </row>
    <row r="40" spans="1:18" ht="15.75" customHeight="1" x14ac:dyDescent="0.25">
      <c r="A40" s="5"/>
      <c r="B40" s="280"/>
      <c r="C40" s="81"/>
      <c r="D40" s="157"/>
      <c r="E40" s="13"/>
      <c r="F40" s="56"/>
      <c r="H40" s="785" t="s">
        <v>11</v>
      </c>
      <c r="I40" s="786"/>
      <c r="J40" s="516"/>
      <c r="K40" s="787">
        <f>I38+L38</f>
        <v>140265.78</v>
      </c>
      <c r="L40" s="788"/>
      <c r="M40" s="72"/>
    </row>
    <row r="41" spans="1:18" ht="15.75" customHeight="1" x14ac:dyDescent="0.25">
      <c r="B41" s="281"/>
      <c r="C41" s="56"/>
      <c r="D41" s="779" t="s">
        <v>12</v>
      </c>
      <c r="E41" s="779"/>
      <c r="F41" s="57">
        <f>F38-K40</f>
        <v>1285220.9900000002</v>
      </c>
      <c r="I41" s="66"/>
      <c r="J41" s="66"/>
      <c r="M41" s="72"/>
    </row>
    <row r="42" spans="1:18" ht="15.75" customHeight="1" x14ac:dyDescent="0.25">
      <c r="D42" s="805" t="s">
        <v>246</v>
      </c>
      <c r="E42" s="805"/>
      <c r="F42" s="57">
        <v>-1271823.48</v>
      </c>
      <c r="I42" s="66"/>
      <c r="J42" s="66"/>
      <c r="M42" s="72"/>
    </row>
    <row r="43" spans="1:18" ht="15.75" thickBot="1" x14ac:dyDescent="0.3">
      <c r="D43" s="159"/>
      <c r="E43" s="120" t="s">
        <v>0</v>
      </c>
      <c r="F43" s="121">
        <f>-C38</f>
        <v>-18401.5</v>
      </c>
    </row>
    <row r="44" spans="1:18" ht="15.75" customHeight="1" thickTop="1" x14ac:dyDescent="0.25">
      <c r="C44" s="44" t="s">
        <v>17</v>
      </c>
      <c r="E44" s="5" t="s">
        <v>15</v>
      </c>
      <c r="F44" s="59">
        <f>SUM(F41:F43)</f>
        <v>-5003.9899999997579</v>
      </c>
      <c r="I44" s="813" t="s">
        <v>248</v>
      </c>
      <c r="J44" s="814"/>
      <c r="K44" s="803">
        <f>F48+L46</f>
        <v>144466.95000000024</v>
      </c>
      <c r="L44" s="795"/>
    </row>
    <row r="45" spans="1:18" ht="15.75" customHeight="1" thickBot="1" x14ac:dyDescent="0.3">
      <c r="D45" s="265" t="s">
        <v>253</v>
      </c>
      <c r="E45" s="5" t="s">
        <v>247</v>
      </c>
      <c r="F45" s="59">
        <v>30341.31</v>
      </c>
      <c r="I45" s="815"/>
      <c r="J45" s="816"/>
      <c r="K45" s="804"/>
      <c r="L45" s="796"/>
      <c r="M45" s="110"/>
    </row>
    <row r="46" spans="1:18" ht="17.25" thickTop="1" thickBot="1" x14ac:dyDescent="0.3">
      <c r="C46" s="55"/>
      <c r="D46" s="778" t="s">
        <v>13</v>
      </c>
      <c r="E46" s="778"/>
      <c r="F46" s="60">
        <v>119129.63</v>
      </c>
      <c r="I46" s="790"/>
      <c r="J46" s="790"/>
      <c r="K46" s="812"/>
      <c r="L46" s="34"/>
    </row>
    <row r="47" spans="1:18" ht="19.5" thickBot="1" x14ac:dyDescent="0.35">
      <c r="C47" s="55"/>
      <c r="D47" s="515"/>
      <c r="E47" s="515"/>
      <c r="F47" s="139"/>
      <c r="H47" s="19"/>
      <c r="I47" s="518" t="s">
        <v>254</v>
      </c>
      <c r="J47" s="518"/>
      <c r="K47" s="806">
        <v>144149.15</v>
      </c>
      <c r="L47" s="807"/>
    </row>
    <row r="48" spans="1:18" ht="17.25" thickTop="1" thickBot="1" x14ac:dyDescent="0.3">
      <c r="E48" s="6" t="s">
        <v>16</v>
      </c>
      <c r="F48" s="264">
        <f>F44+F45+F46</f>
        <v>144466.95000000024</v>
      </c>
    </row>
    <row r="49" spans="2:14" customFormat="1" ht="19.5" thickBot="1" x14ac:dyDescent="0.35">
      <c r="D49" s="777"/>
      <c r="E49" s="777"/>
      <c r="F49" s="56"/>
      <c r="I49" s="810" t="s">
        <v>249</v>
      </c>
      <c r="J49" s="811"/>
      <c r="K49" s="808">
        <f>K44-K47</f>
        <v>317.80000000025029</v>
      </c>
      <c r="L49" s="809"/>
      <c r="N49" s="113"/>
    </row>
    <row r="50" spans="2:14" customFormat="1" x14ac:dyDescent="0.25">
      <c r="D50" s="155"/>
      <c r="F50" s="44"/>
      <c r="I50" s="44"/>
      <c r="J50" s="44"/>
      <c r="M50" s="107"/>
      <c r="N50" s="113"/>
    </row>
    <row r="51" spans="2:14" customFormat="1" x14ac:dyDescent="0.25">
      <c r="D51" s="155"/>
      <c r="F51" s="44"/>
      <c r="I51" s="44"/>
      <c r="J51" s="44"/>
      <c r="N51" s="44"/>
    </row>
    <row r="52" spans="2:14" customFormat="1" x14ac:dyDescent="0.25">
      <c r="D52" s="155"/>
    </row>
    <row r="53" spans="2:14" customFormat="1" x14ac:dyDescent="0.25">
      <c r="D53" s="155"/>
      <c r="F53" s="44"/>
      <c r="I53" s="44"/>
      <c r="J53" s="44"/>
      <c r="N53" s="44"/>
    </row>
    <row r="54" spans="2:14" customFormat="1" x14ac:dyDescent="0.25">
      <c r="B54" s="38"/>
      <c r="C54" s="44"/>
      <c r="D54" s="155"/>
      <c r="F54" s="44"/>
      <c r="I54" s="44"/>
      <c r="J54" s="44"/>
      <c r="N54" s="56"/>
    </row>
    <row r="55" spans="2:14" customFormat="1" x14ac:dyDescent="0.25">
      <c r="B55" s="38"/>
      <c r="C55" s="44"/>
      <c r="D55" s="155"/>
      <c r="F55" s="44"/>
      <c r="I55" s="44"/>
      <c r="J55" s="44"/>
      <c r="N55" s="56"/>
    </row>
    <row r="56" spans="2:14" customFormat="1" x14ac:dyDescent="0.25">
      <c r="B56" s="38"/>
      <c r="C56" s="44"/>
      <c r="D56" s="155"/>
      <c r="F56" s="44"/>
      <c r="I56" s="44"/>
      <c r="J56" s="44"/>
      <c r="N56" s="56"/>
    </row>
    <row r="57" spans="2:14" customFormat="1" x14ac:dyDescent="0.25">
      <c r="B57" s="38"/>
      <c r="C57" s="44"/>
      <c r="D57" s="155"/>
      <c r="F57" s="44"/>
      <c r="I57" s="44"/>
      <c r="J57" s="44"/>
      <c r="N57" s="56"/>
    </row>
  </sheetData>
  <mergeCells count="16">
    <mergeCell ref="C1:K1"/>
    <mergeCell ref="E4:F4"/>
    <mergeCell ref="I4:L4"/>
    <mergeCell ref="M37:N37"/>
    <mergeCell ref="H40:I40"/>
    <mergeCell ref="K40:L40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O75"/>
  <sheetViews>
    <sheetView topLeftCell="A28" workbookViewId="0">
      <selection activeCell="J51" sqref="J51"/>
    </sheetView>
  </sheetViews>
  <sheetFormatPr baseColWidth="10" defaultRowHeight="15" x14ac:dyDescent="0.25"/>
  <cols>
    <col min="1" max="1" width="11.42578125" style="73"/>
    <col min="2" max="2" width="18.7109375" style="81" bestFit="1" customWidth="1"/>
    <col min="3" max="3" width="10.140625" style="73" customWidth="1"/>
    <col min="4" max="4" width="15.28515625" style="447" customWidth="1"/>
    <col min="5" max="5" width="25.140625" style="50" bestFit="1" customWidth="1"/>
    <col min="6" max="6" width="11.42578125" style="285"/>
    <col min="7" max="7" width="11.42578125" style="73"/>
    <col min="8" max="8" width="11.42578125" style="276"/>
    <col min="9" max="9" width="12.5703125" style="5" bestFit="1" customWidth="1"/>
    <col min="10" max="10" width="12.85546875" bestFit="1" customWidth="1"/>
    <col min="11" max="11" width="14.42578125" style="44" bestFit="1" customWidth="1"/>
    <col min="12" max="12" width="12.42578125" bestFit="1" customWidth="1"/>
    <col min="13" max="13" width="14.140625" style="336" bestFit="1" customWidth="1"/>
    <col min="14" max="14" width="18.5703125" style="336" bestFit="1" customWidth="1"/>
  </cols>
  <sheetData>
    <row r="1" spans="1:14" ht="19.5" thickBot="1" x14ac:dyDescent="0.35">
      <c r="A1"/>
      <c r="B1" s="474" t="s">
        <v>205</v>
      </c>
      <c r="C1" s="204"/>
      <c r="D1" s="492"/>
      <c r="E1" s="479">
        <v>42140</v>
      </c>
      <c r="F1" s="222"/>
      <c r="G1" s="364"/>
      <c r="J1" s="204" t="s">
        <v>456</v>
      </c>
    </row>
    <row r="2" spans="1:14" ht="15.75" x14ac:dyDescent="0.25">
      <c r="A2" s="205"/>
      <c r="B2" s="419"/>
      <c r="C2" s="205"/>
      <c r="D2" s="206"/>
      <c r="E2" s="207"/>
      <c r="F2" s="223"/>
      <c r="G2" s="364"/>
    </row>
    <row r="3" spans="1:14" ht="15.75" x14ac:dyDescent="0.25">
      <c r="A3" s="212" t="s">
        <v>202</v>
      </c>
      <c r="B3" s="419" t="s">
        <v>195</v>
      </c>
      <c r="C3" s="205"/>
      <c r="D3" s="206" t="s">
        <v>203</v>
      </c>
      <c r="E3" s="207" t="s">
        <v>204</v>
      </c>
      <c r="F3" s="223"/>
      <c r="G3" s="364"/>
      <c r="I3" s="249">
        <v>42125</v>
      </c>
      <c r="J3" s="339">
        <v>19659</v>
      </c>
      <c r="K3" s="336">
        <v>63806.33</v>
      </c>
      <c r="L3" s="178">
        <v>42140</v>
      </c>
      <c r="M3" s="336">
        <v>63806.33</v>
      </c>
      <c r="N3" s="296">
        <f t="shared" ref="N3:N46" si="0">K3-M3</f>
        <v>0</v>
      </c>
    </row>
    <row r="4" spans="1:14" ht="15.75" x14ac:dyDescent="0.25">
      <c r="A4" s="215">
        <v>19172</v>
      </c>
      <c r="B4" s="216">
        <v>1150.6099999999999</v>
      </c>
      <c r="C4" s="216"/>
      <c r="D4" s="331" t="s">
        <v>396</v>
      </c>
      <c r="E4" s="332">
        <v>5160.5</v>
      </c>
      <c r="F4" s="333">
        <v>42126</v>
      </c>
      <c r="G4" s="364">
        <v>42119</v>
      </c>
      <c r="I4" s="249">
        <v>42126</v>
      </c>
      <c r="J4" s="483">
        <v>19744</v>
      </c>
      <c r="K4" s="336">
        <v>66176.7</v>
      </c>
      <c r="L4" s="178">
        <v>42140</v>
      </c>
      <c r="M4" s="336">
        <v>66176.7</v>
      </c>
      <c r="N4" s="296">
        <f t="shared" si="0"/>
        <v>0</v>
      </c>
    </row>
    <row r="5" spans="1:14" ht="15.75" x14ac:dyDescent="0.25">
      <c r="A5" s="233">
        <v>19396</v>
      </c>
      <c r="B5" s="234">
        <v>3567.4</v>
      </c>
      <c r="C5" s="234"/>
      <c r="D5" s="331" t="s">
        <v>396</v>
      </c>
      <c r="E5" s="332">
        <v>30800</v>
      </c>
      <c r="F5" s="333">
        <v>42126</v>
      </c>
      <c r="G5" s="364">
        <v>42120</v>
      </c>
      <c r="I5" s="249">
        <v>42128</v>
      </c>
      <c r="J5" s="483">
        <v>19976</v>
      </c>
      <c r="K5" s="336">
        <v>79723.31</v>
      </c>
      <c r="L5" s="178">
        <v>42140</v>
      </c>
      <c r="M5" s="336">
        <v>79723.31</v>
      </c>
      <c r="N5" s="296">
        <f t="shared" si="0"/>
        <v>0</v>
      </c>
    </row>
    <row r="6" spans="1:14" ht="15.75" x14ac:dyDescent="0.25">
      <c r="A6" s="233">
        <v>19451</v>
      </c>
      <c r="B6" s="234">
        <v>4681</v>
      </c>
      <c r="C6" s="234"/>
      <c r="D6" s="331" t="s">
        <v>396</v>
      </c>
      <c r="E6" s="332">
        <v>36440</v>
      </c>
      <c r="F6" s="333">
        <v>42122</v>
      </c>
      <c r="G6" s="364">
        <v>42121</v>
      </c>
      <c r="I6" s="249">
        <v>42129</v>
      </c>
      <c r="J6" s="483">
        <v>20069</v>
      </c>
      <c r="K6" s="336">
        <v>7230.48</v>
      </c>
      <c r="L6" s="178">
        <v>42140</v>
      </c>
      <c r="M6" s="336">
        <v>7230.48</v>
      </c>
      <c r="N6" s="296">
        <f t="shared" si="0"/>
        <v>0</v>
      </c>
    </row>
    <row r="7" spans="1:14" ht="15.75" x14ac:dyDescent="0.25">
      <c r="A7" s="233">
        <v>19540</v>
      </c>
      <c r="B7" s="234">
        <v>69805.22</v>
      </c>
      <c r="C7" s="234"/>
      <c r="D7" s="331" t="s">
        <v>396</v>
      </c>
      <c r="E7" s="332">
        <v>22950</v>
      </c>
      <c r="F7" s="333">
        <v>42123</v>
      </c>
      <c r="G7" s="364">
        <v>42122</v>
      </c>
      <c r="I7" s="249">
        <v>42130</v>
      </c>
      <c r="J7" s="483">
        <v>20165</v>
      </c>
      <c r="K7" s="336">
        <v>33215.519999999997</v>
      </c>
      <c r="L7" s="178">
        <v>42140</v>
      </c>
      <c r="M7" s="336">
        <v>33215.519999999997</v>
      </c>
      <c r="N7" s="296">
        <f t="shared" si="0"/>
        <v>0</v>
      </c>
    </row>
    <row r="8" spans="1:14" ht="15.75" x14ac:dyDescent="0.25">
      <c r="A8" s="233">
        <v>19659</v>
      </c>
      <c r="B8" s="234">
        <v>63806.33</v>
      </c>
      <c r="C8" s="234"/>
      <c r="D8" s="331" t="s">
        <v>396</v>
      </c>
      <c r="E8" s="332">
        <v>14126</v>
      </c>
      <c r="F8" s="333">
        <v>42126</v>
      </c>
      <c r="G8" s="364">
        <v>42123</v>
      </c>
      <c r="I8" s="249">
        <v>42132</v>
      </c>
      <c r="J8" s="483">
        <v>20414</v>
      </c>
      <c r="K8" s="336">
        <v>79707.44</v>
      </c>
      <c r="L8" s="178">
        <v>42140</v>
      </c>
      <c r="M8" s="336">
        <v>79707.44</v>
      </c>
      <c r="N8" s="296">
        <f t="shared" si="0"/>
        <v>0</v>
      </c>
    </row>
    <row r="9" spans="1:14" ht="15.75" x14ac:dyDescent="0.25">
      <c r="A9" s="233">
        <v>19744</v>
      </c>
      <c r="B9" s="235">
        <v>66176.7</v>
      </c>
      <c r="C9" s="235"/>
      <c r="D9" s="331" t="s">
        <v>396</v>
      </c>
      <c r="E9" s="332">
        <v>10693</v>
      </c>
      <c r="F9" s="333">
        <v>42126</v>
      </c>
      <c r="G9" s="364">
        <v>42124</v>
      </c>
      <c r="I9" s="249">
        <v>42133</v>
      </c>
      <c r="J9" s="483">
        <v>20488</v>
      </c>
      <c r="K9" s="50">
        <v>18032</v>
      </c>
      <c r="L9" s="178">
        <v>42140</v>
      </c>
      <c r="M9" s="50">
        <v>18032</v>
      </c>
      <c r="N9" s="296">
        <f t="shared" si="0"/>
        <v>0</v>
      </c>
    </row>
    <row r="10" spans="1:14" ht="15.75" x14ac:dyDescent="0.25">
      <c r="A10" s="237">
        <v>19976</v>
      </c>
      <c r="B10" s="324">
        <v>79723.31</v>
      </c>
      <c r="C10" s="230"/>
      <c r="D10" s="331" t="s">
        <v>396</v>
      </c>
      <c r="E10" s="324">
        <v>40470</v>
      </c>
      <c r="F10" s="334">
        <v>42126</v>
      </c>
      <c r="G10" s="364">
        <v>42124</v>
      </c>
      <c r="I10" s="249">
        <v>42133</v>
      </c>
      <c r="J10" s="344">
        <v>20577</v>
      </c>
      <c r="K10" s="50">
        <v>64622.239999999998</v>
      </c>
      <c r="L10" s="178">
        <v>42140</v>
      </c>
      <c r="M10" s="50">
        <v>64622.239999999998</v>
      </c>
      <c r="N10" s="296">
        <f t="shared" si="0"/>
        <v>0</v>
      </c>
    </row>
    <row r="11" spans="1:14" ht="15.75" x14ac:dyDescent="0.25">
      <c r="A11" s="237">
        <v>20069</v>
      </c>
      <c r="B11" s="324">
        <v>7230.48</v>
      </c>
      <c r="C11" s="230"/>
      <c r="D11" s="331" t="s">
        <v>396</v>
      </c>
      <c r="E11" s="324">
        <v>51870</v>
      </c>
      <c r="F11" s="334">
        <v>42126</v>
      </c>
      <c r="G11" s="364">
        <v>42125</v>
      </c>
      <c r="I11" s="249">
        <v>42134</v>
      </c>
      <c r="J11" s="344">
        <v>20621</v>
      </c>
      <c r="K11" s="50">
        <v>6029.64</v>
      </c>
      <c r="L11" s="178">
        <v>42140</v>
      </c>
      <c r="M11" s="50">
        <v>6029.64</v>
      </c>
      <c r="N11" s="297">
        <f t="shared" si="0"/>
        <v>0</v>
      </c>
    </row>
    <row r="12" spans="1:14" ht="15.75" x14ac:dyDescent="0.25">
      <c r="A12" s="237">
        <v>20165</v>
      </c>
      <c r="B12" s="324">
        <v>33215.519999999997</v>
      </c>
      <c r="C12" s="230"/>
      <c r="D12" s="331" t="s">
        <v>396</v>
      </c>
      <c r="E12" s="324">
        <v>10201</v>
      </c>
      <c r="F12" s="334">
        <v>42131</v>
      </c>
      <c r="G12" s="364">
        <v>42125</v>
      </c>
      <c r="H12" s="252"/>
      <c r="I12" s="249">
        <v>42135</v>
      </c>
      <c r="J12" s="344">
        <v>20753</v>
      </c>
      <c r="K12" s="50">
        <v>104351.5</v>
      </c>
      <c r="L12" s="178">
        <v>42140</v>
      </c>
      <c r="M12" s="50">
        <v>104351.5</v>
      </c>
      <c r="N12" s="297">
        <f t="shared" si="0"/>
        <v>0</v>
      </c>
    </row>
    <row r="13" spans="1:14" ht="15.75" x14ac:dyDescent="0.25">
      <c r="A13" s="237">
        <v>20414</v>
      </c>
      <c r="B13" s="324">
        <v>79707.44</v>
      </c>
      <c r="C13" s="230"/>
      <c r="D13" s="331" t="s">
        <v>396</v>
      </c>
      <c r="E13" s="324">
        <v>63751</v>
      </c>
      <c r="F13" s="334">
        <v>42131</v>
      </c>
      <c r="G13" s="364">
        <v>42126</v>
      </c>
      <c r="H13" s="252"/>
      <c r="I13" s="249">
        <v>42136</v>
      </c>
      <c r="J13" s="344">
        <v>20813</v>
      </c>
      <c r="K13" s="50">
        <v>7247.05</v>
      </c>
      <c r="L13" s="178">
        <v>42140</v>
      </c>
      <c r="M13" s="50">
        <v>7247.05</v>
      </c>
      <c r="N13" s="297">
        <f t="shared" si="0"/>
        <v>0</v>
      </c>
    </row>
    <row r="14" spans="1:14" ht="15.75" x14ac:dyDescent="0.25">
      <c r="A14" s="237">
        <v>20488</v>
      </c>
      <c r="B14" s="324">
        <v>18032</v>
      </c>
      <c r="C14" s="416"/>
      <c r="D14" s="331" t="s">
        <v>396</v>
      </c>
      <c r="E14" s="324">
        <v>41935.5</v>
      </c>
      <c r="F14" s="334">
        <v>42131</v>
      </c>
      <c r="G14" s="364">
        <v>42127</v>
      </c>
      <c r="H14" s="287"/>
      <c r="I14" s="343">
        <v>42137</v>
      </c>
      <c r="J14" s="344">
        <v>20896</v>
      </c>
      <c r="K14" s="81">
        <v>11957.2</v>
      </c>
      <c r="L14" s="178">
        <v>42140</v>
      </c>
      <c r="M14" s="81">
        <v>11957.2</v>
      </c>
      <c r="N14" s="297">
        <f t="shared" si="0"/>
        <v>0</v>
      </c>
    </row>
    <row r="15" spans="1:14" ht="15.75" x14ac:dyDescent="0.25">
      <c r="A15" s="237">
        <v>20577</v>
      </c>
      <c r="B15" s="324">
        <v>64622.239999999998</v>
      </c>
      <c r="C15" s="416"/>
      <c r="D15" s="331" t="s">
        <v>396</v>
      </c>
      <c r="E15" s="324">
        <v>12950</v>
      </c>
      <c r="F15" s="334">
        <v>42131</v>
      </c>
      <c r="G15" s="364">
        <v>42128</v>
      </c>
      <c r="H15" s="287"/>
      <c r="I15" s="343">
        <v>42138</v>
      </c>
      <c r="J15" s="344">
        <v>21004</v>
      </c>
      <c r="K15" s="81">
        <v>1876.8</v>
      </c>
      <c r="L15" s="178">
        <v>42140</v>
      </c>
      <c r="M15" s="81">
        <v>1876.8</v>
      </c>
      <c r="N15" s="297">
        <f t="shared" si="0"/>
        <v>0</v>
      </c>
    </row>
    <row r="16" spans="1:14" ht="15.75" x14ac:dyDescent="0.25">
      <c r="A16" s="237">
        <v>20621</v>
      </c>
      <c r="B16" s="324">
        <v>6029.64</v>
      </c>
      <c r="C16" s="230"/>
      <c r="D16" s="331" t="s">
        <v>396</v>
      </c>
      <c r="E16" s="324">
        <v>8378</v>
      </c>
      <c r="F16" s="334">
        <v>42130</v>
      </c>
      <c r="G16" s="364">
        <v>42128</v>
      </c>
      <c r="H16" s="287"/>
      <c r="I16" s="343">
        <v>42139</v>
      </c>
      <c r="J16" s="344">
        <v>21082</v>
      </c>
      <c r="K16" s="81">
        <v>13670</v>
      </c>
      <c r="L16" s="530" t="s">
        <v>512</v>
      </c>
      <c r="M16" s="531">
        <f>11023.06+646.94+2000</f>
        <v>13670</v>
      </c>
      <c r="N16" s="297">
        <f t="shared" si="0"/>
        <v>0</v>
      </c>
    </row>
    <row r="17" spans="1:14" ht="18.75" x14ac:dyDescent="0.3">
      <c r="A17" s="329">
        <v>20753</v>
      </c>
      <c r="B17" s="432">
        <v>104351.5</v>
      </c>
      <c r="C17" s="460"/>
      <c r="D17" s="329" t="s">
        <v>396</v>
      </c>
      <c r="E17" s="234">
        <v>5723</v>
      </c>
      <c r="F17" s="473">
        <v>42138</v>
      </c>
      <c r="G17" s="364">
        <v>42129</v>
      </c>
      <c r="H17" s="287"/>
      <c r="I17" s="343">
        <v>42139</v>
      </c>
      <c r="J17" s="344">
        <v>21201</v>
      </c>
      <c r="K17" s="81">
        <v>55476.4</v>
      </c>
      <c r="L17" s="484">
        <v>42153</v>
      </c>
      <c r="M17" s="81">
        <v>55476.4</v>
      </c>
      <c r="N17" s="297">
        <f t="shared" si="0"/>
        <v>0</v>
      </c>
    </row>
    <row r="18" spans="1:14" ht="15.75" x14ac:dyDescent="0.25">
      <c r="A18" s="237">
        <v>20813</v>
      </c>
      <c r="B18" s="324">
        <v>7247.05</v>
      </c>
      <c r="C18" s="416"/>
      <c r="D18" s="237" t="s">
        <v>396</v>
      </c>
      <c r="E18" s="324">
        <v>18900</v>
      </c>
      <c r="F18" s="334">
        <v>42130</v>
      </c>
      <c r="G18" s="364">
        <v>42129</v>
      </c>
      <c r="H18" s="287"/>
      <c r="I18" s="343">
        <v>42139</v>
      </c>
      <c r="J18" s="344">
        <v>21205</v>
      </c>
      <c r="K18" s="81">
        <v>14878.61</v>
      </c>
      <c r="L18" s="484">
        <v>42153</v>
      </c>
      <c r="M18" s="81">
        <v>14878.61</v>
      </c>
      <c r="N18" s="297">
        <f t="shared" si="0"/>
        <v>0</v>
      </c>
    </row>
    <row r="19" spans="1:14" ht="15.75" x14ac:dyDescent="0.25">
      <c r="A19" s="237">
        <v>20896</v>
      </c>
      <c r="B19" s="324">
        <v>11967.2</v>
      </c>
      <c r="C19" s="230"/>
      <c r="D19" s="237" t="s">
        <v>396</v>
      </c>
      <c r="E19" s="324">
        <v>34883</v>
      </c>
      <c r="F19" s="334">
        <v>42138</v>
      </c>
      <c r="G19" s="364">
        <v>42130</v>
      </c>
      <c r="H19" s="287"/>
      <c r="I19" s="343">
        <v>42140</v>
      </c>
      <c r="J19" s="344">
        <v>21211</v>
      </c>
      <c r="K19" s="81">
        <v>2755</v>
      </c>
      <c r="L19" s="484">
        <v>42153</v>
      </c>
      <c r="M19" s="81">
        <v>2755</v>
      </c>
      <c r="N19" s="297">
        <f t="shared" si="0"/>
        <v>0</v>
      </c>
    </row>
    <row r="20" spans="1:14" ht="15.75" x14ac:dyDescent="0.25">
      <c r="A20" s="233">
        <v>21004</v>
      </c>
      <c r="B20" s="216">
        <v>1876.8</v>
      </c>
      <c r="C20" s="216"/>
      <c r="D20" s="421" t="s">
        <v>396</v>
      </c>
      <c r="E20" s="432">
        <v>21910</v>
      </c>
      <c r="F20" s="473">
        <v>42138</v>
      </c>
      <c r="G20" s="364">
        <v>42131</v>
      </c>
      <c r="H20" s="287"/>
      <c r="I20" s="343">
        <v>42141</v>
      </c>
      <c r="J20" s="344">
        <v>21340</v>
      </c>
      <c r="K20" s="81">
        <v>52123.65</v>
      </c>
      <c r="L20" s="484">
        <v>42153</v>
      </c>
      <c r="M20" s="81">
        <v>52123.65</v>
      </c>
      <c r="N20" s="297">
        <f t="shared" si="0"/>
        <v>0</v>
      </c>
    </row>
    <row r="21" spans="1:14" ht="15.75" x14ac:dyDescent="0.25">
      <c r="A21" s="233">
        <v>21082</v>
      </c>
      <c r="B21" s="234">
        <v>11023.06</v>
      </c>
      <c r="C21" s="234" t="s">
        <v>325</v>
      </c>
      <c r="D21" s="421" t="s">
        <v>396</v>
      </c>
      <c r="E21" s="432">
        <v>5249.5</v>
      </c>
      <c r="F21" s="473">
        <v>42133</v>
      </c>
      <c r="G21" s="364">
        <v>42131</v>
      </c>
      <c r="H21" s="287"/>
      <c r="I21" s="343">
        <v>42140</v>
      </c>
      <c r="J21" s="344">
        <v>21310</v>
      </c>
      <c r="K21" s="81">
        <v>32291.4</v>
      </c>
      <c r="L21" s="484">
        <v>42153</v>
      </c>
      <c r="M21" s="81">
        <v>32291.4</v>
      </c>
      <c r="N21" s="297">
        <f t="shared" si="0"/>
        <v>0</v>
      </c>
    </row>
    <row r="22" spans="1:14" ht="15.75" x14ac:dyDescent="0.25">
      <c r="A22" s="496"/>
      <c r="B22" s="432"/>
      <c r="C22" s="459"/>
      <c r="D22" s="421" t="s">
        <v>396</v>
      </c>
      <c r="E22" s="432">
        <v>60450</v>
      </c>
      <c r="F22" s="473">
        <v>42133</v>
      </c>
      <c r="G22" s="364">
        <v>42132</v>
      </c>
      <c r="H22" s="287"/>
      <c r="I22" s="343">
        <v>42142</v>
      </c>
      <c r="J22" s="344">
        <v>21430</v>
      </c>
      <c r="K22" s="81">
        <v>2734.8</v>
      </c>
      <c r="L22" s="484">
        <v>42153</v>
      </c>
      <c r="M22" s="81">
        <v>2734.8</v>
      </c>
      <c r="N22" s="297">
        <f t="shared" si="0"/>
        <v>0</v>
      </c>
    </row>
    <row r="23" spans="1:14" ht="18.75" x14ac:dyDescent="0.3">
      <c r="A23" s="459"/>
      <c r="B23" s="464"/>
      <c r="C23" s="460"/>
      <c r="D23" s="421" t="s">
        <v>396</v>
      </c>
      <c r="E23" s="234">
        <v>5768</v>
      </c>
      <c r="F23" s="328">
        <v>42139</v>
      </c>
      <c r="G23" s="364">
        <v>42132</v>
      </c>
      <c r="H23" s="287"/>
      <c r="I23" s="359">
        <v>42142</v>
      </c>
      <c r="J23" s="344">
        <v>21522</v>
      </c>
      <c r="K23" s="81">
        <v>46578.16</v>
      </c>
      <c r="L23" s="484">
        <v>42153</v>
      </c>
      <c r="M23" s="81">
        <v>46578.16</v>
      </c>
      <c r="N23" s="297">
        <f t="shared" si="0"/>
        <v>0</v>
      </c>
    </row>
    <row r="24" spans="1:14" ht="15.75" x14ac:dyDescent="0.25">
      <c r="A24" s="493"/>
      <c r="B24" s="432"/>
      <c r="C24" s="459"/>
      <c r="D24" s="421" t="s">
        <v>396</v>
      </c>
      <c r="E24" s="494">
        <v>4951</v>
      </c>
      <c r="F24" s="328">
        <v>42138</v>
      </c>
      <c r="G24" s="364">
        <v>42133</v>
      </c>
      <c r="H24" s="287"/>
      <c r="I24" s="359">
        <v>42143</v>
      </c>
      <c r="J24" s="344">
        <v>21603</v>
      </c>
      <c r="K24" s="322">
        <v>33614.94</v>
      </c>
      <c r="L24" s="484">
        <v>42153</v>
      </c>
      <c r="M24" s="322">
        <v>33614.94</v>
      </c>
      <c r="N24" s="297">
        <f t="shared" si="0"/>
        <v>0</v>
      </c>
    </row>
    <row r="25" spans="1:14" ht="15.75" x14ac:dyDescent="0.25">
      <c r="A25" s="495"/>
      <c r="B25" s="432"/>
      <c r="C25" s="459"/>
      <c r="D25" s="421" t="s">
        <v>396</v>
      </c>
      <c r="E25" s="494">
        <v>68400</v>
      </c>
      <c r="F25" s="328">
        <v>42139</v>
      </c>
      <c r="G25" s="364">
        <v>42133</v>
      </c>
      <c r="H25" s="287"/>
      <c r="I25" s="359">
        <v>42144</v>
      </c>
      <c r="J25" s="344">
        <v>21658</v>
      </c>
      <c r="K25" s="81">
        <v>10603.2</v>
      </c>
      <c r="L25" s="484">
        <v>42153</v>
      </c>
      <c r="M25" s="81">
        <v>10603.2</v>
      </c>
      <c r="N25" s="297">
        <f t="shared" si="0"/>
        <v>0</v>
      </c>
    </row>
    <row r="26" spans="1:14" ht="15.75" x14ac:dyDescent="0.25">
      <c r="A26" s="483"/>
      <c r="B26" s="432"/>
      <c r="C26" s="216"/>
      <c r="D26" s="421" t="s">
        <v>396</v>
      </c>
      <c r="E26" s="330">
        <v>43500</v>
      </c>
      <c r="F26" s="422">
        <v>42138</v>
      </c>
      <c r="G26" s="364">
        <v>42134</v>
      </c>
      <c r="H26" s="287"/>
      <c r="I26" s="359">
        <v>42144</v>
      </c>
      <c r="J26" s="344">
        <v>21704</v>
      </c>
      <c r="K26" s="81">
        <v>2779.2</v>
      </c>
      <c r="L26" s="484">
        <v>42153</v>
      </c>
      <c r="M26" s="81">
        <v>2779.2</v>
      </c>
      <c r="N26" s="297">
        <f t="shared" si="0"/>
        <v>0</v>
      </c>
    </row>
    <row r="27" spans="1:14" ht="15.75" x14ac:dyDescent="0.25">
      <c r="A27" s="215"/>
      <c r="B27" s="216"/>
      <c r="C27" s="216"/>
      <c r="D27" s="421" t="s">
        <v>396</v>
      </c>
      <c r="E27" s="330">
        <v>5515.5</v>
      </c>
      <c r="F27" s="422">
        <v>42137</v>
      </c>
      <c r="G27" s="364">
        <v>42134</v>
      </c>
      <c r="H27" s="287"/>
      <c r="I27" s="359">
        <v>42145</v>
      </c>
      <c r="J27" s="344">
        <v>21752</v>
      </c>
      <c r="K27" s="81">
        <v>11177.6</v>
      </c>
      <c r="L27" s="484">
        <v>42153</v>
      </c>
      <c r="M27" s="81">
        <v>11177.6</v>
      </c>
      <c r="N27" s="297">
        <f t="shared" si="0"/>
        <v>0</v>
      </c>
    </row>
    <row r="28" spans="1:14" ht="15.75" x14ac:dyDescent="0.25">
      <c r="A28" s="233"/>
      <c r="B28" s="234"/>
      <c r="C28" s="234"/>
      <c r="D28" s="421" t="s">
        <v>396</v>
      </c>
      <c r="E28" s="330">
        <v>4047</v>
      </c>
      <c r="F28" s="422">
        <v>42138</v>
      </c>
      <c r="G28" s="364">
        <v>42136</v>
      </c>
      <c r="H28" s="287"/>
      <c r="I28" s="359">
        <v>42147</v>
      </c>
      <c r="J28" s="344">
        <v>21967</v>
      </c>
      <c r="K28" s="450">
        <v>40574.800000000003</v>
      </c>
      <c r="L28" s="484">
        <v>42153</v>
      </c>
      <c r="M28" s="450">
        <v>40574.800000000003</v>
      </c>
      <c r="N28" s="297">
        <f t="shared" si="0"/>
        <v>0</v>
      </c>
    </row>
    <row r="29" spans="1:14" ht="15.75" x14ac:dyDescent="0.25">
      <c r="A29" s="233"/>
      <c r="B29" s="234"/>
      <c r="C29" s="234"/>
      <c r="D29" s="421" t="s">
        <v>396</v>
      </c>
      <c r="E29" s="330">
        <v>5191.5</v>
      </c>
      <c r="F29" s="422">
        <v>42139</v>
      </c>
      <c r="G29" s="364">
        <v>42137</v>
      </c>
      <c r="H29" s="287"/>
      <c r="I29" s="359">
        <v>42148</v>
      </c>
      <c r="J29" s="344">
        <v>22109</v>
      </c>
      <c r="K29" s="450">
        <v>8360</v>
      </c>
      <c r="L29" s="484">
        <v>42153</v>
      </c>
      <c r="M29" s="450">
        <v>8360</v>
      </c>
      <c r="N29" s="297">
        <f t="shared" si="0"/>
        <v>0</v>
      </c>
    </row>
    <row r="30" spans="1:14" ht="15.75" x14ac:dyDescent="0.25">
      <c r="A30" s="233"/>
      <c r="B30" s="234"/>
      <c r="C30" s="234"/>
      <c r="D30" s="421"/>
      <c r="E30" s="330"/>
      <c r="F30" s="422"/>
      <c r="G30" s="364"/>
      <c r="H30" s="287"/>
      <c r="I30" s="359">
        <v>42146</v>
      </c>
      <c r="J30" s="344">
        <v>21950</v>
      </c>
      <c r="K30" s="81">
        <v>103027.99</v>
      </c>
      <c r="L30" s="484">
        <v>42153</v>
      </c>
      <c r="M30" s="81">
        <v>103027.99</v>
      </c>
      <c r="N30" s="297">
        <f t="shared" si="0"/>
        <v>0</v>
      </c>
    </row>
    <row r="31" spans="1:14" ht="15.75" x14ac:dyDescent="0.25">
      <c r="A31" s="233"/>
      <c r="B31" s="234"/>
      <c r="C31" s="234"/>
      <c r="D31" s="421"/>
      <c r="E31" s="330"/>
      <c r="F31" s="422"/>
      <c r="G31" s="364"/>
      <c r="H31" s="287"/>
      <c r="I31" s="359">
        <v>42149</v>
      </c>
      <c r="J31" s="344">
        <v>22143</v>
      </c>
      <c r="K31" s="292">
        <v>26560.3</v>
      </c>
      <c r="L31" s="484">
        <v>42153</v>
      </c>
      <c r="M31" s="292">
        <v>26560.3</v>
      </c>
      <c r="N31" s="297">
        <f t="shared" si="0"/>
        <v>0</v>
      </c>
    </row>
    <row r="32" spans="1:14" ht="15.75" x14ac:dyDescent="0.25">
      <c r="A32" s="233"/>
      <c r="B32" s="234"/>
      <c r="C32" s="234"/>
      <c r="D32" s="421"/>
      <c r="E32" s="330"/>
      <c r="F32" s="422"/>
      <c r="G32" s="364"/>
      <c r="H32" s="287"/>
      <c r="I32" s="359">
        <v>42150</v>
      </c>
      <c r="J32" s="344">
        <v>22329</v>
      </c>
      <c r="K32" s="81">
        <v>75207.360000000001</v>
      </c>
      <c r="L32" s="484">
        <v>42153</v>
      </c>
      <c r="M32" s="81">
        <v>75207.360000000001</v>
      </c>
      <c r="N32" s="297">
        <f t="shared" si="0"/>
        <v>0</v>
      </c>
    </row>
    <row r="33" spans="1:15" ht="15.75" x14ac:dyDescent="0.25">
      <c r="A33" s="329"/>
      <c r="B33" s="432"/>
      <c r="C33" s="459"/>
      <c r="D33" s="421"/>
      <c r="E33" s="432"/>
      <c r="F33" s="473"/>
      <c r="G33" s="364"/>
      <c r="H33" s="287"/>
      <c r="I33" s="359">
        <v>42151</v>
      </c>
      <c r="J33" s="344">
        <v>22368</v>
      </c>
      <c r="K33" s="81">
        <v>3326.4</v>
      </c>
      <c r="L33" s="484">
        <v>42153</v>
      </c>
      <c r="M33" s="81">
        <v>3326.4</v>
      </c>
      <c r="N33" s="297">
        <f t="shared" si="0"/>
        <v>0</v>
      </c>
    </row>
    <row r="34" spans="1:15" ht="15.75" x14ac:dyDescent="0.25">
      <c r="A34" s="329"/>
      <c r="B34" s="432"/>
      <c r="C34" s="459"/>
      <c r="D34" s="421"/>
      <c r="E34" s="432"/>
      <c r="F34" s="473"/>
      <c r="G34" s="364"/>
      <c r="H34" s="287"/>
      <c r="I34" s="359">
        <v>42152</v>
      </c>
      <c r="J34" s="344">
        <v>22484</v>
      </c>
      <c r="K34" s="81">
        <v>16957.66</v>
      </c>
      <c r="L34" s="484">
        <v>42153</v>
      </c>
      <c r="M34" s="81">
        <v>16957.66</v>
      </c>
      <c r="N34" s="297">
        <f t="shared" si="0"/>
        <v>0</v>
      </c>
    </row>
    <row r="35" spans="1:15" ht="15.75" x14ac:dyDescent="0.25">
      <c r="A35" s="329"/>
      <c r="B35" s="432"/>
      <c r="C35" s="459"/>
      <c r="D35" s="421"/>
      <c r="E35" s="432"/>
      <c r="F35" s="473"/>
      <c r="G35" s="364"/>
      <c r="H35" s="287"/>
      <c r="I35" s="359">
        <v>42153</v>
      </c>
      <c r="J35" s="344">
        <v>22591</v>
      </c>
      <c r="K35" s="81">
        <v>79247.179999999993</v>
      </c>
      <c r="L35" s="533" t="s">
        <v>513</v>
      </c>
      <c r="M35" s="366">
        <f>214.09+79033.09</f>
        <v>79247.179999999993</v>
      </c>
      <c r="N35" s="297">
        <f t="shared" si="0"/>
        <v>0</v>
      </c>
    </row>
    <row r="36" spans="1:15" ht="15.75" x14ac:dyDescent="0.25">
      <c r="A36" s="329"/>
      <c r="B36" s="432"/>
      <c r="C36" s="459"/>
      <c r="D36" s="421"/>
      <c r="E36" s="494"/>
      <c r="F36" s="328"/>
      <c r="G36" s="364"/>
      <c r="H36" s="287"/>
      <c r="I36" s="359">
        <v>42153</v>
      </c>
      <c r="J36" s="344">
        <v>22568</v>
      </c>
      <c r="K36" s="81">
        <v>4437.8</v>
      </c>
      <c r="L36" s="532">
        <v>42172</v>
      </c>
      <c r="M36" s="366">
        <v>4437.8</v>
      </c>
      <c r="N36" s="297">
        <f t="shared" si="0"/>
        <v>0</v>
      </c>
    </row>
    <row r="37" spans="1:15" ht="16.5" thickBot="1" x14ac:dyDescent="0.3">
      <c r="A37" s="361"/>
      <c r="B37" s="226">
        <v>0</v>
      </c>
      <c r="C37" s="226"/>
      <c r="D37" s="227"/>
      <c r="E37" s="58">
        <v>0</v>
      </c>
      <c r="F37" s="245"/>
      <c r="G37" s="364"/>
      <c r="H37" s="287"/>
      <c r="I37" s="359">
        <v>42153</v>
      </c>
      <c r="J37" s="344">
        <v>22660</v>
      </c>
      <c r="K37" s="81">
        <v>1350</v>
      </c>
      <c r="L37" s="532">
        <v>42172</v>
      </c>
      <c r="M37" s="366">
        <v>1350</v>
      </c>
      <c r="N37" s="297">
        <f t="shared" si="0"/>
        <v>0</v>
      </c>
    </row>
    <row r="38" spans="1:15" ht="16.5" thickTop="1" x14ac:dyDescent="0.25">
      <c r="A38" s="361"/>
      <c r="B38" s="419">
        <f>SUM(B4:B37)</f>
        <v>634213.50000000012</v>
      </c>
      <c r="C38" s="208"/>
      <c r="D38" s="206"/>
      <c r="E38" s="419">
        <f>SUM(E4:E37)</f>
        <v>634213.5</v>
      </c>
      <c r="F38" s="222"/>
      <c r="G38" s="364"/>
      <c r="H38" s="287"/>
      <c r="I38" s="505">
        <v>42154</v>
      </c>
      <c r="J38" s="506">
        <v>22670</v>
      </c>
      <c r="K38" s="59">
        <v>3291.2</v>
      </c>
      <c r="L38" s="532">
        <v>42172</v>
      </c>
      <c r="M38" s="369">
        <v>3291.2</v>
      </c>
      <c r="N38" s="494">
        <f t="shared" si="0"/>
        <v>0</v>
      </c>
    </row>
    <row r="39" spans="1:15" ht="15.75" x14ac:dyDescent="0.25">
      <c r="A39" s="361"/>
      <c r="D39" s="362"/>
      <c r="G39" s="364"/>
      <c r="H39" s="287"/>
      <c r="I39" s="505">
        <v>42154</v>
      </c>
      <c r="J39" s="506">
        <v>22739</v>
      </c>
      <c r="K39" s="59">
        <v>18724.72</v>
      </c>
      <c r="L39" s="532">
        <v>42172</v>
      </c>
      <c r="M39" s="369">
        <v>18724.72</v>
      </c>
      <c r="N39" s="494">
        <f t="shared" si="0"/>
        <v>0</v>
      </c>
    </row>
    <row r="40" spans="1:15" ht="15.75" customHeight="1" thickBot="1" x14ac:dyDescent="0.35">
      <c r="A40" s="361"/>
      <c r="C40" s="282"/>
      <c r="D40" s="361"/>
      <c r="E40" s="358"/>
      <c r="G40" s="364"/>
      <c r="H40" s="287"/>
      <c r="I40" s="505">
        <v>42155</v>
      </c>
      <c r="J40" s="496">
        <v>22829</v>
      </c>
      <c r="K40" s="81">
        <v>68098.899999999994</v>
      </c>
      <c r="L40" s="532">
        <v>42172</v>
      </c>
      <c r="M40" s="366">
        <v>68098.899999999994</v>
      </c>
      <c r="N40" s="494">
        <f t="shared" si="0"/>
        <v>0</v>
      </c>
    </row>
    <row r="41" spans="1:15" ht="15.75" customHeight="1" thickBot="1" x14ac:dyDescent="0.35">
      <c r="A41"/>
      <c r="B41" s="474" t="s">
        <v>205</v>
      </c>
      <c r="C41" s="204"/>
      <c r="D41" s="497"/>
      <c r="E41" s="498">
        <v>42153</v>
      </c>
      <c r="F41" s="222"/>
      <c r="G41" s="364"/>
      <c r="H41" s="287"/>
      <c r="I41" s="504"/>
      <c r="J41" s="496"/>
      <c r="K41" s="475"/>
      <c r="L41" s="465"/>
      <c r="M41" s="294"/>
      <c r="N41" s="494">
        <f t="shared" si="0"/>
        <v>0</v>
      </c>
      <c r="O41" s="25"/>
    </row>
    <row r="42" spans="1:15" ht="15.75" customHeight="1" x14ac:dyDescent="0.25">
      <c r="A42" s="205"/>
      <c r="B42" s="419"/>
      <c r="C42" s="205"/>
      <c r="D42" s="206"/>
      <c r="E42" s="207"/>
      <c r="F42" s="223"/>
      <c r="G42" s="364"/>
      <c r="H42" s="287"/>
      <c r="I42" s="339"/>
      <c r="J42" s="496"/>
      <c r="K42" s="81"/>
      <c r="L42" s="465"/>
      <c r="M42" s="294"/>
      <c r="N42" s="494">
        <f t="shared" si="0"/>
        <v>0</v>
      </c>
    </row>
    <row r="43" spans="1:15" ht="15.75" x14ac:dyDescent="0.25">
      <c r="A43" s="212" t="s">
        <v>202</v>
      </c>
      <c r="B43" s="419" t="s">
        <v>195</v>
      </c>
      <c r="C43" s="205"/>
      <c r="D43" s="206" t="s">
        <v>203</v>
      </c>
      <c r="E43" s="207" t="s">
        <v>204</v>
      </c>
      <c r="F43" s="223"/>
      <c r="G43" s="364"/>
      <c r="H43" s="287"/>
      <c r="I43" s="504"/>
      <c r="J43" s="496"/>
      <c r="K43" s="81"/>
      <c r="L43" s="465"/>
      <c r="M43" s="294"/>
      <c r="N43" s="494">
        <f t="shared" si="0"/>
        <v>0</v>
      </c>
    </row>
    <row r="44" spans="1:15" ht="16.5" customHeight="1" x14ac:dyDescent="0.25">
      <c r="A44" s="499">
        <v>21082</v>
      </c>
      <c r="B44" s="216">
        <v>646.94000000000005</v>
      </c>
      <c r="C44" s="216"/>
      <c r="D44" s="331" t="s">
        <v>396</v>
      </c>
      <c r="E44" s="332">
        <v>32354.5</v>
      </c>
      <c r="F44" s="333">
        <v>42137</v>
      </c>
      <c r="G44" s="364">
        <v>42135</v>
      </c>
      <c r="H44" s="287"/>
      <c r="I44" s="339"/>
      <c r="J44" s="496"/>
      <c r="K44" s="81"/>
      <c r="L44" s="465"/>
      <c r="M44" s="294"/>
      <c r="N44" s="494">
        <f t="shared" si="0"/>
        <v>0</v>
      </c>
    </row>
    <row r="45" spans="1:15" ht="16.5" customHeight="1" x14ac:dyDescent="0.25">
      <c r="A45" s="344">
        <v>21201</v>
      </c>
      <c r="B45" s="81">
        <v>55476.4</v>
      </c>
      <c r="C45" s="234"/>
      <c r="D45" s="331" t="s">
        <v>396</v>
      </c>
      <c r="E45" s="332">
        <v>18830</v>
      </c>
      <c r="F45" s="333">
        <v>42137</v>
      </c>
      <c r="G45" s="364">
        <v>42136</v>
      </c>
      <c r="H45" s="287"/>
      <c r="I45" s="339"/>
      <c r="J45" s="496"/>
      <c r="K45" s="81"/>
      <c r="L45" s="253"/>
      <c r="M45" s="294"/>
      <c r="N45" s="494">
        <f t="shared" si="0"/>
        <v>0</v>
      </c>
    </row>
    <row r="46" spans="1:15" ht="16.5" thickBot="1" x14ac:dyDescent="0.3">
      <c r="A46" s="344">
        <v>21205</v>
      </c>
      <c r="B46" s="81">
        <v>14878.61</v>
      </c>
      <c r="C46" s="234"/>
      <c r="D46" s="331" t="s">
        <v>396</v>
      </c>
      <c r="E46" s="332">
        <v>24400</v>
      </c>
      <c r="F46" s="333">
        <v>42138</v>
      </c>
      <c r="G46" s="364">
        <v>42137</v>
      </c>
      <c r="H46" s="252"/>
      <c r="I46" s="286"/>
      <c r="J46" s="263"/>
      <c r="K46" s="180">
        <v>0</v>
      </c>
      <c r="L46" s="467"/>
      <c r="M46" s="295">
        <v>0</v>
      </c>
      <c r="N46" s="494">
        <f t="shared" si="0"/>
        <v>0</v>
      </c>
    </row>
    <row r="47" spans="1:15" ht="16.5" thickTop="1" x14ac:dyDescent="0.25">
      <c r="A47" s="344">
        <v>21211</v>
      </c>
      <c r="B47" s="81">
        <v>2755</v>
      </c>
      <c r="C47" s="234"/>
      <c r="D47" s="331" t="s">
        <v>396</v>
      </c>
      <c r="E47" s="332">
        <v>24200</v>
      </c>
      <c r="F47" s="333">
        <v>42139</v>
      </c>
      <c r="G47" s="364">
        <v>42138</v>
      </c>
      <c r="H47" s="252"/>
      <c r="J47" s="5"/>
      <c r="K47" s="44">
        <f>SUM(K3:K46)</f>
        <v>1271823.4799999997</v>
      </c>
      <c r="L47" s="38"/>
      <c r="M47" s="336">
        <f>SUM(M3:M46)</f>
        <v>1271823.4799999997</v>
      </c>
      <c r="N47" s="336">
        <f>SUM(N3:N46)</f>
        <v>0</v>
      </c>
    </row>
    <row r="48" spans="1:15" ht="15.75" x14ac:dyDescent="0.25">
      <c r="A48" s="344">
        <v>21310</v>
      </c>
      <c r="B48" s="81">
        <v>32291.4</v>
      </c>
      <c r="C48" s="234"/>
      <c r="D48" s="331" t="s">
        <v>396</v>
      </c>
      <c r="E48" s="332">
        <v>4964.5</v>
      </c>
      <c r="F48" s="333">
        <v>42140</v>
      </c>
      <c r="G48" s="364">
        <v>42108</v>
      </c>
      <c r="H48" s="252"/>
    </row>
    <row r="49" spans="1:14" ht="15.75" x14ac:dyDescent="0.25">
      <c r="A49" s="344">
        <v>21340</v>
      </c>
      <c r="B49" s="81">
        <v>52123.65</v>
      </c>
      <c r="C49" s="235"/>
      <c r="D49" s="331" t="s">
        <v>396</v>
      </c>
      <c r="E49" s="332">
        <v>40</v>
      </c>
      <c r="F49" s="333">
        <v>42140</v>
      </c>
      <c r="G49" s="364">
        <v>42130</v>
      </c>
      <c r="H49" s="252"/>
      <c r="J49" t="s">
        <v>101</v>
      </c>
      <c r="M49" s="25"/>
      <c r="N49" s="25"/>
    </row>
    <row r="50" spans="1:14" ht="15.75" x14ac:dyDescent="0.25">
      <c r="A50" s="344">
        <v>21430</v>
      </c>
      <c r="B50" s="81">
        <v>2734.8</v>
      </c>
      <c r="C50" s="230"/>
      <c r="D50" s="331" t="s">
        <v>396</v>
      </c>
      <c r="E50" s="324">
        <v>61600</v>
      </c>
      <c r="F50" s="334">
        <v>42140</v>
      </c>
      <c r="G50" s="364">
        <v>42139</v>
      </c>
      <c r="H50" s="252"/>
      <c r="M50" s="25"/>
      <c r="N50" s="25"/>
    </row>
    <row r="51" spans="1:14" ht="15.75" x14ac:dyDescent="0.25">
      <c r="A51" s="344">
        <v>21522</v>
      </c>
      <c r="B51" s="81">
        <v>46578.16</v>
      </c>
      <c r="C51" s="230"/>
      <c r="D51" s="331" t="s">
        <v>396</v>
      </c>
      <c r="E51" s="324">
        <v>8779</v>
      </c>
      <c r="F51" s="334">
        <v>42143</v>
      </c>
      <c r="G51" s="364">
        <v>42139</v>
      </c>
      <c r="H51" s="252"/>
      <c r="M51" s="25"/>
      <c r="N51" s="25"/>
    </row>
    <row r="52" spans="1:14" ht="15.75" x14ac:dyDescent="0.25">
      <c r="A52" s="344">
        <v>21603</v>
      </c>
      <c r="B52" s="322">
        <v>33614.94</v>
      </c>
      <c r="C52" s="230"/>
      <c r="D52" s="331" t="s">
        <v>396</v>
      </c>
      <c r="E52" s="324">
        <v>47436</v>
      </c>
      <c r="F52" s="334">
        <v>42143</v>
      </c>
      <c r="G52" s="364">
        <v>42140</v>
      </c>
      <c r="H52" s="252"/>
      <c r="M52" s="25"/>
      <c r="N52" s="25"/>
    </row>
    <row r="53" spans="1:14" ht="15.75" x14ac:dyDescent="0.25">
      <c r="A53" s="344">
        <v>21658</v>
      </c>
      <c r="B53" s="81">
        <v>10603.2</v>
      </c>
      <c r="C53" s="230"/>
      <c r="D53" s="331" t="s">
        <v>396</v>
      </c>
      <c r="E53" s="324">
        <v>41691.5</v>
      </c>
      <c r="F53" s="334">
        <v>42143</v>
      </c>
      <c r="G53" s="364">
        <v>42141</v>
      </c>
      <c r="H53" s="252"/>
      <c r="M53" s="25"/>
      <c r="N53" s="25"/>
    </row>
    <row r="54" spans="1:14" ht="15.75" x14ac:dyDescent="0.25">
      <c r="A54" s="344">
        <v>21704</v>
      </c>
      <c r="B54" s="81">
        <v>2779.2</v>
      </c>
      <c r="C54" s="416"/>
      <c r="D54" s="331" t="s">
        <v>396</v>
      </c>
      <c r="E54" s="324">
        <v>29950</v>
      </c>
      <c r="F54" s="334">
        <v>42147</v>
      </c>
      <c r="G54" s="364">
        <v>42142</v>
      </c>
      <c r="H54" s="252"/>
      <c r="M54" s="25"/>
      <c r="N54" s="25"/>
    </row>
    <row r="55" spans="1:14" ht="15.75" x14ac:dyDescent="0.25">
      <c r="A55" s="344">
        <v>21752</v>
      </c>
      <c r="B55" s="81">
        <v>11177.6</v>
      </c>
      <c r="C55" s="416"/>
      <c r="D55" s="331" t="s">
        <v>396</v>
      </c>
      <c r="E55" s="324">
        <v>6449</v>
      </c>
      <c r="F55" s="334">
        <v>42150</v>
      </c>
      <c r="G55" s="364">
        <v>42142</v>
      </c>
      <c r="H55" s="252"/>
      <c r="M55" s="25"/>
      <c r="N55" s="25"/>
    </row>
    <row r="56" spans="1:14" ht="15.75" x14ac:dyDescent="0.25">
      <c r="A56" s="344">
        <v>21950</v>
      </c>
      <c r="B56" s="81">
        <v>103027.99</v>
      </c>
      <c r="C56" s="230"/>
      <c r="D56" s="331" t="s">
        <v>396</v>
      </c>
      <c r="E56" s="324">
        <v>27550</v>
      </c>
      <c r="F56" s="334">
        <v>42152</v>
      </c>
      <c r="G56" s="364">
        <v>42145</v>
      </c>
      <c r="H56" s="252"/>
      <c r="M56" s="25"/>
      <c r="N56" s="25"/>
    </row>
    <row r="57" spans="1:14" ht="18.75" x14ac:dyDescent="0.3">
      <c r="A57" s="344">
        <v>21967</v>
      </c>
      <c r="B57" s="450">
        <v>40574.800000000003</v>
      </c>
      <c r="C57" s="460"/>
      <c r="D57" s="329" t="s">
        <v>396</v>
      </c>
      <c r="E57" s="234">
        <v>6540.5</v>
      </c>
      <c r="F57" s="473">
        <v>42152</v>
      </c>
      <c r="G57" s="364">
        <v>42144</v>
      </c>
      <c r="H57" s="252"/>
      <c r="M57" s="25"/>
      <c r="N57" s="25"/>
    </row>
    <row r="58" spans="1:14" ht="15.75" x14ac:dyDescent="0.25">
      <c r="A58" s="344">
        <v>22109</v>
      </c>
      <c r="B58" s="450">
        <v>8360</v>
      </c>
      <c r="C58" s="416"/>
      <c r="D58" s="237" t="s">
        <v>396</v>
      </c>
      <c r="E58" s="324">
        <v>54885.5</v>
      </c>
      <c r="F58" s="334">
        <v>42152</v>
      </c>
      <c r="G58" s="364">
        <v>42146</v>
      </c>
      <c r="H58" s="252"/>
      <c r="M58" s="25"/>
      <c r="N58" s="25"/>
    </row>
    <row r="59" spans="1:14" ht="15.75" x14ac:dyDescent="0.25">
      <c r="A59" s="344">
        <v>22143</v>
      </c>
      <c r="B59" s="292">
        <v>26560.3</v>
      </c>
      <c r="C59" s="230"/>
      <c r="D59" s="237" t="s">
        <v>396</v>
      </c>
      <c r="E59" s="324">
        <v>60803</v>
      </c>
      <c r="F59" s="334">
        <v>42152</v>
      </c>
      <c r="G59" s="364">
        <v>42147</v>
      </c>
      <c r="H59" s="252"/>
      <c r="M59" s="25"/>
      <c r="N59" s="25"/>
    </row>
    <row r="60" spans="1:14" ht="15.75" x14ac:dyDescent="0.25">
      <c r="A60" s="500">
        <v>22329</v>
      </c>
      <c r="B60" s="234">
        <v>75207.360000000001</v>
      </c>
      <c r="C60" s="216"/>
      <c r="D60" s="421" t="s">
        <v>396</v>
      </c>
      <c r="E60" s="432">
        <v>36955</v>
      </c>
      <c r="F60" s="473">
        <v>42152</v>
      </c>
      <c r="G60" s="364">
        <v>42148</v>
      </c>
      <c r="H60" s="252"/>
      <c r="I60" s="5" t="s">
        <v>315</v>
      </c>
      <c r="M60" s="25"/>
      <c r="N60" s="25"/>
    </row>
    <row r="61" spans="1:14" ht="15.75" x14ac:dyDescent="0.25">
      <c r="A61" s="500">
        <v>22368</v>
      </c>
      <c r="B61" s="234">
        <v>3326.4</v>
      </c>
      <c r="C61" s="234"/>
      <c r="D61" s="421" t="s">
        <v>396</v>
      </c>
      <c r="E61" s="432">
        <v>21180</v>
      </c>
      <c r="F61" s="473">
        <v>42150</v>
      </c>
      <c r="G61" s="364">
        <v>42149</v>
      </c>
      <c r="H61" s="252"/>
      <c r="L61" s="4"/>
      <c r="M61" s="25"/>
      <c r="N61" s="25"/>
    </row>
    <row r="62" spans="1:14" ht="15.75" x14ac:dyDescent="0.25">
      <c r="A62" s="496">
        <v>22484</v>
      </c>
      <c r="B62" s="432">
        <v>16957.66</v>
      </c>
      <c r="C62" s="459"/>
      <c r="D62" s="421" t="s">
        <v>396</v>
      </c>
      <c r="E62" s="432">
        <v>10880</v>
      </c>
      <c r="F62" s="473">
        <v>42152</v>
      </c>
      <c r="G62" s="364">
        <v>42149</v>
      </c>
      <c r="H62" s="252"/>
      <c r="M62" s="25"/>
      <c r="N62" s="25"/>
    </row>
    <row r="63" spans="1:14" ht="18.75" x14ac:dyDescent="0.3">
      <c r="A63" s="502">
        <v>22591</v>
      </c>
      <c r="B63" s="330">
        <v>214.09</v>
      </c>
      <c r="C63" s="460" t="s">
        <v>236</v>
      </c>
      <c r="D63" s="421" t="s">
        <v>396</v>
      </c>
      <c r="E63" s="234">
        <v>20400</v>
      </c>
      <c r="F63" s="328">
        <v>42152</v>
      </c>
      <c r="G63" s="364">
        <v>42120</v>
      </c>
      <c r="H63" s="252"/>
      <c r="M63" s="25"/>
      <c r="N63" s="25"/>
    </row>
    <row r="64" spans="1:14" ht="15.75" x14ac:dyDescent="0.25">
      <c r="A64" s="501"/>
      <c r="B64" s="432"/>
      <c r="C64" s="459"/>
      <c r="D64" s="421"/>
      <c r="E64" s="494"/>
      <c r="F64" s="328"/>
      <c r="G64" s="364"/>
      <c r="H64" s="252"/>
      <c r="M64" s="25"/>
      <c r="N64" s="25"/>
    </row>
    <row r="65" spans="1:14" ht="15.75" x14ac:dyDescent="0.25">
      <c r="A65" s="329"/>
      <c r="B65" s="432"/>
      <c r="C65" s="459"/>
      <c r="D65" s="421"/>
      <c r="E65" s="494"/>
      <c r="F65" s="328"/>
      <c r="G65" s="364"/>
      <c r="K65"/>
      <c r="M65" s="25"/>
      <c r="N65" s="25"/>
    </row>
    <row r="66" spans="1:14" ht="16.5" thickBot="1" x14ac:dyDescent="0.3">
      <c r="A66" s="361"/>
      <c r="B66" s="226">
        <v>0</v>
      </c>
      <c r="C66" s="226"/>
      <c r="D66" s="227"/>
      <c r="E66" s="58">
        <v>0</v>
      </c>
      <c r="F66" s="245"/>
      <c r="G66" s="364"/>
      <c r="K66"/>
      <c r="M66" s="25"/>
      <c r="N66" s="25"/>
    </row>
    <row r="67" spans="1:14" ht="16.5" thickTop="1" x14ac:dyDescent="0.25">
      <c r="A67" s="361"/>
      <c r="B67" s="419">
        <f>SUM(B44:B66)</f>
        <v>539888.5</v>
      </c>
      <c r="C67" s="208"/>
      <c r="D67" s="206"/>
      <c r="E67" s="419">
        <f>SUM(E44:E66)</f>
        <v>539888.5</v>
      </c>
      <c r="F67" s="222"/>
      <c r="G67" s="364"/>
      <c r="K67"/>
      <c r="M67" s="25"/>
      <c r="N67" s="25"/>
    </row>
    <row r="68" spans="1:14" ht="15.75" x14ac:dyDescent="0.25">
      <c r="A68" s="444"/>
      <c r="C68" s="358"/>
      <c r="D68" s="362"/>
      <c r="E68" s="293"/>
      <c r="F68" s="363"/>
      <c r="G68" s="364"/>
      <c r="K68"/>
      <c r="M68" s="25"/>
      <c r="N68" s="25"/>
    </row>
    <row r="69" spans="1:14" ht="15.75" x14ac:dyDescent="0.25">
      <c r="A69" s="444"/>
      <c r="C69" s="358"/>
      <c r="D69" s="362"/>
      <c r="E69" s="293"/>
      <c r="F69" s="363"/>
      <c r="G69" s="364"/>
      <c r="K69"/>
      <c r="M69" s="25"/>
      <c r="N69" s="25"/>
    </row>
    <row r="70" spans="1:14" ht="15.75" x14ac:dyDescent="0.25">
      <c r="A70" s="444"/>
      <c r="C70" s="358"/>
      <c r="D70" s="362"/>
      <c r="E70" s="293"/>
      <c r="F70" s="363"/>
      <c r="G70" s="364"/>
      <c r="K70"/>
      <c r="M70" s="25"/>
      <c r="N70" s="25"/>
    </row>
    <row r="71" spans="1:14" ht="15.75" x14ac:dyDescent="0.25">
      <c r="A71" s="444"/>
      <c r="C71" s="286"/>
      <c r="D71" s="362"/>
      <c r="E71" s="81"/>
      <c r="F71" s="252"/>
      <c r="G71" s="364"/>
      <c r="K71"/>
      <c r="M71" s="25"/>
      <c r="N71" s="25"/>
    </row>
    <row r="72" spans="1:14" ht="15.75" x14ac:dyDescent="0.25">
      <c r="A72" s="444"/>
      <c r="D72" s="362"/>
      <c r="E72" s="81"/>
      <c r="F72" s="252"/>
      <c r="G72" s="364"/>
      <c r="K72"/>
      <c r="M72" s="25"/>
      <c r="N72" s="25"/>
    </row>
    <row r="73" spans="1:14" ht="15.75" x14ac:dyDescent="0.25">
      <c r="A73" s="443"/>
      <c r="B73" s="246"/>
      <c r="C73" s="246"/>
      <c r="D73" s="362"/>
      <c r="E73" s="293"/>
      <c r="F73" s="363"/>
      <c r="K73"/>
      <c r="M73" s="25"/>
      <c r="N73" s="25"/>
    </row>
    <row r="74" spans="1:14" ht="15.75" x14ac:dyDescent="0.25">
      <c r="B74" s="246"/>
      <c r="C74" s="246"/>
      <c r="K74"/>
      <c r="M74" s="25"/>
      <c r="N74" s="25"/>
    </row>
    <row r="75" spans="1:14" ht="15.75" x14ac:dyDescent="0.25">
      <c r="B75" s="293"/>
      <c r="C75" s="448"/>
      <c r="D75" s="362"/>
      <c r="E75" s="293"/>
      <c r="K75"/>
      <c r="M75" s="25"/>
      <c r="N75" s="25"/>
    </row>
  </sheetData>
  <sortState ref="A45:B59">
    <sortCondition ref="A45:A59"/>
  </sortState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S57"/>
  <sheetViews>
    <sheetView topLeftCell="C13" workbookViewId="0">
      <selection activeCell="O28" sqref="O28"/>
    </sheetView>
  </sheetViews>
  <sheetFormatPr baseColWidth="10" defaultRowHeight="15" x14ac:dyDescent="0.25"/>
  <cols>
    <col min="1" max="1" width="2.5703125" customWidth="1"/>
    <col min="2" max="2" width="12.42578125" style="38" customWidth="1"/>
    <col min="3" max="3" width="16.42578125" style="44" customWidth="1"/>
    <col min="4" max="4" width="9" style="155" customWidth="1"/>
    <col min="6" max="6" width="17.85546875" style="44" customWidth="1"/>
    <col min="7" max="7" width="2.85546875" customWidth="1"/>
    <col min="9" max="9" width="12.140625" style="44" customWidth="1"/>
    <col min="10" max="10" width="6.42578125" style="44" customWidth="1"/>
    <col min="11" max="11" width="12.28515625" customWidth="1"/>
    <col min="12" max="12" width="11.28515625" customWidth="1"/>
    <col min="13" max="13" width="17.140625" customWidth="1"/>
    <col min="14" max="14" width="12.5703125" style="44" bestFit="1" customWidth="1"/>
    <col min="15" max="15" width="11.42578125" style="44"/>
  </cols>
  <sheetData>
    <row r="1" spans="1:19" ht="23.25" x14ac:dyDescent="0.35">
      <c r="C1" s="780" t="s">
        <v>703</v>
      </c>
      <c r="D1" s="780"/>
      <c r="E1" s="780"/>
      <c r="F1" s="780"/>
      <c r="G1" s="780"/>
      <c r="H1" s="780"/>
      <c r="I1" s="780"/>
      <c r="J1" s="780"/>
      <c r="K1" s="780"/>
      <c r="L1" s="133" t="s">
        <v>158</v>
      </c>
      <c r="M1" s="134"/>
    </row>
    <row r="2" spans="1:19" ht="15.75" thickBot="1" x14ac:dyDescent="0.3">
      <c r="E2" s="509"/>
      <c r="F2" s="51"/>
    </row>
    <row r="3" spans="1:19" ht="15.75" thickBot="1" x14ac:dyDescent="0.3">
      <c r="C3" s="45" t="s">
        <v>0</v>
      </c>
      <c r="D3" s="3"/>
    </row>
    <row r="4" spans="1:19" ht="20.25" thickTop="1" thickBot="1" x14ac:dyDescent="0.35">
      <c r="A4" s="415" t="s">
        <v>2</v>
      </c>
      <c r="B4" s="414"/>
      <c r="C4" s="97">
        <v>119129.63</v>
      </c>
      <c r="D4" s="156"/>
      <c r="E4" s="797" t="s">
        <v>19</v>
      </c>
      <c r="F4" s="798"/>
      <c r="I4" s="783" t="s">
        <v>4</v>
      </c>
      <c r="J4" s="784"/>
      <c r="K4" s="784"/>
      <c r="L4" s="784"/>
      <c r="M4" s="69" t="s">
        <v>24</v>
      </c>
      <c r="N4" s="112" t="s">
        <v>159</v>
      </c>
    </row>
    <row r="5" spans="1:19" ht="15.75" thickTop="1" x14ac:dyDescent="0.25">
      <c r="A5" s="21"/>
      <c r="B5" s="40">
        <v>42156</v>
      </c>
      <c r="C5" s="46">
        <v>533</v>
      </c>
      <c r="D5" s="96" t="s">
        <v>411</v>
      </c>
      <c r="E5" s="28">
        <v>42156</v>
      </c>
      <c r="F5" s="52">
        <v>35953.599999999999</v>
      </c>
      <c r="G5" s="25"/>
      <c r="H5" s="26">
        <v>42064</v>
      </c>
      <c r="I5" s="61">
        <v>485</v>
      </c>
      <c r="J5" s="80"/>
      <c r="K5" s="122"/>
      <c r="L5" s="123"/>
      <c r="M5" s="152" t="s">
        <v>515</v>
      </c>
      <c r="N5" s="151">
        <v>26782</v>
      </c>
      <c r="O5" s="336"/>
    </row>
    <row r="6" spans="1:19" x14ac:dyDescent="0.25">
      <c r="A6" s="21"/>
      <c r="B6" s="40">
        <v>42157</v>
      </c>
      <c r="C6" s="46">
        <v>410</v>
      </c>
      <c r="D6" s="70" t="s">
        <v>83</v>
      </c>
      <c r="E6" s="28">
        <v>42157</v>
      </c>
      <c r="F6" s="52">
        <v>26164</v>
      </c>
      <c r="G6" s="20"/>
      <c r="H6" s="29">
        <v>42157</v>
      </c>
      <c r="I6" s="62">
        <v>20</v>
      </c>
      <c r="J6" s="81"/>
      <c r="K6" s="73" t="s">
        <v>5</v>
      </c>
      <c r="L6" s="125">
        <v>538</v>
      </c>
      <c r="M6" s="392" t="s">
        <v>516</v>
      </c>
      <c r="N6" s="116">
        <v>14630</v>
      </c>
      <c r="O6" s="336"/>
    </row>
    <row r="7" spans="1:19" x14ac:dyDescent="0.25">
      <c r="A7" s="21"/>
      <c r="B7" s="40">
        <v>42158</v>
      </c>
      <c r="C7" s="46">
        <v>1150</v>
      </c>
      <c r="D7" s="30" t="s">
        <v>517</v>
      </c>
      <c r="E7" s="28">
        <v>42158</v>
      </c>
      <c r="F7" s="52">
        <v>27161.75</v>
      </c>
      <c r="G7" s="25"/>
      <c r="H7" s="29">
        <v>42158</v>
      </c>
      <c r="I7" s="62">
        <v>825.91</v>
      </c>
      <c r="J7" s="81"/>
      <c r="K7" s="73" t="s">
        <v>3</v>
      </c>
      <c r="L7" s="125">
        <v>13604</v>
      </c>
      <c r="M7" s="482" t="s">
        <v>519</v>
      </c>
      <c r="N7" s="116">
        <v>7856</v>
      </c>
      <c r="O7" s="336"/>
      <c r="R7" t="s">
        <v>462</v>
      </c>
      <c r="S7">
        <v>1600</v>
      </c>
    </row>
    <row r="8" spans="1:19" x14ac:dyDescent="0.25">
      <c r="A8" s="21"/>
      <c r="B8" s="40">
        <v>42159</v>
      </c>
      <c r="C8" s="46">
        <v>279</v>
      </c>
      <c r="D8" s="33" t="s">
        <v>83</v>
      </c>
      <c r="E8" s="28">
        <v>42159</v>
      </c>
      <c r="F8" s="52">
        <v>28508.82</v>
      </c>
      <c r="G8" s="25"/>
      <c r="H8" s="29">
        <v>42159</v>
      </c>
      <c r="I8" s="62">
        <v>0</v>
      </c>
      <c r="J8" s="81"/>
      <c r="K8" s="73" t="s">
        <v>6</v>
      </c>
      <c r="L8" s="124">
        <v>28750</v>
      </c>
      <c r="M8" s="395" t="s">
        <v>520</v>
      </c>
      <c r="N8" s="116">
        <v>28571.5</v>
      </c>
      <c r="O8" s="336"/>
      <c r="R8" t="s">
        <v>463</v>
      </c>
      <c r="S8">
        <v>2500</v>
      </c>
    </row>
    <row r="9" spans="1:19" x14ac:dyDescent="0.25">
      <c r="A9" s="21"/>
      <c r="B9" s="40">
        <v>42160</v>
      </c>
      <c r="C9" s="46">
        <v>624</v>
      </c>
      <c r="D9" s="96" t="s">
        <v>83</v>
      </c>
      <c r="E9" s="28">
        <v>42160</v>
      </c>
      <c r="F9" s="52">
        <v>55415.74</v>
      </c>
      <c r="G9" s="25"/>
      <c r="H9" s="29">
        <v>42160</v>
      </c>
      <c r="I9" s="62">
        <v>0</v>
      </c>
      <c r="J9" s="82"/>
      <c r="K9" s="73" t="s">
        <v>502</v>
      </c>
      <c r="L9" s="125">
        <f>4958.31+2500+1600</f>
        <v>9058.3100000000013</v>
      </c>
      <c r="M9" s="395" t="s">
        <v>521</v>
      </c>
      <c r="N9" s="116">
        <v>57280</v>
      </c>
      <c r="O9" s="336"/>
      <c r="R9" t="s">
        <v>464</v>
      </c>
      <c r="S9">
        <v>2500</v>
      </c>
    </row>
    <row r="10" spans="1:19" x14ac:dyDescent="0.25">
      <c r="A10" s="21"/>
      <c r="B10" s="40">
        <v>42161</v>
      </c>
      <c r="C10" s="46">
        <v>225</v>
      </c>
      <c r="D10" s="96" t="s">
        <v>83</v>
      </c>
      <c r="E10" s="28">
        <v>42161</v>
      </c>
      <c r="F10" s="52">
        <v>57276.5</v>
      </c>
      <c r="G10" s="25"/>
      <c r="H10" s="29">
        <v>42161</v>
      </c>
      <c r="I10" s="62">
        <v>20</v>
      </c>
      <c r="J10" s="82"/>
      <c r="K10" s="73" t="s">
        <v>503</v>
      </c>
      <c r="L10" s="52">
        <f>4958.33+1600+2500</f>
        <v>9058.33</v>
      </c>
      <c r="M10" s="395" t="s">
        <v>522</v>
      </c>
      <c r="N10" s="116">
        <v>57031</v>
      </c>
      <c r="O10" s="336"/>
    </row>
    <row r="11" spans="1:19" x14ac:dyDescent="0.25">
      <c r="A11" s="21"/>
      <c r="B11" s="40">
        <v>42162</v>
      </c>
      <c r="C11" s="46">
        <v>3672</v>
      </c>
      <c r="D11" s="96" t="s">
        <v>301</v>
      </c>
      <c r="E11" s="28">
        <v>42162</v>
      </c>
      <c r="F11" s="52">
        <v>53135.44</v>
      </c>
      <c r="G11" s="25"/>
      <c r="H11" s="29">
        <v>42162</v>
      </c>
      <c r="I11" s="62">
        <v>0</v>
      </c>
      <c r="J11" s="82"/>
      <c r="K11" s="73" t="s">
        <v>504</v>
      </c>
      <c r="L11" s="52">
        <f>200+5358+1600+2500</f>
        <v>9658</v>
      </c>
      <c r="M11" s="395" t="s">
        <v>523</v>
      </c>
      <c r="N11" s="116">
        <v>47781</v>
      </c>
      <c r="O11" s="336"/>
    </row>
    <row r="12" spans="1:19" x14ac:dyDescent="0.25">
      <c r="A12" s="21"/>
      <c r="B12" s="40">
        <v>42163</v>
      </c>
      <c r="C12" s="46">
        <f>353.5+275</f>
        <v>628.5</v>
      </c>
      <c r="D12" s="30" t="s">
        <v>524</v>
      </c>
      <c r="E12" s="28">
        <v>42163</v>
      </c>
      <c r="F12" s="52">
        <v>38130</v>
      </c>
      <c r="G12" s="25"/>
      <c r="H12" s="29">
        <v>42163</v>
      </c>
      <c r="I12" s="62">
        <v>25</v>
      </c>
      <c r="J12" s="82"/>
      <c r="K12" s="73" t="s">
        <v>505</v>
      </c>
      <c r="L12" s="52">
        <f>6206.5+1600+2500</f>
        <v>10306.5</v>
      </c>
      <c r="M12" s="395" t="s">
        <v>525</v>
      </c>
      <c r="N12" s="116">
        <v>35276.5</v>
      </c>
      <c r="O12" s="336"/>
    </row>
    <row r="13" spans="1:19" x14ac:dyDescent="0.25">
      <c r="A13" s="21"/>
      <c r="B13" s="40">
        <v>42164</v>
      </c>
      <c r="C13" s="46">
        <f>235+139.75+138+60</f>
        <v>572.75</v>
      </c>
      <c r="D13" s="96" t="s">
        <v>526</v>
      </c>
      <c r="E13" s="28">
        <v>42164</v>
      </c>
      <c r="F13" s="52">
        <v>22223</v>
      </c>
      <c r="G13" s="25"/>
      <c r="H13" s="29">
        <v>42164</v>
      </c>
      <c r="I13" s="62">
        <f>1200+20+529.47</f>
        <v>1749.47</v>
      </c>
      <c r="J13" s="82"/>
      <c r="K13" s="73" t="s">
        <v>506</v>
      </c>
      <c r="L13" s="52">
        <v>0</v>
      </c>
      <c r="M13" s="395" t="s">
        <v>527</v>
      </c>
      <c r="N13" s="116">
        <v>19900</v>
      </c>
      <c r="O13" s="450"/>
    </row>
    <row r="14" spans="1:19" x14ac:dyDescent="0.25">
      <c r="A14" s="21"/>
      <c r="B14" s="40">
        <v>42165</v>
      </c>
      <c r="C14" s="46">
        <v>310.5</v>
      </c>
      <c r="D14" s="30" t="s">
        <v>22</v>
      </c>
      <c r="E14" s="28">
        <v>42165</v>
      </c>
      <c r="F14" s="52">
        <v>26582</v>
      </c>
      <c r="G14" s="25"/>
      <c r="H14" s="29">
        <v>42165</v>
      </c>
      <c r="I14" s="62">
        <v>147</v>
      </c>
      <c r="J14" s="82"/>
      <c r="K14" s="165" t="s">
        <v>268</v>
      </c>
      <c r="L14" s="52">
        <v>0</v>
      </c>
      <c r="M14" s="395" t="s">
        <v>530</v>
      </c>
      <c r="N14" s="116">
        <v>23425</v>
      </c>
      <c r="O14" s="450"/>
    </row>
    <row r="15" spans="1:19" x14ac:dyDescent="0.25">
      <c r="A15" s="21"/>
      <c r="B15" s="40">
        <v>42166</v>
      </c>
      <c r="C15" s="46">
        <v>471</v>
      </c>
      <c r="D15" s="96" t="s">
        <v>83</v>
      </c>
      <c r="E15" s="28">
        <v>42166</v>
      </c>
      <c r="F15" s="52">
        <v>29249.45</v>
      </c>
      <c r="G15" s="25"/>
      <c r="H15" s="29">
        <v>42166</v>
      </c>
      <c r="I15" s="62">
        <v>20</v>
      </c>
      <c r="J15" s="82"/>
      <c r="K15" s="73" t="s">
        <v>57</v>
      </c>
      <c r="L15" s="52">
        <v>0</v>
      </c>
      <c r="M15" s="395" t="s">
        <v>532</v>
      </c>
      <c r="N15" s="116">
        <v>34581</v>
      </c>
      <c r="O15" s="336"/>
    </row>
    <row r="16" spans="1:19" ht="15.75" thickBot="1" x14ac:dyDescent="0.3">
      <c r="A16" s="21"/>
      <c r="B16" s="40">
        <v>42167</v>
      </c>
      <c r="C16" s="46">
        <v>498</v>
      </c>
      <c r="D16" s="96" t="s">
        <v>83</v>
      </c>
      <c r="E16" s="28">
        <v>42167</v>
      </c>
      <c r="F16" s="52">
        <v>57429.5</v>
      </c>
      <c r="G16" s="25"/>
      <c r="H16" s="29">
        <v>42167</v>
      </c>
      <c r="I16" s="62">
        <v>350</v>
      </c>
      <c r="J16" s="82"/>
      <c r="K16" s="192" t="s">
        <v>576</v>
      </c>
      <c r="L16" s="490">
        <v>4466</v>
      </c>
      <c r="M16" s="395" t="s">
        <v>533</v>
      </c>
      <c r="N16" s="116">
        <v>56581.5</v>
      </c>
      <c r="O16" s="336"/>
    </row>
    <row r="17" spans="1:19" x14ac:dyDescent="0.25">
      <c r="A17" s="21"/>
      <c r="B17" s="40">
        <v>42168</v>
      </c>
      <c r="C17" s="46">
        <v>880</v>
      </c>
      <c r="D17" s="30" t="s">
        <v>534</v>
      </c>
      <c r="E17" s="28">
        <v>42168</v>
      </c>
      <c r="F17" s="52">
        <v>53937.7</v>
      </c>
      <c r="G17" s="25"/>
      <c r="H17" s="29">
        <v>42168</v>
      </c>
      <c r="I17" s="62">
        <v>1570</v>
      </c>
      <c r="J17" s="82"/>
      <c r="K17" s="820" t="s">
        <v>529</v>
      </c>
      <c r="L17" s="490">
        <v>2500</v>
      </c>
      <c r="M17" s="395" t="s">
        <v>535</v>
      </c>
      <c r="N17" s="116">
        <v>50950</v>
      </c>
      <c r="O17" s="336"/>
    </row>
    <row r="18" spans="1:19" ht="15.75" thickBot="1" x14ac:dyDescent="0.3">
      <c r="A18" s="21"/>
      <c r="B18" s="40">
        <v>42169</v>
      </c>
      <c r="C18" s="46">
        <v>800</v>
      </c>
      <c r="D18" s="30" t="s">
        <v>536</v>
      </c>
      <c r="E18" s="28">
        <v>42169</v>
      </c>
      <c r="F18" s="52">
        <v>39898.629999999997</v>
      </c>
      <c r="G18" s="25"/>
      <c r="H18" s="29">
        <v>42169</v>
      </c>
      <c r="I18" s="62">
        <v>0</v>
      </c>
      <c r="J18" s="82"/>
      <c r="K18" s="821"/>
      <c r="L18" s="538">
        <v>0</v>
      </c>
      <c r="M18" s="395" t="s">
        <v>537</v>
      </c>
      <c r="N18" s="116">
        <v>34140</v>
      </c>
      <c r="O18" s="336"/>
    </row>
    <row r="19" spans="1:19" x14ac:dyDescent="0.25">
      <c r="A19" s="21"/>
      <c r="B19" s="40">
        <v>42170</v>
      </c>
      <c r="C19" s="46">
        <v>0</v>
      </c>
      <c r="D19" s="96"/>
      <c r="E19" s="28">
        <v>42170</v>
      </c>
      <c r="F19" s="52">
        <v>32690</v>
      </c>
      <c r="G19" s="25"/>
      <c r="H19" s="29">
        <v>42170</v>
      </c>
      <c r="I19" s="62">
        <v>25</v>
      </c>
      <c r="J19" s="82"/>
      <c r="K19" s="286" t="s">
        <v>386</v>
      </c>
      <c r="L19" s="538">
        <v>0</v>
      </c>
      <c r="M19" s="395" t="s">
        <v>538</v>
      </c>
      <c r="N19" s="116">
        <v>32665</v>
      </c>
      <c r="O19" s="450"/>
    </row>
    <row r="20" spans="1:19" x14ac:dyDescent="0.25">
      <c r="A20" s="21"/>
      <c r="B20" s="40">
        <v>42171</v>
      </c>
      <c r="C20" s="46">
        <v>0</v>
      </c>
      <c r="D20" s="30"/>
      <c r="E20" s="28">
        <v>42171</v>
      </c>
      <c r="F20" s="52">
        <v>32855.199999999997</v>
      </c>
      <c r="G20" s="25"/>
      <c r="H20" s="29">
        <v>42171</v>
      </c>
      <c r="I20" s="63">
        <v>580.24</v>
      </c>
      <c r="J20" s="82"/>
      <c r="K20" s="486" t="s">
        <v>111</v>
      </c>
      <c r="L20" s="490">
        <v>0</v>
      </c>
      <c r="M20" s="395" t="s">
        <v>540</v>
      </c>
      <c r="N20" s="116">
        <v>32275</v>
      </c>
      <c r="O20" s="336"/>
    </row>
    <row r="21" spans="1:19" x14ac:dyDescent="0.25">
      <c r="A21" s="21"/>
      <c r="B21" s="40">
        <v>42172</v>
      </c>
      <c r="C21" s="46">
        <v>1468</v>
      </c>
      <c r="D21" s="30" t="s">
        <v>544</v>
      </c>
      <c r="E21" s="28">
        <v>42172</v>
      </c>
      <c r="F21" s="52">
        <v>40902</v>
      </c>
      <c r="G21" s="25"/>
      <c r="H21" s="29">
        <v>42172</v>
      </c>
      <c r="I21" s="63">
        <v>62</v>
      </c>
      <c r="J21" s="82"/>
      <c r="K21" s="487" t="s">
        <v>575</v>
      </c>
      <c r="L21" s="490">
        <v>23542.2</v>
      </c>
      <c r="M21" s="395" t="s">
        <v>542</v>
      </c>
      <c r="N21" s="116">
        <v>38573</v>
      </c>
      <c r="O21" s="336"/>
    </row>
    <row r="22" spans="1:19" x14ac:dyDescent="0.25">
      <c r="A22" s="21"/>
      <c r="B22" s="40">
        <v>42173</v>
      </c>
      <c r="C22" s="46">
        <v>476</v>
      </c>
      <c r="D22" s="96" t="s">
        <v>83</v>
      </c>
      <c r="E22" s="28">
        <v>42173</v>
      </c>
      <c r="F22" s="52">
        <v>24823.4</v>
      </c>
      <c r="G22" s="25"/>
      <c r="H22" s="29">
        <v>42173</v>
      </c>
      <c r="I22" s="63">
        <v>56</v>
      </c>
      <c r="J22" s="149"/>
      <c r="K22" s="491" t="s">
        <v>541</v>
      </c>
      <c r="L22" s="490">
        <v>800</v>
      </c>
      <c r="M22" s="395" t="s">
        <v>543</v>
      </c>
      <c r="N22" s="116">
        <v>20291</v>
      </c>
      <c r="O22" s="336"/>
    </row>
    <row r="23" spans="1:19" x14ac:dyDescent="0.25">
      <c r="A23" s="21"/>
      <c r="B23" s="40">
        <v>42174</v>
      </c>
      <c r="C23" s="46">
        <v>458</v>
      </c>
      <c r="D23" s="96" t="s">
        <v>83</v>
      </c>
      <c r="E23" s="28">
        <v>42174</v>
      </c>
      <c r="F23" s="52">
        <v>70761</v>
      </c>
      <c r="G23" s="25"/>
      <c r="H23" s="29">
        <v>42174</v>
      </c>
      <c r="I23" s="63">
        <v>0</v>
      </c>
      <c r="J23" s="81"/>
      <c r="K23" s="488" t="s">
        <v>507</v>
      </c>
      <c r="L23" s="567">
        <f>51900+24700+31610+7500</f>
        <v>115710</v>
      </c>
      <c r="M23" s="395" t="s">
        <v>546</v>
      </c>
      <c r="N23" s="116">
        <v>65103</v>
      </c>
      <c r="O23" s="336"/>
    </row>
    <row r="24" spans="1:19" x14ac:dyDescent="0.25">
      <c r="A24" s="21"/>
      <c r="B24" s="40">
        <v>42175</v>
      </c>
      <c r="C24" s="46">
        <v>1379.78</v>
      </c>
      <c r="D24" s="96" t="s">
        <v>547</v>
      </c>
      <c r="E24" s="28">
        <v>42175</v>
      </c>
      <c r="F24" s="52">
        <v>83264.98</v>
      </c>
      <c r="G24" s="25"/>
      <c r="H24" s="29">
        <v>42175</v>
      </c>
      <c r="I24" s="63">
        <v>110</v>
      </c>
      <c r="J24" s="82"/>
      <c r="K24" s="489" t="s">
        <v>508</v>
      </c>
      <c r="L24" s="490">
        <v>0</v>
      </c>
      <c r="M24" s="395" t="s">
        <v>548</v>
      </c>
      <c r="N24" s="116">
        <v>81776.5</v>
      </c>
      <c r="O24" s="336"/>
    </row>
    <row r="25" spans="1:19" x14ac:dyDescent="0.25">
      <c r="A25" s="21"/>
      <c r="B25" s="40">
        <v>42176</v>
      </c>
      <c r="C25" s="46">
        <v>0</v>
      </c>
      <c r="D25" s="30"/>
      <c r="E25" s="28">
        <v>42176</v>
      </c>
      <c r="F25" s="52">
        <v>47393.84</v>
      </c>
      <c r="G25" s="25"/>
      <c r="H25" s="29">
        <v>42176</v>
      </c>
      <c r="I25" s="63">
        <v>0</v>
      </c>
      <c r="J25" s="81"/>
      <c r="K25" s="489" t="s">
        <v>509</v>
      </c>
      <c r="L25" s="490">
        <f>2200+992.96</f>
        <v>3192.96</v>
      </c>
      <c r="M25" s="395" t="s">
        <v>549</v>
      </c>
      <c r="N25" s="116">
        <v>42035.839999999997</v>
      </c>
      <c r="O25" s="565">
        <v>9835.84</v>
      </c>
      <c r="P25" s="692" t="s">
        <v>702</v>
      </c>
    </row>
    <row r="26" spans="1:19" x14ac:dyDescent="0.25">
      <c r="A26" s="21"/>
      <c r="B26" s="40">
        <v>42177</v>
      </c>
      <c r="C26" s="46">
        <f>317+312</f>
        <v>629</v>
      </c>
      <c r="D26" s="30" t="s">
        <v>559</v>
      </c>
      <c r="E26" s="28">
        <v>42177</v>
      </c>
      <c r="F26" s="52">
        <v>32907.5</v>
      </c>
      <c r="G26" s="25"/>
      <c r="H26" s="29">
        <v>42177</v>
      </c>
      <c r="I26" s="63">
        <v>52</v>
      </c>
      <c r="J26" s="98"/>
      <c r="K26" s="535" t="s">
        <v>539</v>
      </c>
      <c r="L26" s="490">
        <v>0</v>
      </c>
      <c r="M26" s="395" t="s">
        <v>600</v>
      </c>
      <c r="N26" s="116">
        <v>20890.5</v>
      </c>
      <c r="R26" s="650" t="s">
        <v>564</v>
      </c>
      <c r="S26" s="551"/>
    </row>
    <row r="27" spans="1:19" x14ac:dyDescent="0.25">
      <c r="A27" s="21"/>
      <c r="B27" s="40">
        <v>42178</v>
      </c>
      <c r="C27" s="46">
        <f>373+368+9</f>
        <v>750</v>
      </c>
      <c r="D27" s="96" t="s">
        <v>524</v>
      </c>
      <c r="E27" s="28">
        <v>42178</v>
      </c>
      <c r="F27" s="52">
        <v>19791.509999999998</v>
      </c>
      <c r="G27" s="25"/>
      <c r="H27" s="29">
        <v>42178</v>
      </c>
      <c r="I27" s="63">
        <f>560.44+250+134</f>
        <v>944.44</v>
      </c>
      <c r="J27" s="81"/>
      <c r="K27" s="488" t="s">
        <v>514</v>
      </c>
      <c r="L27" s="490">
        <v>9800</v>
      </c>
      <c r="M27" s="395" t="s">
        <v>600</v>
      </c>
      <c r="N27" s="116">
        <v>18097.07</v>
      </c>
      <c r="O27" s="565">
        <v>1300</v>
      </c>
      <c r="P27" s="692" t="s">
        <v>702</v>
      </c>
      <c r="R27" t="s">
        <v>560</v>
      </c>
    </row>
    <row r="28" spans="1:19" x14ac:dyDescent="0.25">
      <c r="A28" s="21"/>
      <c r="B28" s="40">
        <v>42179</v>
      </c>
      <c r="C28" s="46">
        <v>440</v>
      </c>
      <c r="D28" s="30" t="s">
        <v>44</v>
      </c>
      <c r="E28" s="28">
        <v>42179</v>
      </c>
      <c r="F28" s="52">
        <v>33693.33</v>
      </c>
      <c r="G28" s="25"/>
      <c r="H28" s="29">
        <v>42179</v>
      </c>
      <c r="I28" s="63">
        <v>71.33</v>
      </c>
      <c r="J28" s="81"/>
      <c r="K28" s="568" t="s">
        <v>577</v>
      </c>
      <c r="L28" s="490">
        <v>4000</v>
      </c>
      <c r="M28" s="395" t="s">
        <v>600</v>
      </c>
      <c r="N28" s="116">
        <v>33181</v>
      </c>
      <c r="R28" s="336" t="s">
        <v>561</v>
      </c>
    </row>
    <row r="29" spans="1:19" x14ac:dyDescent="0.25">
      <c r="A29" s="21"/>
      <c r="B29" s="40">
        <v>42180</v>
      </c>
      <c r="C29" s="46">
        <v>494.5</v>
      </c>
      <c r="D29" s="30" t="s">
        <v>562</v>
      </c>
      <c r="E29" s="28">
        <v>42180</v>
      </c>
      <c r="F29" s="52">
        <v>25057.9</v>
      </c>
      <c r="G29" s="25"/>
      <c r="H29" s="29">
        <v>42180</v>
      </c>
      <c r="I29" s="63">
        <v>248.4</v>
      </c>
      <c r="J29" s="81"/>
      <c r="K29" s="653" t="s">
        <v>518</v>
      </c>
      <c r="L29" s="539">
        <f>17330+4000+1500</f>
        <v>22830</v>
      </c>
      <c r="M29" s="361" t="s">
        <v>600</v>
      </c>
      <c r="N29" s="116">
        <v>24315</v>
      </c>
      <c r="O29" s="336"/>
    </row>
    <row r="30" spans="1:19" ht="15.75" thickBot="1" x14ac:dyDescent="0.3">
      <c r="A30" s="21"/>
      <c r="B30" s="40">
        <v>42181</v>
      </c>
      <c r="C30" s="46">
        <f>712+3279.38</f>
        <v>3991.38</v>
      </c>
      <c r="D30" s="30"/>
      <c r="E30" s="28">
        <v>42181</v>
      </c>
      <c r="F30" s="52">
        <v>54909.16</v>
      </c>
      <c r="G30" s="25"/>
      <c r="H30" s="29">
        <v>42181</v>
      </c>
      <c r="I30" s="63">
        <v>0</v>
      </c>
      <c r="J30" s="98"/>
      <c r="K30" s="27">
        <v>42158</v>
      </c>
      <c r="L30" s="539"/>
      <c r="M30" s="395" t="s">
        <v>600</v>
      </c>
      <c r="N30" s="116">
        <v>45918</v>
      </c>
      <c r="O30" s="336"/>
    </row>
    <row r="31" spans="1:19" x14ac:dyDescent="0.25">
      <c r="A31" s="21"/>
      <c r="B31" s="40">
        <v>42182</v>
      </c>
      <c r="C31" s="46">
        <f>250+6740.4</f>
        <v>6990.4</v>
      </c>
      <c r="D31" s="30" t="s">
        <v>565</v>
      </c>
      <c r="E31" s="28">
        <v>42182</v>
      </c>
      <c r="F31" s="52">
        <v>52652.78</v>
      </c>
      <c r="G31" s="25"/>
      <c r="H31" s="29">
        <v>42182</v>
      </c>
      <c r="I31" s="63">
        <v>35</v>
      </c>
      <c r="J31" s="82"/>
      <c r="K31" s="540" t="s">
        <v>545</v>
      </c>
      <c r="L31" s="822">
        <f>2500+5000</f>
        <v>7500</v>
      </c>
      <c r="M31" s="395" t="s">
        <v>600</v>
      </c>
      <c r="N31" s="116">
        <v>45627</v>
      </c>
      <c r="O31" s="450"/>
    </row>
    <row r="32" spans="1:19" ht="15.75" thickBot="1" x14ac:dyDescent="0.3">
      <c r="A32" s="21"/>
      <c r="B32" s="40">
        <v>42183</v>
      </c>
      <c r="C32" s="46">
        <v>0</v>
      </c>
      <c r="D32" s="30"/>
      <c r="E32" s="28">
        <v>42183</v>
      </c>
      <c r="F32" s="52">
        <v>34995.29</v>
      </c>
      <c r="G32" s="25"/>
      <c r="H32" s="29">
        <v>42183</v>
      </c>
      <c r="I32" s="63">
        <v>581.13</v>
      </c>
      <c r="J32" s="81"/>
      <c r="K32" s="541" t="s">
        <v>531</v>
      </c>
      <c r="L32" s="823"/>
      <c r="M32" s="395" t="s">
        <v>600</v>
      </c>
      <c r="N32" s="116">
        <v>28207</v>
      </c>
      <c r="O32" s="336"/>
    </row>
    <row r="33" spans="1:15" x14ac:dyDescent="0.25">
      <c r="A33" s="21"/>
      <c r="B33" s="40">
        <v>42184</v>
      </c>
      <c r="C33" s="46">
        <v>270</v>
      </c>
      <c r="D33" s="96" t="s">
        <v>22</v>
      </c>
      <c r="E33" s="28">
        <v>42184</v>
      </c>
      <c r="F33" s="52">
        <v>30752</v>
      </c>
      <c r="G33" s="25"/>
      <c r="H33" s="29">
        <v>42184</v>
      </c>
      <c r="I33" s="63">
        <v>1225</v>
      </c>
      <c r="J33" s="82" t="s">
        <v>601</v>
      </c>
      <c r="K33" s="651" t="s">
        <v>557</v>
      </c>
      <c r="L33" s="824">
        <v>6256</v>
      </c>
      <c r="M33" s="395" t="s">
        <v>600</v>
      </c>
      <c r="N33" s="116">
        <v>29257</v>
      </c>
      <c r="O33" s="336"/>
    </row>
    <row r="34" spans="1:15" ht="15.75" thickBot="1" x14ac:dyDescent="0.3">
      <c r="A34" s="21"/>
      <c r="B34" s="40">
        <v>42185</v>
      </c>
      <c r="C34" s="46">
        <v>700</v>
      </c>
      <c r="D34" s="30" t="s">
        <v>366</v>
      </c>
      <c r="E34" s="28">
        <v>42185</v>
      </c>
      <c r="F34" s="52">
        <v>34130.42</v>
      </c>
      <c r="G34" s="25"/>
      <c r="H34" s="29">
        <v>42185</v>
      </c>
      <c r="I34" s="63">
        <v>250</v>
      </c>
      <c r="J34" s="82" t="s">
        <v>602</v>
      </c>
      <c r="K34" s="652" t="s">
        <v>558</v>
      </c>
      <c r="L34" s="825"/>
      <c r="M34" s="395" t="s">
        <v>600</v>
      </c>
      <c r="N34" s="116">
        <v>33184</v>
      </c>
      <c r="O34" s="450"/>
    </row>
    <row r="35" spans="1:15" ht="16.5" thickTop="1" thickBot="1" x14ac:dyDescent="0.3">
      <c r="A35" s="21"/>
      <c r="B35" s="40"/>
      <c r="C35" s="46"/>
      <c r="D35" s="96"/>
      <c r="E35" s="28"/>
      <c r="F35" s="52"/>
      <c r="G35" s="25"/>
      <c r="H35" s="29"/>
      <c r="I35" s="63"/>
      <c r="J35" s="81"/>
      <c r="K35" s="826" t="s">
        <v>563</v>
      </c>
      <c r="L35" s="68">
        <v>5000</v>
      </c>
      <c r="M35" s="174"/>
      <c r="N35" s="116"/>
    </row>
    <row r="36" spans="1:15" ht="15.75" thickBot="1" x14ac:dyDescent="0.3">
      <c r="A36" s="15"/>
      <c r="B36" s="145"/>
      <c r="C36" s="146">
        <v>0</v>
      </c>
      <c r="D36" s="156"/>
      <c r="E36" s="28"/>
      <c r="F36" s="52">
        <v>0</v>
      </c>
      <c r="G36" s="25"/>
      <c r="H36" s="147"/>
      <c r="I36" s="148">
        <v>0</v>
      </c>
      <c r="J36" s="56"/>
      <c r="K36" s="827"/>
      <c r="L36" s="7"/>
      <c r="M36" s="72"/>
      <c r="N36" s="115"/>
    </row>
    <row r="37" spans="1:15" ht="16.5" thickBot="1" x14ac:dyDescent="0.3">
      <c r="A37" s="99"/>
      <c r="B37" s="42"/>
      <c r="C37" s="48">
        <v>0</v>
      </c>
      <c r="D37" s="156"/>
      <c r="E37" s="9"/>
      <c r="F37" s="54">
        <v>0</v>
      </c>
      <c r="H37" s="32"/>
      <c r="I37" s="65">
        <v>0</v>
      </c>
      <c r="J37" s="56"/>
      <c r="K37" s="17"/>
      <c r="L37" s="117"/>
      <c r="M37" s="818">
        <f>SUM(N5:N36)</f>
        <v>1086181.4099999999</v>
      </c>
      <c r="N37" s="819"/>
    </row>
    <row r="38" spans="1:15" x14ac:dyDescent="0.25">
      <c r="B38" s="43" t="s">
        <v>1</v>
      </c>
      <c r="C38" s="49">
        <f>SUM(C5:C37)</f>
        <v>29100.809999999998</v>
      </c>
      <c r="E38" s="507" t="s">
        <v>1</v>
      </c>
      <c r="F38" s="55">
        <f>SUM(F5:F37)</f>
        <v>1202646.44</v>
      </c>
      <c r="H38" s="509" t="s">
        <v>1</v>
      </c>
      <c r="I38" s="59">
        <f>SUM(I5:I37)</f>
        <v>9452.9199999999983</v>
      </c>
      <c r="J38" s="59"/>
      <c r="K38" s="18" t="s">
        <v>1</v>
      </c>
      <c r="L38" s="4">
        <f>SUM(L5:L37)</f>
        <v>286570.3</v>
      </c>
      <c r="M38" s="72"/>
    </row>
    <row r="39" spans="1:15" x14ac:dyDescent="0.25">
      <c r="M39" s="72"/>
    </row>
    <row r="40" spans="1:15" ht="15.75" x14ac:dyDescent="0.25">
      <c r="A40" s="5"/>
      <c r="B40" s="280"/>
      <c r="C40" s="81"/>
      <c r="D40" s="157"/>
      <c r="E40" s="13"/>
      <c r="F40" s="56"/>
      <c r="H40" s="785" t="s">
        <v>11</v>
      </c>
      <c r="I40" s="786"/>
      <c r="J40" s="508"/>
      <c r="K40" s="787">
        <f>I38+L38</f>
        <v>296023.21999999997</v>
      </c>
      <c r="L40" s="788"/>
      <c r="M40" s="72"/>
    </row>
    <row r="41" spans="1:15" ht="15.75" x14ac:dyDescent="0.25">
      <c r="B41" s="281"/>
      <c r="C41" s="56"/>
      <c r="D41" s="779" t="s">
        <v>12</v>
      </c>
      <c r="E41" s="779"/>
      <c r="F41" s="57">
        <f>F38-K40</f>
        <v>906623.22</v>
      </c>
      <c r="I41" s="66"/>
      <c r="J41" s="66"/>
      <c r="M41" s="72"/>
    </row>
    <row r="42" spans="1:15" ht="15.75" x14ac:dyDescent="0.25">
      <c r="D42" s="805" t="s">
        <v>246</v>
      </c>
      <c r="E42" s="805"/>
      <c r="F42" s="57">
        <v>-1055707.4099999999</v>
      </c>
      <c r="I42" s="66"/>
      <c r="J42" s="66" t="s">
        <v>17</v>
      </c>
      <c r="M42" s="72"/>
    </row>
    <row r="43" spans="1:15" ht="15.75" thickBot="1" x14ac:dyDescent="0.3">
      <c r="D43" s="159"/>
      <c r="E43" s="120" t="s">
        <v>0</v>
      </c>
      <c r="F43" s="121">
        <f>-C38</f>
        <v>-29100.809999999998</v>
      </c>
    </row>
    <row r="44" spans="1:15" ht="15.75" thickTop="1" x14ac:dyDescent="0.25">
      <c r="C44" s="44" t="s">
        <v>17</v>
      </c>
      <c r="E44" s="5" t="s">
        <v>15</v>
      </c>
      <c r="F44" s="59">
        <f>SUM(F41:F43)</f>
        <v>-178184.99999999994</v>
      </c>
      <c r="I44" s="813" t="s">
        <v>248</v>
      </c>
      <c r="J44" s="814"/>
      <c r="K44" s="803">
        <f>F48+L46</f>
        <v>-33958.53999999995</v>
      </c>
      <c r="L44" s="795"/>
    </row>
    <row r="45" spans="1:15" ht="15.75" thickBot="1" x14ac:dyDescent="0.3">
      <c r="D45" s="265" t="s">
        <v>253</v>
      </c>
      <c r="E45" s="5" t="s">
        <v>247</v>
      </c>
      <c r="F45" s="569">
        <v>0</v>
      </c>
      <c r="I45" s="815"/>
      <c r="J45" s="816"/>
      <c r="K45" s="804"/>
      <c r="L45" s="796"/>
      <c r="M45" s="110"/>
    </row>
    <row r="46" spans="1:15" ht="17.25" thickTop="1" thickBot="1" x14ac:dyDescent="0.3">
      <c r="C46" s="55"/>
      <c r="D46" s="778" t="s">
        <v>13</v>
      </c>
      <c r="E46" s="778"/>
      <c r="F46" s="60">
        <v>144226.46</v>
      </c>
      <c r="I46" s="790"/>
      <c r="J46" s="790"/>
      <c r="K46" s="812"/>
      <c r="L46" s="34"/>
    </row>
    <row r="47" spans="1:15" ht="19.5" thickBot="1" x14ac:dyDescent="0.35">
      <c r="C47" s="55"/>
      <c r="D47" s="507"/>
      <c r="E47" s="507"/>
      <c r="F47" s="139"/>
      <c r="H47" s="19"/>
      <c r="I47" s="510" t="s">
        <v>254</v>
      </c>
      <c r="J47" s="510"/>
      <c r="K47" s="806">
        <v>119129.63</v>
      </c>
      <c r="L47" s="807"/>
    </row>
    <row r="48" spans="1:15" ht="17.25" thickTop="1" thickBot="1" x14ac:dyDescent="0.3">
      <c r="E48" s="6" t="s">
        <v>16</v>
      </c>
      <c r="F48" s="264">
        <f>F44+F45+F46</f>
        <v>-33958.53999999995</v>
      </c>
    </row>
    <row r="49" spans="2:14" customFormat="1" ht="19.5" thickBot="1" x14ac:dyDescent="0.35">
      <c r="D49" s="777"/>
      <c r="E49" s="777"/>
      <c r="F49" s="56"/>
      <c r="I49" s="810" t="s">
        <v>603</v>
      </c>
      <c r="J49" s="811"/>
      <c r="K49" s="808">
        <f>K44-K47</f>
        <v>-153088.16999999995</v>
      </c>
      <c r="L49" s="809"/>
      <c r="N49" s="113"/>
    </row>
    <row r="50" spans="2:14" customFormat="1" x14ac:dyDescent="0.25">
      <c r="D50" s="155"/>
      <c r="F50" s="44"/>
      <c r="I50" s="44"/>
      <c r="J50" s="44"/>
      <c r="M50" s="107"/>
      <c r="N50" s="113"/>
    </row>
    <row r="51" spans="2:14" customFormat="1" x14ac:dyDescent="0.25">
      <c r="D51" s="155"/>
      <c r="F51" s="44"/>
      <c r="I51" s="44"/>
      <c r="J51" s="44"/>
      <c r="N51" s="44"/>
    </row>
    <row r="52" spans="2:14" customFormat="1" x14ac:dyDescent="0.25">
      <c r="D52" s="155"/>
    </row>
    <row r="53" spans="2:14" customFormat="1" x14ac:dyDescent="0.25">
      <c r="D53" s="155"/>
      <c r="F53" s="44"/>
      <c r="I53" s="44"/>
      <c r="J53" s="44"/>
      <c r="N53" s="44"/>
    </row>
    <row r="54" spans="2:14" customFormat="1" x14ac:dyDescent="0.25">
      <c r="B54" s="38"/>
      <c r="C54" s="44"/>
      <c r="D54" s="155"/>
      <c r="F54" s="44"/>
      <c r="I54" s="44"/>
      <c r="J54" s="44"/>
      <c r="N54" s="56"/>
    </row>
    <row r="55" spans="2:14" customFormat="1" x14ac:dyDescent="0.25">
      <c r="B55" s="38"/>
      <c r="C55" s="44"/>
      <c r="D55" s="155"/>
      <c r="F55" s="44"/>
      <c r="I55" s="44"/>
      <c r="J55" s="44"/>
      <c r="N55" s="56"/>
    </row>
    <row r="56" spans="2:14" customFormat="1" x14ac:dyDescent="0.25">
      <c r="B56" s="38"/>
      <c r="C56" s="44"/>
      <c r="D56" s="155"/>
      <c r="F56" s="44"/>
      <c r="I56" s="44"/>
      <c r="J56" s="44"/>
      <c r="N56" s="56"/>
    </row>
    <row r="57" spans="2:14" customFormat="1" x14ac:dyDescent="0.25">
      <c r="B57" s="38"/>
      <c r="C57" s="44"/>
      <c r="D57" s="155"/>
      <c r="F57" s="44"/>
      <c r="I57" s="44"/>
      <c r="J57" s="44"/>
      <c r="N57" s="56"/>
    </row>
  </sheetData>
  <mergeCells count="20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C1:K1"/>
    <mergeCell ref="E4:F4"/>
    <mergeCell ref="I4:L4"/>
    <mergeCell ref="M37:N37"/>
    <mergeCell ref="H40:I40"/>
    <mergeCell ref="K40:L40"/>
    <mergeCell ref="K17:K18"/>
    <mergeCell ref="L31:L32"/>
    <mergeCell ref="L33:L34"/>
    <mergeCell ref="K35:K36"/>
  </mergeCells>
  <pageMargins left="0.31496062992125984" right="0.11811023622047245" top="0.35433070866141736" bottom="0.15748031496062992" header="0.31496062992125984" footer="0.31496062992125984"/>
  <pageSetup scale="75" orientation="landscape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86"/>
  <sheetViews>
    <sheetView topLeftCell="A46" workbookViewId="0">
      <selection activeCell="D31" sqref="D31"/>
    </sheetView>
  </sheetViews>
  <sheetFormatPr baseColWidth="10" defaultRowHeight="15" x14ac:dyDescent="0.25"/>
  <cols>
    <col min="1" max="1" width="12.5703125" style="5" bestFit="1" customWidth="1"/>
    <col min="2" max="2" width="12.85546875" bestFit="1" customWidth="1"/>
    <col min="3" max="3" width="14.42578125" style="44" bestFit="1" customWidth="1"/>
    <col min="4" max="4" width="12.42578125" bestFit="1" customWidth="1"/>
    <col min="5" max="5" width="14.140625" style="336" bestFit="1" customWidth="1"/>
    <col min="6" max="6" width="18.5703125" style="336" bestFit="1" customWidth="1"/>
    <col min="10" max="10" width="16.7109375" customWidth="1"/>
    <col min="13" max="13" width="15" style="5" customWidth="1"/>
    <col min="14" max="14" width="12.28515625" style="5" bestFit="1" customWidth="1"/>
    <col min="15" max="15" width="11.5703125" bestFit="1" customWidth="1"/>
  </cols>
  <sheetData>
    <row r="1" spans="1:15" ht="19.5" thickBot="1" x14ac:dyDescent="0.35">
      <c r="B1" s="204" t="s">
        <v>501</v>
      </c>
      <c r="J1" s="474" t="s">
        <v>205</v>
      </c>
      <c r="K1" s="204"/>
      <c r="L1" s="514"/>
      <c r="M1" s="463">
        <v>42172</v>
      </c>
      <c r="N1" s="276"/>
    </row>
    <row r="2" spans="1:15" ht="16.5" thickBot="1" x14ac:dyDescent="0.3">
      <c r="A2" s="511"/>
      <c r="B2" s="319"/>
      <c r="C2" s="512"/>
      <c r="D2" s="319"/>
      <c r="E2" s="513"/>
      <c r="F2" s="513"/>
      <c r="I2" s="205"/>
      <c r="J2" s="419"/>
      <c r="K2" s="205"/>
      <c r="L2" s="206"/>
      <c r="M2" s="419"/>
      <c r="N2" s="519"/>
    </row>
    <row r="3" spans="1:15" ht="15.75" x14ac:dyDescent="0.25">
      <c r="A3" s="411">
        <v>42157</v>
      </c>
      <c r="B3" s="412">
        <v>23045</v>
      </c>
      <c r="C3" s="450">
        <v>78393.990000000005</v>
      </c>
      <c r="D3" s="534">
        <v>42172</v>
      </c>
      <c r="E3" s="450">
        <v>78393.990000000005</v>
      </c>
      <c r="F3" s="413">
        <f t="shared" ref="F3:F35" si="0">C3-E3</f>
        <v>0</v>
      </c>
      <c r="G3" s="25"/>
      <c r="I3" s="212" t="s">
        <v>202</v>
      </c>
      <c r="J3" s="419" t="s">
        <v>195</v>
      </c>
      <c r="K3" s="205"/>
      <c r="L3" s="206" t="s">
        <v>203</v>
      </c>
      <c r="M3" s="419" t="s">
        <v>204</v>
      </c>
      <c r="N3" s="519"/>
    </row>
    <row r="4" spans="1:15" ht="15.75" x14ac:dyDescent="0.25">
      <c r="A4" s="249">
        <v>42158</v>
      </c>
      <c r="B4" s="483">
        <v>23111</v>
      </c>
      <c r="C4" s="450">
        <v>10705.2</v>
      </c>
      <c r="D4" s="534">
        <v>42172</v>
      </c>
      <c r="E4" s="450">
        <v>10705.2</v>
      </c>
      <c r="F4" s="296">
        <f t="shared" si="0"/>
        <v>0</v>
      </c>
      <c r="G4" s="25"/>
      <c r="I4" s="215">
        <v>21082</v>
      </c>
      <c r="J4" s="216">
        <v>2000</v>
      </c>
      <c r="K4" s="216"/>
      <c r="L4" s="331" t="s">
        <v>396</v>
      </c>
      <c r="M4" s="522">
        <v>31735</v>
      </c>
      <c r="N4" s="523">
        <v>42145</v>
      </c>
      <c r="O4" s="524">
        <v>42143</v>
      </c>
    </row>
    <row r="5" spans="1:15" ht="15.75" x14ac:dyDescent="0.25">
      <c r="A5" s="249">
        <v>42159</v>
      </c>
      <c r="B5" s="483">
        <v>23232</v>
      </c>
      <c r="C5" s="450">
        <v>60369.440000000002</v>
      </c>
      <c r="D5" s="534">
        <v>42172</v>
      </c>
      <c r="E5" s="450">
        <v>60369.440000000002</v>
      </c>
      <c r="F5" s="296">
        <f t="shared" si="0"/>
        <v>0</v>
      </c>
      <c r="G5" s="25"/>
      <c r="I5" s="233">
        <v>22591</v>
      </c>
      <c r="J5" s="234">
        <v>79033.09</v>
      </c>
      <c r="K5" s="234"/>
      <c r="L5" s="331" t="s">
        <v>396</v>
      </c>
      <c r="M5" s="522">
        <v>25650</v>
      </c>
      <c r="N5" s="523">
        <v>42145</v>
      </c>
      <c r="O5" s="524">
        <v>42144</v>
      </c>
    </row>
    <row r="6" spans="1:15" ht="15.75" x14ac:dyDescent="0.25">
      <c r="A6" s="249">
        <v>42161</v>
      </c>
      <c r="B6" s="483">
        <v>23354</v>
      </c>
      <c r="C6" s="450">
        <v>21736.799999999999</v>
      </c>
      <c r="D6" s="534">
        <v>42172</v>
      </c>
      <c r="E6" s="450">
        <v>21736.799999999999</v>
      </c>
      <c r="F6" s="296">
        <f t="shared" si="0"/>
        <v>0</v>
      </c>
      <c r="G6" s="25"/>
      <c r="I6" s="344">
        <v>22568</v>
      </c>
      <c r="J6" s="81">
        <v>4437.8</v>
      </c>
      <c r="K6" s="234"/>
      <c r="L6" s="331" t="s">
        <v>396</v>
      </c>
      <c r="M6" s="521">
        <v>9321</v>
      </c>
      <c r="N6" s="525">
        <v>42156</v>
      </c>
      <c r="O6" s="524">
        <v>42145</v>
      </c>
    </row>
    <row r="7" spans="1:15" ht="15.75" x14ac:dyDescent="0.25">
      <c r="A7" s="249">
        <v>42161</v>
      </c>
      <c r="B7" s="483">
        <v>23371</v>
      </c>
      <c r="C7" s="450">
        <v>79764.5</v>
      </c>
      <c r="D7" s="534">
        <v>42172</v>
      </c>
      <c r="E7" s="450">
        <v>79764.5</v>
      </c>
      <c r="F7" s="296">
        <f t="shared" si="0"/>
        <v>0</v>
      </c>
      <c r="G7" s="25"/>
      <c r="I7" s="344">
        <v>22660</v>
      </c>
      <c r="J7" s="81">
        <v>1350</v>
      </c>
      <c r="K7" s="234"/>
      <c r="L7" s="331" t="s">
        <v>396</v>
      </c>
      <c r="M7" s="522">
        <v>6511</v>
      </c>
      <c r="N7" s="523">
        <v>42156</v>
      </c>
      <c r="O7" s="524">
        <v>42150</v>
      </c>
    </row>
    <row r="8" spans="1:15" ht="15.75" x14ac:dyDescent="0.25">
      <c r="A8" s="249">
        <v>42163</v>
      </c>
      <c r="B8" s="483">
        <v>23541</v>
      </c>
      <c r="C8" s="450">
        <v>35664</v>
      </c>
      <c r="D8" s="534">
        <v>42172</v>
      </c>
      <c r="E8" s="450">
        <v>35664</v>
      </c>
      <c r="F8" s="296">
        <f t="shared" si="0"/>
        <v>0</v>
      </c>
      <c r="G8" s="25"/>
      <c r="I8" s="506">
        <v>22670</v>
      </c>
      <c r="J8" s="59">
        <v>3291.2</v>
      </c>
      <c r="K8" s="234"/>
      <c r="L8" s="331" t="s">
        <v>396</v>
      </c>
      <c r="M8" s="522">
        <v>27300</v>
      </c>
      <c r="N8" s="523">
        <v>42156</v>
      </c>
      <c r="O8" s="524">
        <v>42151</v>
      </c>
    </row>
    <row r="9" spans="1:15" ht="15.75" x14ac:dyDescent="0.25">
      <c r="A9" s="249">
        <v>42165</v>
      </c>
      <c r="B9" s="483">
        <v>23767</v>
      </c>
      <c r="C9" s="81">
        <v>6543.2</v>
      </c>
      <c r="D9" s="534">
        <v>42172</v>
      </c>
      <c r="E9" s="81">
        <v>6543.2</v>
      </c>
      <c r="F9" s="296">
        <f t="shared" si="0"/>
        <v>0</v>
      </c>
      <c r="G9" s="25"/>
      <c r="I9" s="506">
        <v>22739</v>
      </c>
      <c r="J9" s="59">
        <v>18724.72</v>
      </c>
      <c r="K9" s="235"/>
      <c r="L9" s="331" t="s">
        <v>396</v>
      </c>
      <c r="M9" s="521">
        <v>3939</v>
      </c>
      <c r="N9" s="525">
        <v>42159</v>
      </c>
      <c r="O9" s="524">
        <v>42151</v>
      </c>
    </row>
    <row r="10" spans="1:15" ht="15.75" x14ac:dyDescent="0.25">
      <c r="A10" s="249">
        <v>42166</v>
      </c>
      <c r="B10" s="344">
        <v>23856</v>
      </c>
      <c r="C10" s="81">
        <v>78369.14</v>
      </c>
      <c r="D10" s="534">
        <v>42172</v>
      </c>
      <c r="E10" s="81">
        <v>78369.14</v>
      </c>
      <c r="F10" s="296">
        <f t="shared" si="0"/>
        <v>0</v>
      </c>
      <c r="G10" s="25"/>
      <c r="I10" s="496">
        <v>22829</v>
      </c>
      <c r="J10" s="81">
        <v>68098.899999999994</v>
      </c>
      <c r="K10" s="230"/>
      <c r="L10" s="331" t="s">
        <v>396</v>
      </c>
      <c r="M10" s="522">
        <v>8604</v>
      </c>
      <c r="N10" s="523">
        <v>42156</v>
      </c>
      <c r="O10" s="524">
        <v>42153</v>
      </c>
    </row>
    <row r="11" spans="1:15" ht="15.75" x14ac:dyDescent="0.25">
      <c r="A11" s="249">
        <v>42166</v>
      </c>
      <c r="B11" s="344">
        <v>23858</v>
      </c>
      <c r="C11" s="81">
        <v>1457.5</v>
      </c>
      <c r="D11" s="534">
        <v>42172</v>
      </c>
      <c r="E11" s="81">
        <v>1457.5</v>
      </c>
      <c r="F11" s="297">
        <f t="shared" si="0"/>
        <v>0</v>
      </c>
      <c r="G11" s="25"/>
      <c r="I11" s="412">
        <v>23045</v>
      </c>
      <c r="J11" s="450">
        <v>78393.990000000005</v>
      </c>
      <c r="K11" s="230"/>
      <c r="L11" s="331" t="s">
        <v>396</v>
      </c>
      <c r="M11" s="521">
        <v>30000</v>
      </c>
      <c r="N11" s="525">
        <v>42156</v>
      </c>
      <c r="O11" s="524">
        <v>42153</v>
      </c>
    </row>
    <row r="12" spans="1:15" ht="15.75" x14ac:dyDescent="0.25">
      <c r="A12" s="249">
        <v>42167</v>
      </c>
      <c r="B12" s="344">
        <v>24012</v>
      </c>
      <c r="C12" s="81">
        <v>20202.54</v>
      </c>
      <c r="D12" s="564" t="s">
        <v>569</v>
      </c>
      <c r="E12" s="531">
        <f>5347.52+14855.02</f>
        <v>20202.54</v>
      </c>
      <c r="F12" s="297">
        <f t="shared" si="0"/>
        <v>0</v>
      </c>
      <c r="G12" s="25"/>
      <c r="I12" s="483">
        <v>23111</v>
      </c>
      <c r="J12" s="450">
        <v>10705.2</v>
      </c>
      <c r="K12" s="230"/>
      <c r="L12" s="331" t="s">
        <v>396</v>
      </c>
      <c r="M12" s="522">
        <v>74640</v>
      </c>
      <c r="N12" s="523">
        <v>42156</v>
      </c>
      <c r="O12" s="524">
        <v>42154</v>
      </c>
    </row>
    <row r="13" spans="1:15" ht="15.75" x14ac:dyDescent="0.25">
      <c r="A13" s="249">
        <v>42168</v>
      </c>
      <c r="B13" s="344">
        <v>24107</v>
      </c>
      <c r="C13" s="81">
        <v>77081.64</v>
      </c>
      <c r="D13" s="562">
        <v>42189</v>
      </c>
      <c r="E13" s="531">
        <v>77081.64</v>
      </c>
      <c r="F13" s="297">
        <f t="shared" si="0"/>
        <v>0</v>
      </c>
      <c r="G13" s="25"/>
      <c r="I13" s="483">
        <v>23232</v>
      </c>
      <c r="J13" s="450">
        <v>60369.440000000002</v>
      </c>
      <c r="K13" s="230"/>
      <c r="L13" s="331" t="s">
        <v>396</v>
      </c>
      <c r="M13" s="521">
        <v>11851</v>
      </c>
      <c r="N13" s="525">
        <v>42159</v>
      </c>
      <c r="O13" s="524">
        <v>42154</v>
      </c>
    </row>
    <row r="14" spans="1:15" ht="15.75" x14ac:dyDescent="0.25">
      <c r="A14" s="343">
        <v>42170</v>
      </c>
      <c r="B14" s="344">
        <v>24264</v>
      </c>
      <c r="C14" s="81">
        <v>14416.4</v>
      </c>
      <c r="D14" s="562">
        <v>42189</v>
      </c>
      <c r="E14" s="531">
        <v>14416.4</v>
      </c>
      <c r="F14" s="297">
        <f t="shared" si="0"/>
        <v>0</v>
      </c>
      <c r="G14" s="25"/>
      <c r="I14" s="483">
        <v>23354</v>
      </c>
      <c r="J14" s="450">
        <v>21736.799999999999</v>
      </c>
      <c r="K14" s="416"/>
      <c r="L14" s="331" t="s">
        <v>396</v>
      </c>
      <c r="M14" s="521">
        <v>35700</v>
      </c>
      <c r="N14" s="525">
        <v>42156</v>
      </c>
      <c r="O14" s="524">
        <v>42155</v>
      </c>
    </row>
    <row r="15" spans="1:15" ht="15.75" x14ac:dyDescent="0.25">
      <c r="A15" s="343">
        <v>42171</v>
      </c>
      <c r="B15" s="344">
        <v>24349</v>
      </c>
      <c r="C15" s="81">
        <v>1145</v>
      </c>
      <c r="D15" s="562">
        <v>42189</v>
      </c>
      <c r="E15" s="531">
        <v>1145</v>
      </c>
      <c r="F15" s="297">
        <f t="shared" si="0"/>
        <v>0</v>
      </c>
      <c r="G15" s="25"/>
      <c r="I15" s="483">
        <v>23371</v>
      </c>
      <c r="J15" s="450">
        <v>79764.5</v>
      </c>
      <c r="K15" s="416"/>
      <c r="L15" s="331" t="s">
        <v>396</v>
      </c>
      <c r="M15" s="521">
        <v>10027</v>
      </c>
      <c r="N15" s="525">
        <v>42159</v>
      </c>
      <c r="O15" s="524">
        <v>42155</v>
      </c>
    </row>
    <row r="16" spans="1:15" ht="15.75" x14ac:dyDescent="0.25">
      <c r="A16" s="343">
        <v>42171</v>
      </c>
      <c r="B16" s="344">
        <v>24381</v>
      </c>
      <c r="C16" s="81">
        <v>71111.740000000005</v>
      </c>
      <c r="D16" s="562">
        <v>42189</v>
      </c>
      <c r="E16" s="531">
        <v>71111.740000000005</v>
      </c>
      <c r="F16" s="297">
        <f t="shared" si="0"/>
        <v>0</v>
      </c>
      <c r="G16" s="25"/>
      <c r="I16" s="483">
        <v>23541</v>
      </c>
      <c r="J16" s="450">
        <v>35664</v>
      </c>
      <c r="K16" s="230"/>
      <c r="L16" s="331" t="s">
        <v>396</v>
      </c>
      <c r="M16" s="521">
        <v>16340</v>
      </c>
      <c r="N16" s="525">
        <v>42159</v>
      </c>
      <c r="O16" s="524">
        <v>42156</v>
      </c>
    </row>
    <row r="17" spans="1:15" ht="18.75" x14ac:dyDescent="0.3">
      <c r="A17" s="343">
        <v>42172</v>
      </c>
      <c r="B17" s="344">
        <v>24460</v>
      </c>
      <c r="C17" s="81">
        <v>14871.78</v>
      </c>
      <c r="D17" s="562">
        <v>42189</v>
      </c>
      <c r="E17" s="531">
        <v>14871.78</v>
      </c>
      <c r="F17" s="297">
        <f t="shared" si="0"/>
        <v>0</v>
      </c>
      <c r="G17" s="25"/>
      <c r="I17" s="483">
        <v>23767</v>
      </c>
      <c r="J17" s="81">
        <v>6543.2</v>
      </c>
      <c r="K17" s="460"/>
      <c r="L17" s="329" t="s">
        <v>396</v>
      </c>
      <c r="M17" s="526">
        <v>10442</v>
      </c>
      <c r="N17" s="527">
        <v>42167</v>
      </c>
      <c r="O17" s="524">
        <v>42156</v>
      </c>
    </row>
    <row r="18" spans="1:15" ht="15.75" x14ac:dyDescent="0.25">
      <c r="A18" s="343">
        <v>42173</v>
      </c>
      <c r="B18" s="344">
        <v>24570</v>
      </c>
      <c r="C18" s="81">
        <v>70692.86</v>
      </c>
      <c r="D18" s="562">
        <v>42189</v>
      </c>
      <c r="E18" s="531">
        <v>70692.86</v>
      </c>
      <c r="F18" s="297">
        <f t="shared" si="0"/>
        <v>0</v>
      </c>
      <c r="G18" s="25"/>
      <c r="I18" s="344">
        <v>23856</v>
      </c>
      <c r="J18" s="81">
        <v>78369.14</v>
      </c>
      <c r="K18" s="416"/>
      <c r="L18" s="237" t="s">
        <v>396</v>
      </c>
      <c r="M18" s="521">
        <v>14630</v>
      </c>
      <c r="N18" s="525">
        <v>42159</v>
      </c>
      <c r="O18" s="524">
        <v>42157</v>
      </c>
    </row>
    <row r="19" spans="1:15" ht="15.75" x14ac:dyDescent="0.25">
      <c r="A19" s="343">
        <v>42174</v>
      </c>
      <c r="B19" s="344">
        <v>24653</v>
      </c>
      <c r="C19" s="81">
        <v>24500.400000000001</v>
      </c>
      <c r="D19" s="562">
        <v>42189</v>
      </c>
      <c r="E19" s="531">
        <v>24500.400000000001</v>
      </c>
      <c r="F19" s="297">
        <f t="shared" si="0"/>
        <v>0</v>
      </c>
      <c r="G19" s="25"/>
      <c r="I19" s="344">
        <v>23858</v>
      </c>
      <c r="J19" s="81">
        <v>1457.5</v>
      </c>
      <c r="K19" s="230"/>
      <c r="L19" s="237" t="s">
        <v>396</v>
      </c>
      <c r="M19" s="521">
        <v>7856</v>
      </c>
      <c r="N19" s="525">
        <v>42167</v>
      </c>
      <c r="O19" s="524">
        <v>42158</v>
      </c>
    </row>
    <row r="20" spans="1:15" ht="15.75" x14ac:dyDescent="0.25">
      <c r="A20" s="343">
        <v>42175</v>
      </c>
      <c r="B20" s="344">
        <v>24840</v>
      </c>
      <c r="C20" s="81">
        <v>76689.25</v>
      </c>
      <c r="D20" s="562">
        <v>42189</v>
      </c>
      <c r="E20" s="531">
        <v>76689.25</v>
      </c>
      <c r="F20" s="297">
        <f t="shared" si="0"/>
        <v>0</v>
      </c>
      <c r="G20" s="25"/>
      <c r="I20" s="344">
        <v>24012</v>
      </c>
      <c r="J20" s="81">
        <v>5347.52</v>
      </c>
      <c r="K20" s="216" t="s">
        <v>236</v>
      </c>
      <c r="L20" s="421" t="s">
        <v>396</v>
      </c>
      <c r="M20" s="528">
        <v>28571.5</v>
      </c>
      <c r="N20" s="527">
        <v>42167</v>
      </c>
      <c r="O20" s="524">
        <v>42159</v>
      </c>
    </row>
    <row r="21" spans="1:15" ht="15.75" x14ac:dyDescent="0.25">
      <c r="A21" s="343">
        <v>42175</v>
      </c>
      <c r="B21" s="344">
        <v>24841</v>
      </c>
      <c r="C21" s="81">
        <v>31984.2</v>
      </c>
      <c r="D21" s="562">
        <v>42189</v>
      </c>
      <c r="E21" s="531">
        <v>31984.2</v>
      </c>
      <c r="F21" s="297">
        <f t="shared" si="0"/>
        <v>0</v>
      </c>
      <c r="G21" s="25"/>
      <c r="I21" s="344"/>
      <c r="J21" s="81"/>
      <c r="K21" s="234"/>
      <c r="L21" s="421" t="s">
        <v>396</v>
      </c>
      <c r="M21" s="528">
        <v>57280</v>
      </c>
      <c r="N21" s="527">
        <v>42167</v>
      </c>
      <c r="O21" s="524">
        <v>42160</v>
      </c>
    </row>
    <row r="22" spans="1:15" ht="15.75" x14ac:dyDescent="0.25">
      <c r="A22" s="343">
        <v>42177</v>
      </c>
      <c r="B22" s="344">
        <v>24948</v>
      </c>
      <c r="C22" s="81">
        <v>12545.66</v>
      </c>
      <c r="D22" s="562">
        <v>42189</v>
      </c>
      <c r="E22" s="531">
        <v>12545.66</v>
      </c>
      <c r="F22" s="297">
        <f t="shared" si="0"/>
        <v>0</v>
      </c>
      <c r="G22" s="25"/>
      <c r="I22" s="496"/>
      <c r="J22" s="432"/>
      <c r="K22" s="459"/>
      <c r="L22" s="421" t="s">
        <v>396</v>
      </c>
      <c r="M22" s="528">
        <v>57031</v>
      </c>
      <c r="N22" s="527">
        <v>42167</v>
      </c>
      <c r="O22" s="524">
        <v>42161</v>
      </c>
    </row>
    <row r="23" spans="1:15" ht="18.75" x14ac:dyDescent="0.3">
      <c r="A23" s="359">
        <v>42179</v>
      </c>
      <c r="B23" s="344" t="s">
        <v>550</v>
      </c>
      <c r="C23" s="81">
        <v>16640.2</v>
      </c>
      <c r="D23" s="562">
        <v>42189</v>
      </c>
      <c r="E23" s="531">
        <v>16640.2</v>
      </c>
      <c r="F23" s="297">
        <f t="shared" si="0"/>
        <v>0</v>
      </c>
      <c r="G23" s="25"/>
      <c r="I23" s="459"/>
      <c r="J23" s="464"/>
      <c r="K23" s="460"/>
      <c r="L23" s="421" t="s">
        <v>396</v>
      </c>
      <c r="M23" s="526">
        <v>47781</v>
      </c>
      <c r="N23" s="527">
        <v>42167</v>
      </c>
      <c r="O23" s="524">
        <v>42162</v>
      </c>
    </row>
    <row r="24" spans="1:15" ht="15.75" x14ac:dyDescent="0.25">
      <c r="A24" s="359">
        <v>42180</v>
      </c>
      <c r="B24" s="344" t="s">
        <v>553</v>
      </c>
      <c r="C24" s="322">
        <v>97343.32</v>
      </c>
      <c r="D24" s="562">
        <v>42189</v>
      </c>
      <c r="E24" s="563">
        <v>97343.32</v>
      </c>
      <c r="F24" s="297">
        <f t="shared" si="0"/>
        <v>0</v>
      </c>
      <c r="G24" s="25"/>
      <c r="I24" s="493"/>
      <c r="J24" s="432"/>
      <c r="K24" s="459"/>
      <c r="L24" s="421" t="s">
        <v>396</v>
      </c>
      <c r="M24" s="528">
        <v>35277.5</v>
      </c>
      <c r="N24" s="527">
        <v>42167</v>
      </c>
      <c r="O24" s="524">
        <v>42163</v>
      </c>
    </row>
    <row r="25" spans="1:15" ht="15.75" x14ac:dyDescent="0.25">
      <c r="A25" s="359">
        <v>42181</v>
      </c>
      <c r="B25" s="344" t="s">
        <v>555</v>
      </c>
      <c r="C25" s="81">
        <v>3000</v>
      </c>
      <c r="D25" s="562">
        <v>42189</v>
      </c>
      <c r="E25" s="531">
        <v>3000</v>
      </c>
      <c r="F25" s="297">
        <f t="shared" si="0"/>
        <v>0</v>
      </c>
      <c r="G25" s="25"/>
      <c r="I25" s="495"/>
      <c r="J25" s="432"/>
      <c r="K25" s="459"/>
      <c r="L25" s="421" t="s">
        <v>396</v>
      </c>
      <c r="M25" s="528">
        <v>4800</v>
      </c>
      <c r="N25" s="527">
        <v>42167</v>
      </c>
      <c r="O25" s="524">
        <v>42164</v>
      </c>
    </row>
    <row r="26" spans="1:15" ht="16.5" thickBot="1" x14ac:dyDescent="0.3">
      <c r="A26" s="359">
        <v>42182</v>
      </c>
      <c r="B26" s="344" t="s">
        <v>554</v>
      </c>
      <c r="C26" s="81">
        <v>91966.35</v>
      </c>
      <c r="D26" s="562">
        <v>42189</v>
      </c>
      <c r="E26" s="531">
        <v>91966.35</v>
      </c>
      <c r="F26" s="297">
        <f t="shared" si="0"/>
        <v>0</v>
      </c>
      <c r="G26" s="25"/>
      <c r="I26" s="361"/>
      <c r="J26" s="226">
        <v>0</v>
      </c>
      <c r="K26" s="226"/>
      <c r="L26" s="227"/>
      <c r="M26" s="121">
        <v>0</v>
      </c>
      <c r="N26" s="520"/>
    </row>
    <row r="27" spans="1:15" ht="16.5" thickTop="1" x14ac:dyDescent="0.25">
      <c r="A27" s="343">
        <v>42184</v>
      </c>
      <c r="B27" s="506" t="s">
        <v>556</v>
      </c>
      <c r="C27" s="59">
        <v>32690.7</v>
      </c>
      <c r="D27" s="562">
        <v>42189</v>
      </c>
      <c r="E27" s="49">
        <v>32690.7</v>
      </c>
      <c r="F27" s="494">
        <f t="shared" si="0"/>
        <v>0</v>
      </c>
      <c r="G27" s="25"/>
      <c r="I27" s="361"/>
      <c r="J27" s="419">
        <f>SUM(J4:J26)</f>
        <v>555287</v>
      </c>
      <c r="K27" s="208"/>
      <c r="L27" s="206"/>
      <c r="M27" s="419">
        <f>SUM(M4:M26)</f>
        <v>555287</v>
      </c>
      <c r="N27" s="276"/>
    </row>
    <row r="28" spans="1:15" x14ac:dyDescent="0.25">
      <c r="A28" s="570">
        <v>42161</v>
      </c>
      <c r="B28" s="571">
        <v>23370</v>
      </c>
      <c r="C28" s="59">
        <v>25821.599999999999</v>
      </c>
      <c r="D28" s="599">
        <v>42210</v>
      </c>
      <c r="E28" s="369">
        <v>25821.599999999999</v>
      </c>
      <c r="F28" s="494">
        <f t="shared" si="0"/>
        <v>0</v>
      </c>
      <c r="G28" s="25"/>
    </row>
    <row r="29" spans="1:15" ht="15.75" customHeight="1" thickBot="1" x14ac:dyDescent="0.3">
      <c r="A29" s="343"/>
      <c r="B29" s="496"/>
      <c r="C29" s="81"/>
      <c r="D29" s="465"/>
      <c r="E29" s="294"/>
      <c r="F29" s="494">
        <f t="shared" si="0"/>
        <v>0</v>
      </c>
      <c r="G29" s="25"/>
    </row>
    <row r="30" spans="1:15" ht="15.75" customHeight="1" thickBot="1" x14ac:dyDescent="0.35">
      <c r="A30" s="545"/>
      <c r="B30" s="496"/>
      <c r="C30" s="475"/>
      <c r="D30" s="465"/>
      <c r="E30" s="294"/>
      <c r="F30" s="494">
        <f t="shared" si="0"/>
        <v>0</v>
      </c>
      <c r="G30" s="25"/>
      <c r="J30" s="474" t="s">
        <v>205</v>
      </c>
      <c r="K30" s="204"/>
      <c r="L30" s="542"/>
      <c r="M30" s="544">
        <v>42180</v>
      </c>
      <c r="N30" s="276"/>
    </row>
    <row r="31" spans="1:15" ht="15.75" customHeight="1" x14ac:dyDescent="0.25">
      <c r="A31" s="343"/>
      <c r="B31" s="496"/>
      <c r="C31" s="81"/>
      <c r="D31" s="465"/>
      <c r="E31" s="294"/>
      <c r="F31" s="494">
        <f t="shared" si="0"/>
        <v>0</v>
      </c>
      <c r="G31" s="25"/>
      <c r="I31" s="205"/>
      <c r="J31" s="419"/>
      <c r="K31" s="205"/>
      <c r="L31" s="206"/>
      <c r="M31" s="419"/>
      <c r="N31" s="519"/>
    </row>
    <row r="32" spans="1:15" ht="15.75" x14ac:dyDescent="0.25">
      <c r="A32" s="545"/>
      <c r="B32" s="496"/>
      <c r="C32" s="81"/>
      <c r="D32" s="465"/>
      <c r="E32" s="294"/>
      <c r="F32" s="494">
        <f t="shared" si="0"/>
        <v>0</v>
      </c>
      <c r="G32" s="25"/>
      <c r="I32" s="212" t="s">
        <v>202</v>
      </c>
      <c r="J32" s="419" t="s">
        <v>195</v>
      </c>
      <c r="K32" s="205"/>
      <c r="L32" s="206" t="s">
        <v>203</v>
      </c>
      <c r="M32" s="419" t="s">
        <v>204</v>
      </c>
      <c r="N32" s="519"/>
    </row>
    <row r="33" spans="1:15" ht="16.5" customHeight="1" x14ac:dyDescent="0.25">
      <c r="A33" s="343"/>
      <c r="B33" s="496"/>
      <c r="C33" s="81"/>
      <c r="D33" s="465"/>
      <c r="E33" s="294"/>
      <c r="F33" s="494">
        <f t="shared" si="0"/>
        <v>0</v>
      </c>
      <c r="G33" s="25"/>
      <c r="I33" s="215">
        <v>24012</v>
      </c>
      <c r="J33" s="216">
        <v>14855.02</v>
      </c>
      <c r="K33" s="216"/>
      <c r="L33" s="331" t="s">
        <v>396</v>
      </c>
      <c r="M33" s="522">
        <v>15100</v>
      </c>
      <c r="N33" s="523">
        <v>42173</v>
      </c>
      <c r="O33" s="21">
        <v>42164</v>
      </c>
    </row>
    <row r="34" spans="1:15" ht="16.5" customHeight="1" x14ac:dyDescent="0.25">
      <c r="A34" s="343"/>
      <c r="B34" s="496"/>
      <c r="C34" s="81"/>
      <c r="D34" s="253"/>
      <c r="E34" s="294"/>
      <c r="F34" s="494">
        <f t="shared" si="0"/>
        <v>0</v>
      </c>
      <c r="G34" s="25"/>
      <c r="I34" s="344">
        <v>24107</v>
      </c>
      <c r="J34" s="81">
        <v>77081.64</v>
      </c>
      <c r="K34" s="234"/>
      <c r="L34" s="331" t="s">
        <v>396</v>
      </c>
      <c r="M34" s="522">
        <v>23425</v>
      </c>
      <c r="N34" s="523">
        <v>42173</v>
      </c>
      <c r="O34" s="21">
        <v>42165</v>
      </c>
    </row>
    <row r="35" spans="1:15" ht="16.5" thickBot="1" x14ac:dyDescent="0.3">
      <c r="A35" s="286"/>
      <c r="B35" s="263"/>
      <c r="C35" s="180">
        <v>0</v>
      </c>
      <c r="D35" s="467"/>
      <c r="E35" s="295">
        <v>0</v>
      </c>
      <c r="F35" s="494">
        <f t="shared" si="0"/>
        <v>0</v>
      </c>
      <c r="G35" s="25"/>
      <c r="I35" s="344">
        <v>24264</v>
      </c>
      <c r="J35" s="81">
        <v>14416.4</v>
      </c>
      <c r="K35" s="234"/>
      <c r="L35" s="331" t="s">
        <v>396</v>
      </c>
      <c r="M35" s="521">
        <v>200</v>
      </c>
      <c r="N35" s="525">
        <v>42180</v>
      </c>
      <c r="O35" s="21">
        <v>42165</v>
      </c>
    </row>
    <row r="36" spans="1:15" ht="16.5" thickTop="1" x14ac:dyDescent="0.25">
      <c r="B36" s="5"/>
      <c r="C36" s="59">
        <f>SUM(C3:C35)</f>
        <v>1055707.4099999999</v>
      </c>
      <c r="D36" s="178"/>
      <c r="E36" s="336">
        <f>SUM(E3:E35)</f>
        <v>1055707.4099999999</v>
      </c>
      <c r="F36" s="336">
        <f>SUM(F3:F35)</f>
        <v>0</v>
      </c>
      <c r="G36" s="25"/>
      <c r="I36" s="344">
        <v>24349</v>
      </c>
      <c r="J36" s="81">
        <v>1145</v>
      </c>
      <c r="K36" s="234"/>
      <c r="L36" s="331" t="s">
        <v>396</v>
      </c>
      <c r="M36" s="522">
        <v>34581</v>
      </c>
      <c r="N36" s="523">
        <v>42173</v>
      </c>
      <c r="O36" s="21">
        <v>42166</v>
      </c>
    </row>
    <row r="37" spans="1:15" ht="15.75" x14ac:dyDescent="0.25">
      <c r="A37" s="5" t="s">
        <v>578</v>
      </c>
      <c r="C37" s="59"/>
      <c r="D37" s="25"/>
      <c r="G37" s="25"/>
      <c r="I37" s="344">
        <v>24381</v>
      </c>
      <c r="J37" s="81">
        <v>71111.740000000005</v>
      </c>
      <c r="K37" s="234"/>
      <c r="L37" s="331" t="s">
        <v>396</v>
      </c>
      <c r="M37" s="522">
        <v>56581.5</v>
      </c>
      <c r="N37" s="523">
        <v>42173</v>
      </c>
      <c r="O37" s="21">
        <v>42167</v>
      </c>
    </row>
    <row r="38" spans="1:15" ht="15.75" x14ac:dyDescent="0.25">
      <c r="B38" t="s">
        <v>101</v>
      </c>
      <c r="D38" s="25"/>
      <c r="E38" s="25"/>
      <c r="F38" s="25"/>
      <c r="G38" s="25"/>
      <c r="I38" s="344">
        <v>24460</v>
      </c>
      <c r="J38" s="81">
        <v>14871.78</v>
      </c>
      <c r="K38" s="235"/>
      <c r="L38" s="331" t="s">
        <v>396</v>
      </c>
      <c r="M38" s="521">
        <v>50950</v>
      </c>
      <c r="N38" s="525">
        <v>42173</v>
      </c>
      <c r="O38" s="21">
        <v>42168</v>
      </c>
    </row>
    <row r="39" spans="1:15" ht="15.75" x14ac:dyDescent="0.25">
      <c r="D39" s="25"/>
      <c r="E39" s="25"/>
      <c r="F39" s="25"/>
      <c r="G39" s="25"/>
      <c r="I39" s="344">
        <v>24570</v>
      </c>
      <c r="J39" s="81">
        <v>70692.86</v>
      </c>
      <c r="K39" s="230"/>
      <c r="L39" s="331" t="s">
        <v>396</v>
      </c>
      <c r="M39" s="522">
        <v>34140</v>
      </c>
      <c r="N39" s="523">
        <v>42173</v>
      </c>
      <c r="O39" s="21">
        <v>42169</v>
      </c>
    </row>
    <row r="40" spans="1:15" ht="15.75" x14ac:dyDescent="0.25">
      <c r="D40" s="25"/>
      <c r="E40" s="25"/>
      <c r="F40" s="25"/>
      <c r="G40" s="25"/>
      <c r="I40" s="344">
        <v>24653</v>
      </c>
      <c r="J40" s="81">
        <v>24500.400000000001</v>
      </c>
      <c r="K40" s="230"/>
      <c r="L40" s="331" t="s">
        <v>396</v>
      </c>
      <c r="M40" s="521">
        <v>21000</v>
      </c>
      <c r="N40" s="525">
        <v>42173</v>
      </c>
      <c r="O40" s="21">
        <v>42170</v>
      </c>
    </row>
    <row r="41" spans="1:15" ht="15.75" x14ac:dyDescent="0.25">
      <c r="D41" s="25"/>
      <c r="E41" s="25"/>
      <c r="F41" s="25"/>
      <c r="G41" s="25"/>
      <c r="I41" s="344">
        <v>24840</v>
      </c>
      <c r="J41" s="81">
        <v>76689.25</v>
      </c>
      <c r="K41" s="230"/>
      <c r="L41" s="331" t="s">
        <v>396</v>
      </c>
      <c r="M41" s="522">
        <v>11665.5</v>
      </c>
      <c r="N41" s="523">
        <v>42180</v>
      </c>
      <c r="O41" s="21">
        <v>42170</v>
      </c>
    </row>
    <row r="42" spans="1:15" ht="15.75" x14ac:dyDescent="0.25">
      <c r="D42" s="25"/>
      <c r="E42" s="25"/>
      <c r="F42" s="25"/>
      <c r="G42" s="25"/>
      <c r="I42" s="344">
        <v>24841</v>
      </c>
      <c r="J42" s="81">
        <v>31984.2</v>
      </c>
      <c r="K42" s="230"/>
      <c r="L42" s="331" t="s">
        <v>396</v>
      </c>
      <c r="M42" s="521">
        <v>32275</v>
      </c>
      <c r="N42" s="525">
        <v>42180</v>
      </c>
      <c r="O42" s="21">
        <v>42171</v>
      </c>
    </row>
    <row r="43" spans="1:15" ht="15.75" x14ac:dyDescent="0.25">
      <c r="D43" s="25"/>
      <c r="E43" s="25"/>
      <c r="F43" s="25"/>
      <c r="G43" s="25"/>
      <c r="I43" s="344">
        <v>24948</v>
      </c>
      <c r="J43" s="81">
        <v>12545.66</v>
      </c>
      <c r="K43" s="416"/>
      <c r="L43" s="331" t="s">
        <v>396</v>
      </c>
      <c r="M43" s="521">
        <v>38573</v>
      </c>
      <c r="N43" s="525">
        <v>42180</v>
      </c>
      <c r="O43" s="21">
        <v>42172</v>
      </c>
    </row>
    <row r="44" spans="1:15" ht="15.75" x14ac:dyDescent="0.25">
      <c r="D44" s="25"/>
      <c r="E44" s="25"/>
      <c r="F44" s="25"/>
      <c r="G44" s="25"/>
      <c r="I44" s="344" t="s">
        <v>550</v>
      </c>
      <c r="J44" s="81">
        <v>16640.2</v>
      </c>
      <c r="K44" s="416"/>
      <c r="L44" s="331" t="s">
        <v>396</v>
      </c>
      <c r="M44" s="521">
        <v>20291.5</v>
      </c>
      <c r="N44" s="525">
        <v>42180</v>
      </c>
      <c r="O44" s="21">
        <v>42173</v>
      </c>
    </row>
    <row r="45" spans="1:15" ht="15.75" x14ac:dyDescent="0.25">
      <c r="D45" s="25"/>
      <c r="E45" s="25"/>
      <c r="F45" s="25"/>
      <c r="G45" s="25"/>
      <c r="I45" s="483"/>
      <c r="J45" s="450"/>
      <c r="K45" s="230"/>
      <c r="L45" s="331" t="s">
        <v>396</v>
      </c>
      <c r="M45" s="521">
        <v>65103</v>
      </c>
      <c r="N45" s="525">
        <v>42180</v>
      </c>
      <c r="O45" s="21">
        <v>42174</v>
      </c>
    </row>
    <row r="46" spans="1:15" ht="18.75" x14ac:dyDescent="0.3">
      <c r="D46" s="25"/>
      <c r="E46" s="25"/>
      <c r="F46" s="25"/>
      <c r="G46" s="25"/>
      <c r="I46" s="483"/>
      <c r="J46" s="81"/>
      <c r="K46" s="460"/>
      <c r="L46" s="329" t="s">
        <v>396</v>
      </c>
      <c r="M46" s="526">
        <v>81776.5</v>
      </c>
      <c r="N46" s="527">
        <v>42180</v>
      </c>
      <c r="O46" s="21">
        <v>42175</v>
      </c>
    </row>
    <row r="47" spans="1:15" ht="15.75" x14ac:dyDescent="0.25">
      <c r="D47" s="25"/>
      <c r="E47" s="25"/>
      <c r="F47" s="25"/>
      <c r="G47" s="25"/>
      <c r="I47" s="344"/>
      <c r="J47" s="81"/>
      <c r="K47" s="416"/>
      <c r="L47" s="237" t="s">
        <v>396</v>
      </c>
      <c r="M47" s="521">
        <v>32200</v>
      </c>
      <c r="N47" s="525">
        <v>42180</v>
      </c>
      <c r="O47" s="21">
        <v>42176</v>
      </c>
    </row>
    <row r="48" spans="1:15" ht="15.75" x14ac:dyDescent="0.25">
      <c r="D48" s="25"/>
      <c r="E48" s="25"/>
      <c r="F48" s="25"/>
      <c r="G48" s="25"/>
      <c r="I48" s="344"/>
      <c r="J48" s="81"/>
      <c r="K48" s="230"/>
      <c r="L48" s="237" t="s">
        <v>396</v>
      </c>
      <c r="M48" s="521">
        <v>0</v>
      </c>
      <c r="N48" s="525"/>
    </row>
    <row r="49" spans="2:14" customFormat="1" ht="16.5" thickBot="1" x14ac:dyDescent="0.3">
      <c r="D49" s="25"/>
      <c r="E49" s="25"/>
      <c r="F49" s="25"/>
      <c r="G49" s="25"/>
      <c r="I49" s="361"/>
      <c r="J49" s="226">
        <v>0</v>
      </c>
      <c r="K49" s="226"/>
      <c r="L49" s="227"/>
      <c r="M49" s="121">
        <v>0</v>
      </c>
      <c r="N49" s="520"/>
    </row>
    <row r="50" spans="2:14" customFormat="1" ht="16.5" thickTop="1" x14ac:dyDescent="0.25">
      <c r="D50" s="25"/>
      <c r="E50" s="25"/>
      <c r="F50" s="25"/>
      <c r="G50" s="25"/>
      <c r="I50" s="361"/>
      <c r="J50" s="419">
        <f>SUM(J33:J49)</f>
        <v>426534.15</v>
      </c>
      <c r="K50" s="208"/>
      <c r="L50" s="206"/>
      <c r="M50" s="419">
        <f>SUM(M33:M49)</f>
        <v>517862</v>
      </c>
      <c r="N50" s="276"/>
    </row>
    <row r="51" spans="2:14" customFormat="1" x14ac:dyDescent="0.25">
      <c r="D51" s="25"/>
      <c r="E51" s="25"/>
      <c r="F51" s="25"/>
      <c r="G51" s="25"/>
      <c r="M51" s="5"/>
      <c r="N51" s="5"/>
    </row>
    <row r="52" spans="2:14" customFormat="1" x14ac:dyDescent="0.25">
      <c r="E52" s="25"/>
      <c r="F52" s="25"/>
      <c r="M52" s="5"/>
      <c r="N52" s="5"/>
    </row>
    <row r="53" spans="2:14" customFormat="1" x14ac:dyDescent="0.25">
      <c r="E53" s="25"/>
      <c r="F53" s="25"/>
      <c r="M53" s="5"/>
      <c r="N53" s="5"/>
    </row>
    <row r="54" spans="2:14" customFormat="1" x14ac:dyDescent="0.25">
      <c r="E54" s="25"/>
      <c r="F54" s="25"/>
      <c r="M54" s="5"/>
      <c r="N54" s="5"/>
    </row>
    <row r="55" spans="2:14" customFormat="1" x14ac:dyDescent="0.25">
      <c r="E55" s="25"/>
      <c r="F55" s="25"/>
      <c r="M55" s="5"/>
      <c r="N55" s="5"/>
    </row>
    <row r="56" spans="2:14" customFormat="1" x14ac:dyDescent="0.25">
      <c r="E56" s="25"/>
      <c r="F56" s="25"/>
      <c r="M56" s="5"/>
      <c r="N56" s="5"/>
    </row>
    <row r="57" spans="2:14" customFormat="1" x14ac:dyDescent="0.25">
      <c r="E57" s="25"/>
      <c r="F57" s="25"/>
      <c r="M57" s="5"/>
      <c r="N57" s="5"/>
    </row>
    <row r="58" spans="2:14" customFormat="1" x14ac:dyDescent="0.25">
      <c r="E58" s="25"/>
      <c r="F58" s="25"/>
      <c r="M58" s="5"/>
      <c r="N58" s="5"/>
    </row>
    <row r="59" spans="2:14" customFormat="1" x14ac:dyDescent="0.25">
      <c r="C59" s="44"/>
      <c r="E59" s="336"/>
      <c r="F59" s="336"/>
      <c r="M59" s="5"/>
      <c r="N59" s="5"/>
    </row>
    <row r="60" spans="2:14" customFormat="1" x14ac:dyDescent="0.25">
      <c r="C60" s="44"/>
      <c r="E60" s="336"/>
      <c r="F60" s="336"/>
      <c r="M60" s="5"/>
      <c r="N60" s="5"/>
    </row>
    <row r="61" spans="2:14" customFormat="1" x14ac:dyDescent="0.25">
      <c r="C61" s="44"/>
      <c r="E61" s="59"/>
      <c r="F61" s="336"/>
      <c r="M61" s="5"/>
      <c r="N61" s="5"/>
    </row>
    <row r="62" spans="2:14" customFormat="1" x14ac:dyDescent="0.25">
      <c r="B62" s="572"/>
      <c r="C62" s="572"/>
      <c r="D62" s="573"/>
      <c r="E62" s="574"/>
      <c r="F62" s="336"/>
      <c r="M62" s="5"/>
      <c r="N62" s="5"/>
    </row>
    <row r="63" spans="2:14" customFormat="1" x14ac:dyDescent="0.25">
      <c r="B63" s="572"/>
      <c r="C63" s="572"/>
      <c r="D63" s="573"/>
      <c r="E63" s="574"/>
      <c r="F63" s="336"/>
      <c r="M63" s="5"/>
      <c r="N63" s="5"/>
    </row>
    <row r="64" spans="2:14" customFormat="1" x14ac:dyDescent="0.25">
      <c r="B64" s="572"/>
      <c r="C64" s="572"/>
      <c r="D64" s="575"/>
      <c r="E64" s="574"/>
      <c r="F64" s="336"/>
      <c r="M64" s="5"/>
      <c r="N64" s="5"/>
    </row>
    <row r="65" spans="2:14" customFormat="1" x14ac:dyDescent="0.25">
      <c r="B65" s="572"/>
      <c r="C65" s="572"/>
      <c r="D65" s="575"/>
      <c r="E65" s="574"/>
      <c r="M65" s="5"/>
      <c r="N65" s="5"/>
    </row>
    <row r="66" spans="2:14" customFormat="1" x14ac:dyDescent="0.25">
      <c r="B66" s="572"/>
      <c r="C66" s="572"/>
      <c r="D66" s="575"/>
      <c r="E66" s="574"/>
      <c r="M66" s="5"/>
      <c r="N66" s="5"/>
    </row>
    <row r="67" spans="2:14" customFormat="1" x14ac:dyDescent="0.25">
      <c r="B67" s="572"/>
      <c r="C67" s="572"/>
      <c r="D67" s="575"/>
      <c r="E67" s="574"/>
      <c r="M67" s="5"/>
      <c r="N67" s="5"/>
    </row>
    <row r="68" spans="2:14" customFormat="1" x14ac:dyDescent="0.25">
      <c r="B68" s="572"/>
      <c r="C68" s="572"/>
      <c r="D68" s="575"/>
      <c r="E68" s="574"/>
      <c r="M68" s="5"/>
      <c r="N68" s="5"/>
    </row>
    <row r="69" spans="2:14" customFormat="1" x14ac:dyDescent="0.25">
      <c r="B69" s="572"/>
      <c r="C69" s="572"/>
      <c r="D69" s="575"/>
      <c r="E69" s="574"/>
      <c r="M69" s="5"/>
      <c r="N69" s="5"/>
    </row>
    <row r="70" spans="2:14" customFormat="1" x14ac:dyDescent="0.25">
      <c r="B70" s="572"/>
      <c r="C70" s="572"/>
      <c r="D70" s="575"/>
      <c r="E70" s="574"/>
      <c r="M70" s="5"/>
      <c r="N70" s="5"/>
    </row>
    <row r="71" spans="2:14" customFormat="1" x14ac:dyDescent="0.25">
      <c r="B71" s="572"/>
      <c r="C71" s="572"/>
      <c r="D71" s="575"/>
      <c r="E71" s="574"/>
      <c r="M71" s="5"/>
      <c r="N71" s="5"/>
    </row>
    <row r="72" spans="2:14" customFormat="1" x14ac:dyDescent="0.25">
      <c r="B72" s="572"/>
      <c r="C72" s="572"/>
      <c r="D72" s="575"/>
      <c r="E72" s="574"/>
      <c r="M72" s="5"/>
      <c r="N72" s="5"/>
    </row>
    <row r="73" spans="2:14" customFormat="1" x14ac:dyDescent="0.25">
      <c r="B73" s="572"/>
      <c r="C73" s="572"/>
      <c r="D73" s="575"/>
      <c r="E73" s="574"/>
      <c r="M73" s="5"/>
      <c r="N73" s="5"/>
    </row>
    <row r="74" spans="2:14" customFormat="1" x14ac:dyDescent="0.25">
      <c r="B74" s="572"/>
      <c r="C74" s="572"/>
      <c r="D74" s="575"/>
      <c r="E74" s="574"/>
      <c r="M74" s="5"/>
      <c r="N74" s="5"/>
    </row>
    <row r="75" spans="2:14" customFormat="1" x14ac:dyDescent="0.25">
      <c r="B75" s="572"/>
      <c r="C75" s="572"/>
      <c r="D75" s="575"/>
      <c r="E75" s="574"/>
      <c r="M75" s="5"/>
      <c r="N75" s="5"/>
    </row>
    <row r="76" spans="2:14" customFormat="1" x14ac:dyDescent="0.25">
      <c r="B76" s="572"/>
      <c r="C76" s="572"/>
      <c r="D76" s="575"/>
      <c r="E76" s="574"/>
      <c r="M76" s="5"/>
      <c r="N76" s="5"/>
    </row>
    <row r="77" spans="2:14" customFormat="1" x14ac:dyDescent="0.25">
      <c r="B77" s="572"/>
      <c r="C77" s="572"/>
      <c r="D77" s="575"/>
      <c r="E77" s="574"/>
      <c r="M77" s="5"/>
      <c r="N77" s="5"/>
    </row>
    <row r="78" spans="2:14" customFormat="1" x14ac:dyDescent="0.25">
      <c r="B78" s="572"/>
      <c r="C78" s="572"/>
      <c r="D78" s="575"/>
      <c r="E78" s="574"/>
      <c r="M78" s="5"/>
      <c r="N78" s="5"/>
    </row>
    <row r="79" spans="2:14" customFormat="1" x14ac:dyDescent="0.25">
      <c r="B79" s="572"/>
      <c r="C79" s="572"/>
      <c r="D79" s="575"/>
      <c r="E79" s="574"/>
      <c r="M79" s="5"/>
      <c r="N79" s="5"/>
    </row>
    <row r="80" spans="2:14" x14ac:dyDescent="0.25">
      <c r="B80" s="572"/>
      <c r="C80" s="572"/>
      <c r="D80" s="575"/>
      <c r="E80" s="574"/>
    </row>
    <row r="81" spans="2:5" x14ac:dyDescent="0.25">
      <c r="B81" s="572"/>
      <c r="C81" s="572"/>
      <c r="D81" s="575"/>
      <c r="E81" s="574"/>
    </row>
    <row r="82" spans="2:5" x14ac:dyDescent="0.25">
      <c r="B82" s="576"/>
      <c r="C82" s="576"/>
      <c r="D82" s="575"/>
      <c r="E82" s="574"/>
    </row>
    <row r="83" spans="2:5" x14ac:dyDescent="0.25">
      <c r="B83" s="577"/>
      <c r="C83" s="577"/>
      <c r="D83" s="575"/>
      <c r="E83" s="574"/>
    </row>
    <row r="84" spans="2:5" x14ac:dyDescent="0.25">
      <c r="B84" s="576"/>
      <c r="C84" s="576"/>
      <c r="D84" s="575"/>
      <c r="E84" s="574"/>
    </row>
    <row r="85" spans="2:5" x14ac:dyDescent="0.25">
      <c r="B85" s="577"/>
      <c r="C85" s="577"/>
      <c r="D85" s="575"/>
      <c r="E85" s="574"/>
    </row>
    <row r="86" spans="2:5" x14ac:dyDescent="0.25">
      <c r="B86" s="577"/>
      <c r="C86" s="577"/>
      <c r="D86" s="575"/>
      <c r="E86" s="574"/>
    </row>
  </sheetData>
  <sortState ref="A12:C27">
    <sortCondition ref="B12:B27"/>
  </sortState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S57"/>
  <sheetViews>
    <sheetView topLeftCell="A16" workbookViewId="0">
      <selection activeCell="N12" sqref="N12:P13"/>
    </sheetView>
  </sheetViews>
  <sheetFormatPr baseColWidth="10" defaultRowHeight="15" x14ac:dyDescent="0.25"/>
  <cols>
    <col min="1" max="1" width="2.5703125" customWidth="1"/>
    <col min="2" max="2" width="12.42578125" style="38" customWidth="1"/>
    <col min="3" max="3" width="16.42578125" style="44" customWidth="1"/>
    <col min="4" max="4" width="9" style="155" customWidth="1"/>
    <col min="6" max="6" width="17.85546875" style="44" customWidth="1"/>
    <col min="7" max="7" width="2.85546875" customWidth="1"/>
    <col min="9" max="9" width="12.140625" style="44" customWidth="1"/>
    <col min="10" max="10" width="6.42578125" style="44" customWidth="1"/>
    <col min="11" max="11" width="12.28515625" customWidth="1"/>
    <col min="12" max="12" width="11.28515625" customWidth="1"/>
    <col min="13" max="13" width="16.7109375" style="44" customWidth="1"/>
    <col min="14" max="14" width="11.42578125" style="44"/>
  </cols>
  <sheetData>
    <row r="1" spans="1:19" ht="23.25" x14ac:dyDescent="0.35">
      <c r="C1" s="780" t="s">
        <v>583</v>
      </c>
      <c r="D1" s="780"/>
      <c r="E1" s="780"/>
      <c r="F1" s="780"/>
      <c r="G1" s="780"/>
      <c r="H1" s="780"/>
      <c r="I1" s="780"/>
      <c r="J1" s="780"/>
      <c r="K1" s="780"/>
      <c r="L1" s="643" t="s">
        <v>158</v>
      </c>
      <c r="M1" s="336"/>
    </row>
    <row r="2" spans="1:19" ht="15.75" thickBot="1" x14ac:dyDescent="0.3">
      <c r="E2" s="549"/>
      <c r="F2" s="51"/>
    </row>
    <row r="3" spans="1:19" ht="15.75" thickBot="1" x14ac:dyDescent="0.3">
      <c r="C3" s="45" t="s">
        <v>0</v>
      </c>
      <c r="D3" s="3"/>
    </row>
    <row r="4" spans="1:19" ht="20.25" thickTop="1" thickBot="1" x14ac:dyDescent="0.35">
      <c r="A4" s="415" t="s">
        <v>2</v>
      </c>
      <c r="B4" s="414"/>
      <c r="C4" s="97">
        <v>144226.46</v>
      </c>
      <c r="D4" s="156"/>
      <c r="E4" s="797" t="s">
        <v>19</v>
      </c>
      <c r="F4" s="798"/>
      <c r="I4" s="783" t="s">
        <v>4</v>
      </c>
      <c r="J4" s="784"/>
      <c r="K4" s="784"/>
      <c r="L4" s="784"/>
      <c r="M4" s="112" t="s">
        <v>159</v>
      </c>
    </row>
    <row r="5" spans="1:19" ht="15.75" thickTop="1" x14ac:dyDescent="0.25">
      <c r="A5" s="21"/>
      <c r="B5" s="40">
        <v>42186</v>
      </c>
      <c r="C5" s="46">
        <v>130</v>
      </c>
      <c r="D5" s="96" t="s">
        <v>22</v>
      </c>
      <c r="E5" s="28">
        <v>42186</v>
      </c>
      <c r="F5" s="52">
        <v>25448.28</v>
      </c>
      <c r="G5" s="25"/>
      <c r="H5" s="26">
        <v>42186</v>
      </c>
      <c r="I5" s="61">
        <v>400</v>
      </c>
      <c r="J5" s="80"/>
      <c r="K5" s="122"/>
      <c r="L5" s="123"/>
      <c r="M5" s="151">
        <v>24920</v>
      </c>
      <c r="N5" s="336"/>
    </row>
    <row r="6" spans="1:19" x14ac:dyDescent="0.25">
      <c r="A6" s="21"/>
      <c r="B6" s="40">
        <v>42187</v>
      </c>
      <c r="C6" s="46">
        <v>1095.93</v>
      </c>
      <c r="D6" s="30" t="s">
        <v>604</v>
      </c>
      <c r="E6" s="28">
        <v>42187</v>
      </c>
      <c r="F6" s="52">
        <v>36817.33</v>
      </c>
      <c r="G6" s="20"/>
      <c r="H6" s="29">
        <v>42187</v>
      </c>
      <c r="I6" s="62">
        <v>438.1</v>
      </c>
      <c r="J6" s="81"/>
      <c r="K6" s="73" t="s">
        <v>5</v>
      </c>
      <c r="L6" s="125">
        <v>648</v>
      </c>
      <c r="M6" s="116">
        <v>35283</v>
      </c>
      <c r="N6" s="336"/>
    </row>
    <row r="7" spans="1:19" x14ac:dyDescent="0.25">
      <c r="A7" s="21"/>
      <c r="B7" s="40">
        <v>42188</v>
      </c>
      <c r="C7" s="46">
        <v>0</v>
      </c>
      <c r="D7" s="30"/>
      <c r="E7" s="28">
        <v>42188</v>
      </c>
      <c r="F7" s="52">
        <v>51097.73</v>
      </c>
      <c r="G7" s="25"/>
      <c r="H7" s="29">
        <v>42188</v>
      </c>
      <c r="I7" s="62">
        <v>1079.5</v>
      </c>
      <c r="J7" s="81"/>
      <c r="K7" s="73" t="s">
        <v>3</v>
      </c>
      <c r="L7" s="125">
        <v>13902</v>
      </c>
      <c r="M7" s="116">
        <v>50020</v>
      </c>
      <c r="N7" s="336"/>
      <c r="R7" t="s">
        <v>462</v>
      </c>
      <c r="S7">
        <v>1600</v>
      </c>
    </row>
    <row r="8" spans="1:19" x14ac:dyDescent="0.25">
      <c r="A8" s="21"/>
      <c r="B8" s="40">
        <v>42189</v>
      </c>
      <c r="C8" s="46">
        <v>570</v>
      </c>
      <c r="D8" s="33" t="s">
        <v>83</v>
      </c>
      <c r="E8" s="28">
        <v>42189</v>
      </c>
      <c r="F8" s="52">
        <v>60844.4</v>
      </c>
      <c r="G8" s="25"/>
      <c r="H8" s="29">
        <v>42189</v>
      </c>
      <c r="I8" s="62">
        <v>500</v>
      </c>
      <c r="J8" s="81"/>
      <c r="K8" s="73" t="s">
        <v>6</v>
      </c>
      <c r="L8" s="124">
        <v>28750</v>
      </c>
      <c r="M8" s="116">
        <v>59774</v>
      </c>
      <c r="N8" s="336"/>
    </row>
    <row r="9" spans="1:19" x14ac:dyDescent="0.25">
      <c r="A9" s="21"/>
      <c r="B9" s="40">
        <v>42190</v>
      </c>
      <c r="C9" s="46">
        <v>520</v>
      </c>
      <c r="D9" s="96" t="s">
        <v>83</v>
      </c>
      <c r="E9" s="28">
        <v>42190</v>
      </c>
      <c r="F9" s="52">
        <v>65167.59</v>
      </c>
      <c r="G9" s="25"/>
      <c r="H9" s="29">
        <v>42190</v>
      </c>
      <c r="I9" s="62">
        <v>0</v>
      </c>
      <c r="J9" s="82"/>
      <c r="K9" s="73" t="s">
        <v>506</v>
      </c>
      <c r="L9" s="125">
        <f>5500+1600+2500</f>
        <v>9600</v>
      </c>
      <c r="M9" s="116">
        <v>59148</v>
      </c>
      <c r="N9" s="336"/>
      <c r="R9" t="s">
        <v>464</v>
      </c>
      <c r="S9">
        <v>2500</v>
      </c>
    </row>
    <row r="10" spans="1:19" x14ac:dyDescent="0.25">
      <c r="A10" s="21"/>
      <c r="B10" s="40">
        <v>42191</v>
      </c>
      <c r="C10" s="46">
        <v>460</v>
      </c>
      <c r="D10" s="96" t="s">
        <v>411</v>
      </c>
      <c r="E10" s="28">
        <v>42191</v>
      </c>
      <c r="F10" s="52">
        <v>36077.22</v>
      </c>
      <c r="G10" s="25"/>
      <c r="H10" s="29">
        <v>42191</v>
      </c>
      <c r="I10" s="62">
        <v>852</v>
      </c>
      <c r="J10" s="82"/>
      <c r="K10" s="73" t="s">
        <v>605</v>
      </c>
      <c r="L10" s="52">
        <f>4833+1600+2500</f>
        <v>8933</v>
      </c>
      <c r="M10" s="116">
        <v>34768</v>
      </c>
      <c r="N10" s="336"/>
    </row>
    <row r="11" spans="1:19" ht="15.75" thickBot="1" x14ac:dyDescent="0.3">
      <c r="A11" s="21"/>
      <c r="B11" s="40">
        <v>42192</v>
      </c>
      <c r="C11" s="46">
        <v>415</v>
      </c>
      <c r="D11" s="96" t="s">
        <v>22</v>
      </c>
      <c r="E11" s="28">
        <v>42192</v>
      </c>
      <c r="F11" s="52">
        <v>26581.14</v>
      </c>
      <c r="G11" s="25"/>
      <c r="H11" s="29">
        <v>42192</v>
      </c>
      <c r="I11" s="62">
        <v>0</v>
      </c>
      <c r="J11" s="82"/>
      <c r="K11" s="73" t="s">
        <v>606</v>
      </c>
      <c r="L11" s="52">
        <f>5850+1600+2500</f>
        <v>9950</v>
      </c>
      <c r="M11" s="116">
        <v>26166</v>
      </c>
      <c r="N11" s="336"/>
    </row>
    <row r="12" spans="1:19" x14ac:dyDescent="0.25">
      <c r="A12" s="21"/>
      <c r="B12" s="40">
        <v>42193</v>
      </c>
      <c r="C12" s="46">
        <v>3816.56</v>
      </c>
      <c r="D12" s="30" t="s">
        <v>701</v>
      </c>
      <c r="E12" s="28">
        <v>42193</v>
      </c>
      <c r="F12" s="666">
        <v>28228.560000000001</v>
      </c>
      <c r="G12" s="667"/>
      <c r="H12" s="668">
        <v>42193</v>
      </c>
      <c r="I12" s="669">
        <v>0</v>
      </c>
      <c r="J12" s="82"/>
      <c r="K12" s="73" t="s">
        <v>607</v>
      </c>
      <c r="L12" s="52">
        <f>5583+1600+2500</f>
        <v>9683</v>
      </c>
      <c r="M12" s="670">
        <v>24412</v>
      </c>
      <c r="N12" s="828"/>
      <c r="O12" s="829"/>
      <c r="P12" s="830"/>
    </row>
    <row r="13" spans="1:19" ht="15.75" thickBot="1" x14ac:dyDescent="0.3">
      <c r="A13" s="21"/>
      <c r="B13" s="40">
        <v>42194</v>
      </c>
      <c r="C13" s="46">
        <v>0</v>
      </c>
      <c r="D13" s="96"/>
      <c r="E13" s="28">
        <v>42194</v>
      </c>
      <c r="F13" s="52">
        <v>54228.06</v>
      </c>
      <c r="G13" s="25"/>
      <c r="H13" s="29">
        <v>42194</v>
      </c>
      <c r="I13" s="62">
        <v>0</v>
      </c>
      <c r="J13" s="82"/>
      <c r="K13" s="73"/>
      <c r="L13" s="52">
        <v>0</v>
      </c>
      <c r="M13" s="648">
        <v>54228</v>
      </c>
      <c r="N13" s="831"/>
      <c r="O13" s="832"/>
      <c r="P13" s="833"/>
    </row>
    <row r="14" spans="1:19" x14ac:dyDescent="0.25">
      <c r="A14" s="21"/>
      <c r="B14" s="40">
        <v>42195</v>
      </c>
      <c r="C14" s="46">
        <v>501</v>
      </c>
      <c r="D14" s="30" t="s">
        <v>22</v>
      </c>
      <c r="E14" s="28">
        <v>42195</v>
      </c>
      <c r="F14" s="52">
        <v>78871.820000000007</v>
      </c>
      <c r="G14" s="25"/>
      <c r="H14" s="29">
        <v>42195</v>
      </c>
      <c r="I14" s="62">
        <v>37</v>
      </c>
      <c r="J14" s="82"/>
      <c r="K14" s="165"/>
      <c r="L14" s="52">
        <v>0</v>
      </c>
      <c r="M14" s="116">
        <v>77686</v>
      </c>
      <c r="N14" s="450"/>
    </row>
    <row r="15" spans="1:19" x14ac:dyDescent="0.25">
      <c r="A15" s="21"/>
      <c r="B15" s="40">
        <v>42196</v>
      </c>
      <c r="C15" s="46">
        <v>740</v>
      </c>
      <c r="D15" s="96" t="s">
        <v>242</v>
      </c>
      <c r="E15" s="28">
        <v>42196</v>
      </c>
      <c r="F15" s="52">
        <v>60059.27</v>
      </c>
      <c r="G15" s="25"/>
      <c r="H15" s="29">
        <v>42196</v>
      </c>
      <c r="I15" s="62">
        <v>564.38</v>
      </c>
      <c r="J15" s="82"/>
      <c r="K15" s="73" t="s">
        <v>57</v>
      </c>
      <c r="L15" s="52">
        <v>4466</v>
      </c>
      <c r="M15" s="116">
        <v>58755</v>
      </c>
      <c r="N15" s="336"/>
    </row>
    <row r="16" spans="1:19" x14ac:dyDescent="0.25">
      <c r="A16" s="21"/>
      <c r="B16" s="40">
        <v>42197</v>
      </c>
      <c r="C16" s="46">
        <v>0</v>
      </c>
      <c r="D16" s="96"/>
      <c r="E16" s="28">
        <v>42197</v>
      </c>
      <c r="F16" s="52">
        <v>55468.3</v>
      </c>
      <c r="G16" s="25"/>
      <c r="H16" s="29">
        <v>42197</v>
      </c>
      <c r="I16" s="62">
        <v>25</v>
      </c>
      <c r="J16" s="82"/>
      <c r="K16" s="192"/>
      <c r="L16" s="490">
        <v>0</v>
      </c>
      <c r="M16" s="116">
        <v>50626</v>
      </c>
      <c r="N16" s="336"/>
    </row>
    <row r="17" spans="1:16" x14ac:dyDescent="0.25">
      <c r="A17" s="21"/>
      <c r="B17" s="40">
        <v>42198</v>
      </c>
      <c r="C17" s="46">
        <v>0</v>
      </c>
      <c r="D17" s="30"/>
      <c r="E17" s="28">
        <v>42198</v>
      </c>
      <c r="F17" s="52">
        <v>34269.800000000003</v>
      </c>
      <c r="G17" s="25"/>
      <c r="H17" s="29">
        <v>42198</v>
      </c>
      <c r="I17" s="62">
        <v>91</v>
      </c>
      <c r="J17" s="82"/>
      <c r="K17" s="153"/>
      <c r="L17" s="490">
        <v>0</v>
      </c>
      <c r="M17" s="116">
        <v>34179</v>
      </c>
      <c r="N17" s="336"/>
    </row>
    <row r="18" spans="1:16" x14ac:dyDescent="0.25">
      <c r="A18" s="21"/>
      <c r="B18" s="40">
        <v>42199</v>
      </c>
      <c r="C18" s="46">
        <v>339</v>
      </c>
      <c r="D18" s="30" t="s">
        <v>22</v>
      </c>
      <c r="E18" s="28">
        <v>42199</v>
      </c>
      <c r="F18" s="52">
        <v>29075.59</v>
      </c>
      <c r="G18" s="25"/>
      <c r="H18" s="29">
        <v>42199</v>
      </c>
      <c r="I18" s="62">
        <v>140</v>
      </c>
      <c r="J18" s="82"/>
      <c r="K18" s="153"/>
      <c r="L18" s="538">
        <v>0</v>
      </c>
      <c r="M18" s="116">
        <v>28596.5</v>
      </c>
      <c r="N18" s="336"/>
    </row>
    <row r="19" spans="1:16" x14ac:dyDescent="0.25">
      <c r="A19" s="21"/>
      <c r="B19" s="40">
        <v>42200</v>
      </c>
      <c r="C19" s="46">
        <v>822</v>
      </c>
      <c r="D19" s="96" t="s">
        <v>366</v>
      </c>
      <c r="E19" s="28">
        <v>42200</v>
      </c>
      <c r="F19" s="52">
        <v>27094.37</v>
      </c>
      <c r="G19" s="25"/>
      <c r="H19" s="29">
        <v>42200</v>
      </c>
      <c r="I19" s="62">
        <v>149</v>
      </c>
      <c r="J19" s="82" t="s">
        <v>608</v>
      </c>
      <c r="K19" s="286" t="s">
        <v>629</v>
      </c>
      <c r="L19" s="538">
        <v>764.67</v>
      </c>
      <c r="M19" s="116">
        <v>26123.5</v>
      </c>
      <c r="N19" s="450"/>
    </row>
    <row r="20" spans="1:16" x14ac:dyDescent="0.25">
      <c r="A20" s="21"/>
      <c r="B20" s="40">
        <v>42201</v>
      </c>
      <c r="C20" s="46">
        <f>246.5+464</f>
        <v>710.5</v>
      </c>
      <c r="D20" s="30" t="s">
        <v>448</v>
      </c>
      <c r="E20" s="28">
        <v>42201</v>
      </c>
      <c r="F20" s="52">
        <v>39904.050000000003</v>
      </c>
      <c r="G20" s="25"/>
      <c r="H20" s="29">
        <v>42201</v>
      </c>
      <c r="I20" s="63">
        <v>32.700000000000003</v>
      </c>
      <c r="J20" s="82" t="s">
        <v>609</v>
      </c>
      <c r="K20" s="486" t="s">
        <v>111</v>
      </c>
      <c r="L20" s="490">
        <v>0</v>
      </c>
      <c r="M20" s="116">
        <v>39161</v>
      </c>
      <c r="N20" s="336"/>
    </row>
    <row r="21" spans="1:16" x14ac:dyDescent="0.25">
      <c r="A21" s="21"/>
      <c r="B21" s="40">
        <v>42202</v>
      </c>
      <c r="C21" s="46">
        <v>1530.38</v>
      </c>
      <c r="D21" s="30" t="s">
        <v>610</v>
      </c>
      <c r="E21" s="28">
        <v>42202</v>
      </c>
      <c r="F21" s="52">
        <v>67726.12</v>
      </c>
      <c r="G21" s="25"/>
      <c r="H21" s="29">
        <v>42202</v>
      </c>
      <c r="I21" s="63">
        <v>27</v>
      </c>
      <c r="J21" s="82"/>
      <c r="K21" s="487"/>
      <c r="L21" s="490">
        <v>0</v>
      </c>
      <c r="M21" s="116">
        <v>66170</v>
      </c>
      <c r="N21" s="336"/>
    </row>
    <row r="22" spans="1:16" x14ac:dyDescent="0.25">
      <c r="A22" s="21"/>
      <c r="B22" s="40">
        <v>42203</v>
      </c>
      <c r="C22" s="46">
        <v>1063</v>
      </c>
      <c r="D22" s="96" t="s">
        <v>22</v>
      </c>
      <c r="E22" s="28">
        <v>42203</v>
      </c>
      <c r="F22" s="52">
        <v>64833.760000000002</v>
      </c>
      <c r="G22" s="25"/>
      <c r="H22" s="29">
        <v>42203</v>
      </c>
      <c r="I22" s="63">
        <v>830</v>
      </c>
      <c r="J22" s="149"/>
      <c r="K22" s="491"/>
      <c r="L22" s="490">
        <v>0</v>
      </c>
      <c r="M22" s="116">
        <v>62941</v>
      </c>
      <c r="N22" s="336"/>
    </row>
    <row r="23" spans="1:16" x14ac:dyDescent="0.25">
      <c r="A23" s="21"/>
      <c r="B23" s="40">
        <v>42204</v>
      </c>
      <c r="C23" s="46">
        <v>0</v>
      </c>
      <c r="D23" s="96"/>
      <c r="E23" s="28">
        <v>42204</v>
      </c>
      <c r="F23" s="52">
        <v>49679.72</v>
      </c>
      <c r="G23" s="25"/>
      <c r="H23" s="29">
        <v>42204</v>
      </c>
      <c r="I23" s="63">
        <v>559.22</v>
      </c>
      <c r="J23" s="81"/>
      <c r="K23" s="488" t="s">
        <v>627</v>
      </c>
      <c r="L23" s="490">
        <v>3596</v>
      </c>
      <c r="M23" s="116">
        <v>43270.5</v>
      </c>
      <c r="N23" s="336"/>
      <c r="O23" s="25"/>
      <c r="P23" s="25"/>
    </row>
    <row r="24" spans="1:16" x14ac:dyDescent="0.25">
      <c r="A24" s="21"/>
      <c r="B24" s="40">
        <v>42205</v>
      </c>
      <c r="C24" s="46">
        <v>0</v>
      </c>
      <c r="D24" s="96"/>
      <c r="E24" s="28">
        <v>42205</v>
      </c>
      <c r="F24" s="52">
        <v>26451.95</v>
      </c>
      <c r="G24" s="25"/>
      <c r="H24" s="29">
        <v>42205</v>
      </c>
      <c r="I24" s="63">
        <v>25</v>
      </c>
      <c r="J24" s="82"/>
      <c r="K24" s="649"/>
      <c r="L24" s="490">
        <v>0</v>
      </c>
      <c r="M24" s="116">
        <v>26427</v>
      </c>
      <c r="N24" s="336"/>
      <c r="O24" s="25"/>
      <c r="P24" s="25"/>
    </row>
    <row r="25" spans="1:16" x14ac:dyDescent="0.25">
      <c r="A25" s="21"/>
      <c r="B25" s="40">
        <v>42206</v>
      </c>
      <c r="C25" s="46">
        <v>436</v>
      </c>
      <c r="D25" s="30" t="s">
        <v>22</v>
      </c>
      <c r="E25" s="28">
        <v>42206</v>
      </c>
      <c r="F25" s="52">
        <v>31047.74</v>
      </c>
      <c r="G25" s="25"/>
      <c r="H25" s="29">
        <v>42206</v>
      </c>
      <c r="I25" s="63">
        <v>0</v>
      </c>
      <c r="J25" s="81"/>
      <c r="K25" s="489"/>
      <c r="L25" s="490">
        <v>0</v>
      </c>
      <c r="M25" s="116">
        <v>30612</v>
      </c>
      <c r="N25" s="654" t="s">
        <v>611</v>
      </c>
      <c r="O25" s="655"/>
      <c r="P25" s="25"/>
    </row>
    <row r="26" spans="1:16" x14ac:dyDescent="0.25">
      <c r="A26" s="21"/>
      <c r="B26" s="40">
        <v>42207</v>
      </c>
      <c r="C26" s="46">
        <v>1958</v>
      </c>
      <c r="D26" s="30" t="s">
        <v>618</v>
      </c>
      <c r="E26" s="28">
        <v>42207</v>
      </c>
      <c r="F26" s="52">
        <v>35861.339999999997</v>
      </c>
      <c r="G26" s="25"/>
      <c r="H26" s="29">
        <v>42207</v>
      </c>
      <c r="I26" s="63">
        <v>350</v>
      </c>
      <c r="J26" s="98"/>
      <c r="K26" s="535"/>
      <c r="L26" s="490">
        <v>0</v>
      </c>
      <c r="M26" s="116">
        <v>33553</v>
      </c>
      <c r="N26" s="369"/>
      <c r="O26" s="555"/>
      <c r="P26" s="555"/>
    </row>
    <row r="27" spans="1:16" x14ac:dyDescent="0.25">
      <c r="A27" s="21"/>
      <c r="B27" s="40">
        <v>42208</v>
      </c>
      <c r="C27" s="46">
        <v>923</v>
      </c>
      <c r="D27" s="30" t="s">
        <v>619</v>
      </c>
      <c r="E27" s="28">
        <v>42208</v>
      </c>
      <c r="F27" s="52">
        <v>40467.78</v>
      </c>
      <c r="G27" s="25"/>
      <c r="H27" s="29">
        <v>42208</v>
      </c>
      <c r="I27" s="63">
        <v>0</v>
      </c>
      <c r="J27" s="81"/>
      <c r="K27" s="488"/>
      <c r="L27" s="490">
        <v>0</v>
      </c>
      <c r="M27" s="116">
        <v>39545</v>
      </c>
      <c r="N27" s="556"/>
      <c r="O27" s="25"/>
      <c r="P27" s="25"/>
    </row>
    <row r="28" spans="1:16" x14ac:dyDescent="0.25">
      <c r="A28" s="21"/>
      <c r="B28" s="40">
        <v>42209</v>
      </c>
      <c r="C28" s="46">
        <v>480</v>
      </c>
      <c r="D28" s="30" t="s">
        <v>130</v>
      </c>
      <c r="E28" s="28">
        <v>42209</v>
      </c>
      <c r="F28" s="52">
        <v>53793.07</v>
      </c>
      <c r="G28" s="25"/>
      <c r="H28" s="29">
        <v>42209</v>
      </c>
      <c r="I28" s="63">
        <v>35.5</v>
      </c>
      <c r="J28" s="81"/>
      <c r="K28" s="131"/>
      <c r="L28" s="490">
        <v>0</v>
      </c>
      <c r="M28" s="116">
        <v>53277.5</v>
      </c>
      <c r="N28" s="336"/>
      <c r="O28" s="25"/>
      <c r="P28" s="25"/>
    </row>
    <row r="29" spans="1:16" x14ac:dyDescent="0.25">
      <c r="A29" s="21"/>
      <c r="B29" s="40">
        <v>42210</v>
      </c>
      <c r="C29" s="46">
        <v>0</v>
      </c>
      <c r="D29" s="30"/>
      <c r="E29" s="28">
        <v>42210</v>
      </c>
      <c r="F29" s="52">
        <v>68767.48</v>
      </c>
      <c r="G29" s="25"/>
      <c r="H29" s="29">
        <v>42210</v>
      </c>
      <c r="I29" s="63">
        <v>46.5</v>
      </c>
      <c r="J29" s="81"/>
      <c r="K29" s="660"/>
      <c r="L29" s="539">
        <v>0</v>
      </c>
      <c r="M29" s="658">
        <v>68721</v>
      </c>
      <c r="N29" s="336"/>
      <c r="O29" s="25"/>
      <c r="P29" s="25"/>
    </row>
    <row r="30" spans="1:16" x14ac:dyDescent="0.25">
      <c r="A30" s="21"/>
      <c r="B30" s="40">
        <v>42211</v>
      </c>
      <c r="C30" s="46">
        <v>456</v>
      </c>
      <c r="D30" s="30" t="s">
        <v>22</v>
      </c>
      <c r="E30" s="28">
        <v>42211</v>
      </c>
      <c r="F30" s="52">
        <v>45582.37</v>
      </c>
      <c r="G30" s="25"/>
      <c r="H30" s="29">
        <v>42211</v>
      </c>
      <c r="I30" s="63">
        <v>681.39</v>
      </c>
      <c r="J30" s="98"/>
      <c r="K30" s="661"/>
      <c r="L30" s="539">
        <v>0</v>
      </c>
      <c r="M30" s="658">
        <v>38862</v>
      </c>
      <c r="N30" s="336"/>
      <c r="O30" s="25"/>
      <c r="P30" s="25"/>
    </row>
    <row r="31" spans="1:16" x14ac:dyDescent="0.25">
      <c r="A31" s="21"/>
      <c r="B31" s="40">
        <v>42212</v>
      </c>
      <c r="C31" s="46">
        <v>0</v>
      </c>
      <c r="D31" s="30"/>
      <c r="E31" s="28">
        <v>42212</v>
      </c>
      <c r="F31" s="52">
        <v>29748.44</v>
      </c>
      <c r="G31" s="25"/>
      <c r="H31" s="29">
        <v>42212</v>
      </c>
      <c r="I31" s="63">
        <v>25</v>
      </c>
      <c r="J31" s="82"/>
      <c r="K31" s="662"/>
      <c r="L31" s="659">
        <v>0</v>
      </c>
      <c r="M31" s="658">
        <v>29723</v>
      </c>
      <c r="N31" s="450"/>
    </row>
    <row r="32" spans="1:16" x14ac:dyDescent="0.25">
      <c r="A32" s="21"/>
      <c r="B32" s="40">
        <v>42213</v>
      </c>
      <c r="C32" s="46">
        <v>1020</v>
      </c>
      <c r="D32" s="30" t="s">
        <v>620</v>
      </c>
      <c r="E32" s="28">
        <v>42213</v>
      </c>
      <c r="F32" s="52">
        <v>28808.91</v>
      </c>
      <c r="G32" s="25"/>
      <c r="H32" s="29">
        <v>42213</v>
      </c>
      <c r="I32" s="63">
        <v>80</v>
      </c>
      <c r="J32" s="81"/>
      <c r="K32" s="663"/>
      <c r="L32" s="659"/>
      <c r="M32" s="658">
        <v>27709</v>
      </c>
      <c r="N32" s="336"/>
    </row>
    <row r="33" spans="1:17" x14ac:dyDescent="0.25">
      <c r="A33" s="21"/>
      <c r="B33" s="40">
        <v>42214</v>
      </c>
      <c r="C33" s="46">
        <v>0</v>
      </c>
      <c r="D33" s="96"/>
      <c r="E33" s="28">
        <v>42214</v>
      </c>
      <c r="F33" s="52">
        <v>26739.19</v>
      </c>
      <c r="G33" s="25"/>
      <c r="H33" s="29">
        <v>42214</v>
      </c>
      <c r="I33" s="63">
        <v>255</v>
      </c>
      <c r="J33" s="81"/>
      <c r="K33" s="664"/>
      <c r="L33" s="825">
        <v>0</v>
      </c>
      <c r="M33" s="658">
        <v>26484</v>
      </c>
      <c r="N33" s="336"/>
    </row>
    <row r="34" spans="1:17" x14ac:dyDescent="0.25">
      <c r="A34" s="21"/>
      <c r="B34" s="40">
        <v>42215</v>
      </c>
      <c r="C34" s="46">
        <v>504</v>
      </c>
      <c r="D34" s="96" t="s">
        <v>22</v>
      </c>
      <c r="E34" s="28">
        <v>42215</v>
      </c>
      <c r="F34" s="52">
        <v>30064.5</v>
      </c>
      <c r="G34" s="25"/>
      <c r="H34" s="29">
        <v>42215</v>
      </c>
      <c r="I34" s="63">
        <v>0</v>
      </c>
      <c r="J34" s="81"/>
      <c r="K34" s="664"/>
      <c r="L34" s="825"/>
      <c r="M34" s="658">
        <v>29560.5</v>
      </c>
      <c r="N34" s="450"/>
    </row>
    <row r="35" spans="1:17" ht="15.75" thickBot="1" x14ac:dyDescent="0.3">
      <c r="A35" s="21"/>
      <c r="B35" s="40">
        <v>42216</v>
      </c>
      <c r="C35" s="46">
        <v>387</v>
      </c>
      <c r="D35" s="96" t="s">
        <v>22</v>
      </c>
      <c r="E35" s="28">
        <v>42216</v>
      </c>
      <c r="F35" s="52">
        <v>56041.29</v>
      </c>
      <c r="G35" s="25"/>
      <c r="H35" s="29">
        <v>42216</v>
      </c>
      <c r="I35" s="63">
        <v>241.5</v>
      </c>
      <c r="J35" s="81" t="s">
        <v>628</v>
      </c>
      <c r="K35" s="665"/>
      <c r="L35" s="68">
        <v>0</v>
      </c>
      <c r="M35" s="116">
        <v>36280</v>
      </c>
    </row>
    <row r="36" spans="1:17" ht="15.75" thickBot="1" x14ac:dyDescent="0.3">
      <c r="A36" s="15"/>
      <c r="B36" s="145"/>
      <c r="C36" s="146">
        <v>0</v>
      </c>
      <c r="D36" s="156"/>
      <c r="E36" s="28"/>
      <c r="F36" s="52">
        <v>0</v>
      </c>
      <c r="G36" s="25"/>
      <c r="H36" s="147"/>
      <c r="I36" s="148">
        <v>0</v>
      </c>
      <c r="J36" s="56"/>
      <c r="K36" s="11"/>
      <c r="L36" s="7"/>
      <c r="M36" s="115">
        <v>0</v>
      </c>
      <c r="P36" s="612"/>
      <c r="Q36" s="612"/>
    </row>
    <row r="37" spans="1:17" ht="16.5" thickBot="1" x14ac:dyDescent="0.3">
      <c r="A37" s="99"/>
      <c r="B37" s="42"/>
      <c r="C37" s="48">
        <v>0</v>
      </c>
      <c r="D37" s="156"/>
      <c r="E37" s="9"/>
      <c r="F37" s="54">
        <v>0</v>
      </c>
      <c r="H37" s="32"/>
      <c r="I37" s="65">
        <v>0</v>
      </c>
      <c r="J37" s="56"/>
      <c r="K37" s="17"/>
      <c r="L37" s="117"/>
      <c r="M37" s="582">
        <f>SUM(M5:M36)</f>
        <v>1296981.5</v>
      </c>
    </row>
    <row r="38" spans="1:17" x14ac:dyDescent="0.25">
      <c r="B38" s="43" t="s">
        <v>1</v>
      </c>
      <c r="C38" s="49">
        <f>SUM(C5:C37)</f>
        <v>18877.37</v>
      </c>
      <c r="E38" s="547" t="s">
        <v>1</v>
      </c>
      <c r="F38" s="55">
        <f>SUM(F5:F37)</f>
        <v>1364847.17</v>
      </c>
      <c r="H38" s="549" t="s">
        <v>1</v>
      </c>
      <c r="I38" s="59">
        <f>SUM(I5:I37)</f>
        <v>7464.79</v>
      </c>
      <c r="J38" s="59"/>
      <c r="K38" s="18" t="s">
        <v>1</v>
      </c>
      <c r="L38" s="4">
        <f>SUM(L5:L37)</f>
        <v>90292.67</v>
      </c>
    </row>
    <row r="40" spans="1:17" ht="15.75" x14ac:dyDescent="0.25">
      <c r="A40" s="5"/>
      <c r="B40" s="280"/>
      <c r="C40" s="81"/>
      <c r="D40" s="157"/>
      <c r="E40" s="13"/>
      <c r="F40" s="56"/>
      <c r="H40" s="785" t="s">
        <v>11</v>
      </c>
      <c r="I40" s="786"/>
      <c r="J40" s="548"/>
      <c r="K40" s="787">
        <f>I38+L38</f>
        <v>97757.459999999992</v>
      </c>
      <c r="L40" s="788"/>
    </row>
    <row r="41" spans="1:17" ht="15.75" x14ac:dyDescent="0.25">
      <c r="B41" s="281"/>
      <c r="C41" s="56"/>
      <c r="D41" s="779" t="s">
        <v>12</v>
      </c>
      <c r="E41" s="779"/>
      <c r="F41" s="57">
        <f>F38-K40</f>
        <v>1267089.71</v>
      </c>
      <c r="I41" s="66"/>
      <c r="J41" s="66"/>
    </row>
    <row r="42" spans="1:17" ht="15.75" x14ac:dyDescent="0.25">
      <c r="D42" s="805" t="s">
        <v>246</v>
      </c>
      <c r="E42" s="805"/>
      <c r="F42" s="57">
        <v>-1266473.58</v>
      </c>
      <c r="I42" s="66"/>
      <c r="J42" s="66" t="s">
        <v>17</v>
      </c>
    </row>
    <row r="43" spans="1:17" ht="15.75" thickBot="1" x14ac:dyDescent="0.3">
      <c r="D43" s="159"/>
      <c r="E43" s="120" t="s">
        <v>0</v>
      </c>
      <c r="F43" s="121">
        <f>-C38</f>
        <v>-18877.37</v>
      </c>
    </row>
    <row r="44" spans="1:17" ht="15.75" thickTop="1" x14ac:dyDescent="0.25">
      <c r="C44" s="44" t="s">
        <v>17</v>
      </c>
      <c r="E44" s="5" t="s">
        <v>15</v>
      </c>
      <c r="F44" s="59">
        <f>SUM(F41:F43)</f>
        <v>-18261.240000000111</v>
      </c>
      <c r="I44" s="813" t="s">
        <v>248</v>
      </c>
      <c r="J44" s="814"/>
      <c r="K44" s="803">
        <f>F48+L46</f>
        <v>174625.7999999999</v>
      </c>
      <c r="L44" s="795"/>
    </row>
    <row r="45" spans="1:17" ht="15.75" thickBot="1" x14ac:dyDescent="0.3">
      <c r="D45" s="265" t="s">
        <v>253</v>
      </c>
      <c r="E45" s="5" t="s">
        <v>247</v>
      </c>
      <c r="F45" s="59">
        <v>0</v>
      </c>
      <c r="I45" s="815"/>
      <c r="J45" s="816"/>
      <c r="K45" s="804"/>
      <c r="L45" s="796"/>
    </row>
    <row r="46" spans="1:17" ht="17.25" thickTop="1" thickBot="1" x14ac:dyDescent="0.3">
      <c r="C46" s="55"/>
      <c r="D46" s="778" t="s">
        <v>13</v>
      </c>
      <c r="E46" s="778"/>
      <c r="F46" s="60">
        <v>192887.04000000001</v>
      </c>
      <c r="I46" s="790"/>
      <c r="J46" s="790"/>
      <c r="K46" s="812"/>
      <c r="L46" s="34"/>
    </row>
    <row r="47" spans="1:17" ht="19.5" thickBot="1" x14ac:dyDescent="0.35">
      <c r="C47" s="55"/>
      <c r="D47" s="547"/>
      <c r="E47" s="547"/>
      <c r="F47" s="139"/>
      <c r="H47" s="19"/>
      <c r="I47" s="550" t="s">
        <v>254</v>
      </c>
      <c r="J47" s="550"/>
      <c r="K47" s="806">
        <v>-144226.46</v>
      </c>
      <c r="L47" s="807"/>
    </row>
    <row r="48" spans="1:17" ht="17.25" thickTop="1" thickBot="1" x14ac:dyDescent="0.3">
      <c r="E48" s="6" t="s">
        <v>16</v>
      </c>
      <c r="F48" s="264">
        <f>F44+F45+F46</f>
        <v>174625.7999999999</v>
      </c>
    </row>
    <row r="49" spans="2:14" ht="19.5" thickBot="1" x14ac:dyDescent="0.35">
      <c r="B49"/>
      <c r="C49"/>
      <c r="D49" s="777"/>
      <c r="E49" s="777"/>
      <c r="F49" s="56"/>
      <c r="I49" s="810" t="s">
        <v>249</v>
      </c>
      <c r="J49" s="811"/>
      <c r="K49" s="808">
        <f>K44+K47</f>
        <v>30399.339999999909</v>
      </c>
      <c r="L49" s="809"/>
      <c r="M49" s="113"/>
      <c r="N49"/>
    </row>
    <row r="50" spans="2:14" x14ac:dyDescent="0.25">
      <c r="B50"/>
      <c r="C50"/>
      <c r="M50" s="113"/>
      <c r="N50"/>
    </row>
    <row r="51" spans="2:14" x14ac:dyDescent="0.25">
      <c r="B51"/>
      <c r="C51"/>
      <c r="N51"/>
    </row>
    <row r="52" spans="2:14" x14ac:dyDescent="0.25">
      <c r="B52"/>
      <c r="C52"/>
      <c r="F52"/>
      <c r="I52"/>
      <c r="J52"/>
      <c r="M52"/>
      <c r="N52"/>
    </row>
    <row r="53" spans="2:14" x14ac:dyDescent="0.25">
      <c r="B53"/>
      <c r="C53"/>
      <c r="N53"/>
    </row>
    <row r="54" spans="2:14" x14ac:dyDescent="0.25">
      <c r="M54" s="56"/>
      <c r="N54"/>
    </row>
    <row r="55" spans="2:14" x14ac:dyDescent="0.25">
      <c r="M55" s="56"/>
      <c r="N55"/>
    </row>
    <row r="56" spans="2:14" x14ac:dyDescent="0.25">
      <c r="M56" s="56"/>
      <c r="N56"/>
    </row>
    <row r="57" spans="2:14" x14ac:dyDescent="0.25">
      <c r="M57" s="56"/>
      <c r="N57"/>
    </row>
  </sheetData>
  <mergeCells count="17">
    <mergeCell ref="N12:P13"/>
    <mergeCell ref="L33:L34"/>
    <mergeCell ref="C1:K1"/>
    <mergeCell ref="E4:F4"/>
    <mergeCell ref="I4:L4"/>
    <mergeCell ref="H40:I40"/>
    <mergeCell ref="K40:L40"/>
    <mergeCell ref="D41:E41"/>
    <mergeCell ref="D42:E42"/>
    <mergeCell ref="I44:J45"/>
    <mergeCell ref="K44:L45"/>
    <mergeCell ref="D46:E46"/>
    <mergeCell ref="I46:K46"/>
    <mergeCell ref="K47:L47"/>
    <mergeCell ref="D49:E49"/>
    <mergeCell ref="I49:J49"/>
    <mergeCell ref="K49:L49"/>
  </mergeCells>
  <pageMargins left="0.31496062992125984" right="0.11811023622047245" top="0.15748031496062992" bottom="0.15748031496062992" header="0.31496062992125984" footer="0.31496062992125984"/>
  <pageSetup scale="75" orientation="landscape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P78"/>
  <sheetViews>
    <sheetView topLeftCell="A28" workbookViewId="0">
      <selection activeCell="P20" sqref="P20"/>
    </sheetView>
  </sheetViews>
  <sheetFormatPr baseColWidth="10" defaultRowHeight="15" x14ac:dyDescent="0.25"/>
  <cols>
    <col min="1" max="1" width="12.5703125" style="5" bestFit="1" customWidth="1"/>
    <col min="2" max="2" width="12.85546875" bestFit="1" customWidth="1"/>
    <col min="3" max="3" width="15.85546875" style="44" bestFit="1" customWidth="1"/>
    <col min="4" max="4" width="12.42578125" bestFit="1" customWidth="1"/>
    <col min="5" max="5" width="15.140625" style="336" bestFit="1" customWidth="1"/>
    <col min="6" max="6" width="18.5703125" style="336" bestFit="1" customWidth="1"/>
    <col min="8" max="8" width="12.5703125" bestFit="1" customWidth="1"/>
    <col min="10" max="10" width="16.7109375" customWidth="1"/>
    <col min="13" max="13" width="15" style="5" customWidth="1"/>
    <col min="14" max="14" width="12.28515625" style="5" bestFit="1" customWidth="1"/>
    <col min="15" max="15" width="11.5703125" bestFit="1" customWidth="1"/>
  </cols>
  <sheetData>
    <row r="1" spans="1:15" ht="19.5" thickBot="1" x14ac:dyDescent="0.35">
      <c r="B1" s="204" t="s">
        <v>566</v>
      </c>
      <c r="J1" s="474" t="s">
        <v>205</v>
      </c>
      <c r="K1" s="204"/>
      <c r="L1" s="546"/>
      <c r="M1" s="425">
        <v>42189</v>
      </c>
      <c r="N1" s="276"/>
    </row>
    <row r="2" spans="1:15" ht="16.5" thickBot="1" x14ac:dyDescent="0.3">
      <c r="A2" s="511"/>
      <c r="B2" s="319"/>
      <c r="C2" s="512"/>
      <c r="D2" s="319"/>
      <c r="E2" s="513"/>
      <c r="F2" s="513"/>
      <c r="I2" s="205"/>
      <c r="J2" s="419"/>
      <c r="K2" s="205"/>
      <c r="L2" s="206"/>
      <c r="M2" s="419"/>
      <c r="N2" s="519"/>
    </row>
    <row r="3" spans="1:15" ht="15.75" x14ac:dyDescent="0.25">
      <c r="A3" s="411">
        <v>42186</v>
      </c>
      <c r="B3" s="412" t="s">
        <v>567</v>
      </c>
      <c r="C3" s="450">
        <v>89786.18</v>
      </c>
      <c r="D3" s="534" t="s">
        <v>614</v>
      </c>
      <c r="E3" s="450">
        <f>81035.48+8750.7</f>
        <v>89786.18</v>
      </c>
      <c r="F3" s="413">
        <f t="shared" ref="F3:F40" si="0">C3-E3</f>
        <v>0</v>
      </c>
      <c r="G3" s="25"/>
      <c r="I3" s="212" t="s">
        <v>202</v>
      </c>
      <c r="J3" s="419" t="s">
        <v>195</v>
      </c>
      <c r="K3" s="205"/>
      <c r="L3" s="206" t="s">
        <v>203</v>
      </c>
      <c r="M3" s="419" t="s">
        <v>204</v>
      </c>
      <c r="N3" s="519"/>
    </row>
    <row r="4" spans="1:15" ht="15.75" x14ac:dyDescent="0.25">
      <c r="A4" s="249">
        <v>42187</v>
      </c>
      <c r="B4" s="483" t="s">
        <v>568</v>
      </c>
      <c r="C4" s="450">
        <v>3577.8</v>
      </c>
      <c r="D4" s="534">
        <v>42210</v>
      </c>
      <c r="E4" s="450">
        <v>3577.8</v>
      </c>
      <c r="F4" s="296">
        <f t="shared" si="0"/>
        <v>0</v>
      </c>
      <c r="G4" s="25"/>
      <c r="I4" s="561">
        <v>24012</v>
      </c>
      <c r="J4" s="216">
        <v>14855.02</v>
      </c>
      <c r="K4" s="216"/>
      <c r="L4" s="331" t="s">
        <v>396</v>
      </c>
      <c r="M4" s="522">
        <v>15100</v>
      </c>
      <c r="N4" s="523">
        <v>42173</v>
      </c>
      <c r="O4" s="21">
        <v>42164</v>
      </c>
    </row>
    <row r="5" spans="1:15" ht="15.75" x14ac:dyDescent="0.25">
      <c r="A5" s="249">
        <v>42188</v>
      </c>
      <c r="B5" s="483" t="s">
        <v>571</v>
      </c>
      <c r="C5" s="450">
        <v>93349.84</v>
      </c>
      <c r="D5" s="534">
        <v>42210</v>
      </c>
      <c r="E5" s="450">
        <v>93349.84</v>
      </c>
      <c r="F5" s="296">
        <f t="shared" si="0"/>
        <v>0</v>
      </c>
      <c r="G5" s="25"/>
      <c r="I5" s="344">
        <v>24107</v>
      </c>
      <c r="J5" s="81">
        <v>77081.64</v>
      </c>
      <c r="K5" s="234"/>
      <c r="L5" s="331" t="s">
        <v>396</v>
      </c>
      <c r="M5" s="522">
        <v>23425</v>
      </c>
      <c r="N5" s="523">
        <v>42173</v>
      </c>
      <c r="O5" s="21">
        <v>42165</v>
      </c>
    </row>
    <row r="6" spans="1:15" ht="15.75" x14ac:dyDescent="0.25">
      <c r="A6" s="249">
        <v>42189</v>
      </c>
      <c r="B6" s="483" t="s">
        <v>572</v>
      </c>
      <c r="C6" s="450">
        <v>9242.6</v>
      </c>
      <c r="D6" s="534">
        <v>42210</v>
      </c>
      <c r="E6" s="450">
        <v>9242.6</v>
      </c>
      <c r="F6" s="296">
        <f>C6-E6</f>
        <v>0</v>
      </c>
      <c r="G6" s="25"/>
      <c r="I6" s="344">
        <v>24264</v>
      </c>
      <c r="J6" s="81">
        <v>14416.4</v>
      </c>
      <c r="K6" s="234"/>
      <c r="L6" s="331" t="s">
        <v>396</v>
      </c>
      <c r="M6" s="521">
        <v>200</v>
      </c>
      <c r="N6" s="525">
        <v>42180</v>
      </c>
      <c r="O6" s="21">
        <v>42165</v>
      </c>
    </row>
    <row r="7" spans="1:15" ht="15.75" x14ac:dyDescent="0.25">
      <c r="A7" s="249">
        <v>42189</v>
      </c>
      <c r="B7" s="483" t="s">
        <v>573</v>
      </c>
      <c r="C7" s="450">
        <v>437.4</v>
      </c>
      <c r="D7" s="534">
        <v>42210</v>
      </c>
      <c r="E7" s="450">
        <v>437.4</v>
      </c>
      <c r="F7" s="296">
        <f t="shared" si="0"/>
        <v>0</v>
      </c>
      <c r="G7" s="25"/>
      <c r="I7" s="344">
        <v>24349</v>
      </c>
      <c r="J7" s="81">
        <v>1145</v>
      </c>
      <c r="K7" s="234"/>
      <c r="L7" s="331" t="s">
        <v>396</v>
      </c>
      <c r="M7" s="522">
        <v>34581</v>
      </c>
      <c r="N7" s="523">
        <v>42173</v>
      </c>
      <c r="O7" s="21">
        <v>42166</v>
      </c>
    </row>
    <row r="8" spans="1:15" ht="15.75" x14ac:dyDescent="0.25">
      <c r="A8" s="249">
        <v>42190</v>
      </c>
      <c r="B8" s="483" t="s">
        <v>574</v>
      </c>
      <c r="C8" s="450">
        <v>25649.9</v>
      </c>
      <c r="D8" s="534">
        <v>42210</v>
      </c>
      <c r="E8" s="450">
        <v>25649.9</v>
      </c>
      <c r="F8" s="296">
        <f t="shared" si="0"/>
        <v>0</v>
      </c>
      <c r="G8" s="25"/>
      <c r="I8" s="344">
        <v>24381</v>
      </c>
      <c r="J8" s="81">
        <v>71111.740000000005</v>
      </c>
      <c r="K8" s="234"/>
      <c r="L8" s="331" t="s">
        <v>396</v>
      </c>
      <c r="M8" s="522">
        <v>56581.5</v>
      </c>
      <c r="N8" s="523">
        <v>42173</v>
      </c>
      <c r="O8" s="21">
        <v>42167</v>
      </c>
    </row>
    <row r="9" spans="1:15" ht="15.75" x14ac:dyDescent="0.25">
      <c r="A9" s="249">
        <v>42191</v>
      </c>
      <c r="B9" s="483" t="s">
        <v>579</v>
      </c>
      <c r="C9" s="81">
        <v>90399</v>
      </c>
      <c r="D9" s="534">
        <v>42210</v>
      </c>
      <c r="E9" s="81">
        <v>90399</v>
      </c>
      <c r="F9" s="296">
        <f t="shared" si="0"/>
        <v>0</v>
      </c>
      <c r="G9" s="25"/>
      <c r="I9" s="344">
        <v>24460</v>
      </c>
      <c r="J9" s="81">
        <v>14871.78</v>
      </c>
      <c r="K9" s="235"/>
      <c r="L9" s="331" t="s">
        <v>396</v>
      </c>
      <c r="M9" s="521">
        <v>50950</v>
      </c>
      <c r="N9" s="525">
        <v>42173</v>
      </c>
      <c r="O9" s="21">
        <v>42168</v>
      </c>
    </row>
    <row r="10" spans="1:15" ht="15.75" x14ac:dyDescent="0.25">
      <c r="A10" s="249">
        <v>42193</v>
      </c>
      <c r="B10" s="344" t="s">
        <v>580</v>
      </c>
      <c r="C10" s="81">
        <v>7742.8</v>
      </c>
      <c r="D10" s="534">
        <v>42210</v>
      </c>
      <c r="E10" s="81">
        <v>7742.8</v>
      </c>
      <c r="F10" s="296">
        <f t="shared" si="0"/>
        <v>0</v>
      </c>
      <c r="G10" s="25"/>
      <c r="I10" s="344">
        <v>24570</v>
      </c>
      <c r="J10" s="81">
        <v>70692.86</v>
      </c>
      <c r="K10" s="230"/>
      <c r="L10" s="331" t="s">
        <v>396</v>
      </c>
      <c r="M10" s="522">
        <v>34140</v>
      </c>
      <c r="N10" s="523">
        <v>42173</v>
      </c>
      <c r="O10" s="21">
        <v>42169</v>
      </c>
    </row>
    <row r="11" spans="1:15" ht="15.75" x14ac:dyDescent="0.25">
      <c r="A11" s="249">
        <v>42194</v>
      </c>
      <c r="B11" s="344" t="s">
        <v>581</v>
      </c>
      <c r="C11" s="81">
        <v>9117</v>
      </c>
      <c r="D11" s="534">
        <v>42210</v>
      </c>
      <c r="E11" s="81">
        <v>9117</v>
      </c>
      <c r="F11" s="297">
        <f t="shared" si="0"/>
        <v>0</v>
      </c>
      <c r="G11" s="25"/>
      <c r="I11" s="344">
        <v>24653</v>
      </c>
      <c r="J11" s="81">
        <v>24500.400000000001</v>
      </c>
      <c r="K11" s="230"/>
      <c r="L11" s="331" t="s">
        <v>396</v>
      </c>
      <c r="M11" s="521">
        <v>21000</v>
      </c>
      <c r="N11" s="525">
        <v>42173</v>
      </c>
      <c r="O11" s="21">
        <v>42170</v>
      </c>
    </row>
    <row r="12" spans="1:15" ht="15.75" x14ac:dyDescent="0.25">
      <c r="A12" s="249">
        <v>42195</v>
      </c>
      <c r="B12" s="344" t="s">
        <v>582</v>
      </c>
      <c r="C12" s="81">
        <v>16209.16</v>
      </c>
      <c r="D12" s="534">
        <v>42210</v>
      </c>
      <c r="E12" s="81">
        <v>16209.16</v>
      </c>
      <c r="F12" s="297">
        <f t="shared" si="0"/>
        <v>0</v>
      </c>
      <c r="G12" s="25"/>
      <c r="I12" s="344">
        <v>24840</v>
      </c>
      <c r="J12" s="81">
        <v>76689.25</v>
      </c>
      <c r="K12" s="230"/>
      <c r="L12" s="331" t="s">
        <v>396</v>
      </c>
      <c r="M12" s="522">
        <v>11665.5</v>
      </c>
      <c r="N12" s="523">
        <v>42180</v>
      </c>
      <c r="O12" s="21">
        <v>42170</v>
      </c>
    </row>
    <row r="13" spans="1:15" ht="15.75" x14ac:dyDescent="0.25">
      <c r="A13" s="249">
        <v>42195</v>
      </c>
      <c r="B13" s="344" t="s">
        <v>584</v>
      </c>
      <c r="C13" s="81">
        <v>24291.3</v>
      </c>
      <c r="D13" s="534">
        <v>42210</v>
      </c>
      <c r="E13" s="81">
        <v>24291.3</v>
      </c>
      <c r="F13" s="297">
        <f t="shared" si="0"/>
        <v>0</v>
      </c>
      <c r="G13" s="25"/>
      <c r="I13" s="344">
        <v>24841</v>
      </c>
      <c r="J13" s="81">
        <v>31984.2</v>
      </c>
      <c r="K13" s="230"/>
      <c r="L13" s="331" t="s">
        <v>396</v>
      </c>
      <c r="M13" s="521">
        <v>32275</v>
      </c>
      <c r="N13" s="525">
        <v>42180</v>
      </c>
      <c r="O13" s="21">
        <v>42171</v>
      </c>
    </row>
    <row r="14" spans="1:15" ht="15.75" x14ac:dyDescent="0.25">
      <c r="A14" s="343">
        <v>42196</v>
      </c>
      <c r="B14" s="344" t="s">
        <v>585</v>
      </c>
      <c r="C14" s="81">
        <v>57565.7</v>
      </c>
      <c r="D14" s="534">
        <v>42210</v>
      </c>
      <c r="E14" s="81">
        <v>57565.7</v>
      </c>
      <c r="F14" s="297">
        <f t="shared" si="0"/>
        <v>0</v>
      </c>
      <c r="G14" s="25"/>
      <c r="I14" s="344">
        <v>24948</v>
      </c>
      <c r="J14" s="81">
        <v>12545.66</v>
      </c>
      <c r="K14" s="416"/>
      <c r="L14" s="331" t="s">
        <v>396</v>
      </c>
      <c r="M14" s="521">
        <v>38573</v>
      </c>
      <c r="N14" s="525">
        <v>42180</v>
      </c>
      <c r="O14" s="21">
        <v>42172</v>
      </c>
    </row>
    <row r="15" spans="1:15" ht="15.75" x14ac:dyDescent="0.25">
      <c r="A15" s="343">
        <v>42196</v>
      </c>
      <c r="B15" s="344" t="s">
        <v>586</v>
      </c>
      <c r="C15" s="81">
        <v>65010</v>
      </c>
      <c r="D15" s="534">
        <v>42210</v>
      </c>
      <c r="E15" s="81">
        <v>65010</v>
      </c>
      <c r="F15" s="297">
        <f t="shared" si="0"/>
        <v>0</v>
      </c>
      <c r="G15" s="25"/>
      <c r="I15" s="344" t="s">
        <v>550</v>
      </c>
      <c r="J15" s="81">
        <v>16640.2</v>
      </c>
      <c r="K15" s="416"/>
      <c r="L15" s="331" t="s">
        <v>396</v>
      </c>
      <c r="M15" s="521">
        <v>20291.5</v>
      </c>
      <c r="N15" s="525">
        <v>42180</v>
      </c>
      <c r="O15" s="21">
        <v>42173</v>
      </c>
    </row>
    <row r="16" spans="1:15" ht="15.75" x14ac:dyDescent="0.25">
      <c r="A16" s="343">
        <v>42198</v>
      </c>
      <c r="B16" s="344" t="s">
        <v>587</v>
      </c>
      <c r="C16" s="81">
        <v>40533.42</v>
      </c>
      <c r="D16" s="534">
        <v>42210</v>
      </c>
      <c r="E16" s="81">
        <v>40533.42</v>
      </c>
      <c r="F16" s="297">
        <f t="shared" si="0"/>
        <v>0</v>
      </c>
      <c r="G16" s="25"/>
      <c r="I16" s="344" t="s">
        <v>553</v>
      </c>
      <c r="J16" s="322">
        <v>97343.32</v>
      </c>
      <c r="K16" s="230"/>
      <c r="L16" s="331" t="s">
        <v>396</v>
      </c>
      <c r="M16" s="521">
        <v>65103</v>
      </c>
      <c r="N16" s="525">
        <v>42180</v>
      </c>
      <c r="O16" s="21">
        <v>42174</v>
      </c>
    </row>
    <row r="17" spans="1:15" ht="18.75" x14ac:dyDescent="0.3">
      <c r="A17" s="343">
        <v>42199</v>
      </c>
      <c r="B17" s="344" t="s">
        <v>588</v>
      </c>
      <c r="C17" s="81">
        <v>11888</v>
      </c>
      <c r="D17" s="534">
        <v>42210</v>
      </c>
      <c r="E17" s="81">
        <v>11888</v>
      </c>
      <c r="F17" s="297">
        <f t="shared" si="0"/>
        <v>0</v>
      </c>
      <c r="G17" s="25"/>
      <c r="I17" s="344" t="s">
        <v>555</v>
      </c>
      <c r="J17" s="81">
        <v>3000</v>
      </c>
      <c r="K17" s="460"/>
      <c r="L17" s="329" t="s">
        <v>396</v>
      </c>
      <c r="M17" s="526">
        <v>81776.5</v>
      </c>
      <c r="N17" s="527">
        <v>42180</v>
      </c>
      <c r="O17" s="21">
        <v>42175</v>
      </c>
    </row>
    <row r="18" spans="1:15" ht="15.75" x14ac:dyDescent="0.25">
      <c r="A18" s="343">
        <v>42200</v>
      </c>
      <c r="B18" s="344" t="s">
        <v>589</v>
      </c>
      <c r="C18" s="81">
        <v>15100.7</v>
      </c>
      <c r="D18" s="534">
        <v>42210</v>
      </c>
      <c r="E18" s="81">
        <v>15100.7</v>
      </c>
      <c r="F18" s="297">
        <f t="shared" si="0"/>
        <v>0</v>
      </c>
      <c r="G18" s="25"/>
      <c r="I18" s="344" t="s">
        <v>554</v>
      </c>
      <c r="J18" s="81">
        <v>91966.35</v>
      </c>
      <c r="K18" s="416"/>
      <c r="L18" s="237" t="s">
        <v>396</v>
      </c>
      <c r="M18" s="521">
        <v>32200</v>
      </c>
      <c r="N18" s="525">
        <v>42180</v>
      </c>
      <c r="O18" s="21">
        <v>42176</v>
      </c>
    </row>
    <row r="19" spans="1:15" ht="15.75" x14ac:dyDescent="0.25">
      <c r="A19" s="343">
        <v>42201</v>
      </c>
      <c r="B19" s="344" t="s">
        <v>590</v>
      </c>
      <c r="C19" s="81">
        <v>120996.45</v>
      </c>
      <c r="D19" s="534">
        <v>42210</v>
      </c>
      <c r="E19" s="81">
        <v>120996.45</v>
      </c>
      <c r="F19" s="297">
        <f t="shared" si="0"/>
        <v>0</v>
      </c>
      <c r="G19" s="25"/>
      <c r="I19" s="506" t="s">
        <v>556</v>
      </c>
      <c r="J19" s="59">
        <v>32690.7</v>
      </c>
      <c r="K19" s="230"/>
      <c r="L19" s="237" t="s">
        <v>396</v>
      </c>
      <c r="M19" s="521">
        <v>20890</v>
      </c>
      <c r="N19" s="525">
        <v>42185</v>
      </c>
      <c r="O19" s="21">
        <v>42177</v>
      </c>
    </row>
    <row r="20" spans="1:15" ht="15.75" x14ac:dyDescent="0.25">
      <c r="A20" s="343">
        <v>42202</v>
      </c>
      <c r="B20" s="344" t="s">
        <v>591</v>
      </c>
      <c r="C20" s="81">
        <v>6651.4</v>
      </c>
      <c r="D20" s="534">
        <v>42210</v>
      </c>
      <c r="E20" s="81">
        <v>6651.4</v>
      </c>
      <c r="F20" s="297">
        <f t="shared" si="0"/>
        <v>0</v>
      </c>
      <c r="G20" s="25"/>
      <c r="I20" s="412" t="s">
        <v>567</v>
      </c>
      <c r="J20" s="450">
        <v>81035.48</v>
      </c>
      <c r="K20" s="216" t="s">
        <v>325</v>
      </c>
      <c r="L20" s="421" t="s">
        <v>396</v>
      </c>
      <c r="M20" s="681">
        <v>16570</v>
      </c>
      <c r="N20" s="682">
        <v>42185</v>
      </c>
      <c r="O20" s="21">
        <v>42178</v>
      </c>
    </row>
    <row r="21" spans="1:15" ht="15.75" x14ac:dyDescent="0.25">
      <c r="A21" s="343">
        <v>42203</v>
      </c>
      <c r="B21" s="344" t="s">
        <v>592</v>
      </c>
      <c r="C21" s="81">
        <v>85349.69</v>
      </c>
      <c r="D21" s="534">
        <v>42210</v>
      </c>
      <c r="E21" s="81">
        <v>85349.69</v>
      </c>
      <c r="F21" s="297">
        <f t="shared" si="0"/>
        <v>0</v>
      </c>
      <c r="G21" s="25"/>
      <c r="I21" s="483"/>
      <c r="J21" s="450"/>
      <c r="K21" s="234"/>
      <c r="L21" s="421" t="s">
        <v>396</v>
      </c>
      <c r="M21" s="528">
        <v>33181</v>
      </c>
      <c r="N21" s="527">
        <v>42185</v>
      </c>
      <c r="O21" s="21">
        <v>42179</v>
      </c>
    </row>
    <row r="22" spans="1:15" ht="15.75" x14ac:dyDescent="0.25">
      <c r="A22" s="343">
        <v>42204</v>
      </c>
      <c r="B22" s="344" t="s">
        <v>593</v>
      </c>
      <c r="C22" s="81">
        <v>20117.599999999999</v>
      </c>
      <c r="D22" s="534">
        <v>42210</v>
      </c>
      <c r="E22" s="81">
        <v>20117.599999999999</v>
      </c>
      <c r="F22" s="297">
        <f t="shared" si="0"/>
        <v>0</v>
      </c>
      <c r="G22" s="25"/>
      <c r="I22" s="496"/>
      <c r="J22" s="432"/>
      <c r="K22" s="459"/>
      <c r="L22" s="421" t="s">
        <v>396</v>
      </c>
      <c r="M22" s="528">
        <v>24315</v>
      </c>
      <c r="N22" s="527">
        <v>42185</v>
      </c>
      <c r="O22" s="21">
        <v>42180</v>
      </c>
    </row>
    <row r="23" spans="1:15" ht="18.75" x14ac:dyDescent="0.3">
      <c r="A23" s="359">
        <v>42204</v>
      </c>
      <c r="B23" s="578" t="s">
        <v>594</v>
      </c>
      <c r="C23" s="579">
        <v>0</v>
      </c>
      <c r="D23" s="580" t="s">
        <v>597</v>
      </c>
      <c r="E23" s="579">
        <v>0</v>
      </c>
      <c r="F23" s="297">
        <f t="shared" si="0"/>
        <v>0</v>
      </c>
      <c r="G23" s="25"/>
      <c r="I23" s="459"/>
      <c r="J23" s="464"/>
      <c r="K23" s="460"/>
      <c r="L23" s="421" t="s">
        <v>396</v>
      </c>
      <c r="M23" s="526">
        <v>45918</v>
      </c>
      <c r="N23" s="527">
        <v>42186</v>
      </c>
      <c r="O23" s="21">
        <v>42181</v>
      </c>
    </row>
    <row r="24" spans="1:15" ht="15.75" x14ac:dyDescent="0.25">
      <c r="A24" s="359">
        <v>42204</v>
      </c>
      <c r="B24" s="344" t="s">
        <v>595</v>
      </c>
      <c r="C24" s="322">
        <v>24174</v>
      </c>
      <c r="D24" s="534">
        <v>42210</v>
      </c>
      <c r="E24" s="322">
        <v>24174</v>
      </c>
      <c r="F24" s="297">
        <f t="shared" si="0"/>
        <v>0</v>
      </c>
      <c r="G24" s="25"/>
      <c r="I24" s="493"/>
      <c r="J24" s="432"/>
      <c r="K24" s="459"/>
      <c r="L24" s="421" t="s">
        <v>396</v>
      </c>
      <c r="M24" s="528">
        <v>45627</v>
      </c>
      <c r="N24" s="527">
        <v>42185</v>
      </c>
      <c r="O24" s="21">
        <v>42182</v>
      </c>
    </row>
    <row r="25" spans="1:15" ht="15.75" x14ac:dyDescent="0.25">
      <c r="A25" s="359">
        <v>42205</v>
      </c>
      <c r="B25" s="344" t="s">
        <v>596</v>
      </c>
      <c r="C25" s="81">
        <v>5443.8</v>
      </c>
      <c r="D25" s="534">
        <v>42210</v>
      </c>
      <c r="E25" s="81">
        <v>5443.8</v>
      </c>
      <c r="F25" s="297">
        <f>C25-E25</f>
        <v>0</v>
      </c>
      <c r="G25" s="25"/>
      <c r="I25" s="495"/>
      <c r="J25" s="432"/>
      <c r="K25" s="459"/>
      <c r="L25" s="421" t="s">
        <v>396</v>
      </c>
      <c r="M25" s="528">
        <v>28207</v>
      </c>
      <c r="N25" s="527">
        <v>42185</v>
      </c>
      <c r="O25" s="21">
        <v>42183</v>
      </c>
    </row>
    <row r="26" spans="1:15" ht="16.5" thickBot="1" x14ac:dyDescent="0.3">
      <c r="A26" s="359">
        <v>42206</v>
      </c>
      <c r="B26" s="344" t="s">
        <v>598</v>
      </c>
      <c r="C26" s="81">
        <v>17571.8</v>
      </c>
      <c r="D26" s="534">
        <v>42210</v>
      </c>
      <c r="E26" s="294">
        <v>17571.8</v>
      </c>
      <c r="F26" s="297">
        <f t="shared" si="0"/>
        <v>0</v>
      </c>
      <c r="G26" s="25"/>
      <c r="I26" s="361"/>
      <c r="J26" s="226">
        <v>0</v>
      </c>
      <c r="K26" s="226"/>
      <c r="L26" s="227"/>
      <c r="M26" s="121">
        <v>0</v>
      </c>
      <c r="N26" s="520"/>
    </row>
    <row r="27" spans="1:15" ht="16.5" thickTop="1" x14ac:dyDescent="0.25">
      <c r="A27" s="343">
        <v>42206</v>
      </c>
      <c r="B27" s="496" t="s">
        <v>599</v>
      </c>
      <c r="C27" s="59">
        <v>43506.06</v>
      </c>
      <c r="D27" s="534">
        <v>42210</v>
      </c>
      <c r="E27" s="450">
        <v>43506.06</v>
      </c>
      <c r="F27" s="297">
        <f t="shared" si="0"/>
        <v>0</v>
      </c>
      <c r="G27" s="25"/>
      <c r="I27" s="361"/>
      <c r="J27" s="419">
        <f>SUM(J4:J26)</f>
        <v>732569.99999999988</v>
      </c>
      <c r="K27" s="208"/>
      <c r="L27" s="206"/>
      <c r="M27" s="419">
        <f>SUM(M4:M26)</f>
        <v>732570</v>
      </c>
      <c r="N27" s="276"/>
    </row>
    <row r="28" spans="1:15" x14ac:dyDescent="0.25">
      <c r="A28" s="343">
        <v>42208</v>
      </c>
      <c r="B28" s="506" t="s">
        <v>612</v>
      </c>
      <c r="C28" s="59">
        <v>39160.639999999999</v>
      </c>
      <c r="D28" s="534">
        <v>42210</v>
      </c>
      <c r="E28" s="450">
        <v>39160.639999999999</v>
      </c>
      <c r="F28" s="600">
        <f t="shared" si="0"/>
        <v>0</v>
      </c>
      <c r="G28" s="25"/>
    </row>
    <row r="29" spans="1:15" ht="15.75" customHeight="1" thickBot="1" x14ac:dyDescent="0.3">
      <c r="A29" s="343">
        <v>42208</v>
      </c>
      <c r="B29" s="496" t="s">
        <v>613</v>
      </c>
      <c r="C29" s="81">
        <v>1436.4</v>
      </c>
      <c r="D29" s="465">
        <v>42210</v>
      </c>
      <c r="E29" s="294">
        <v>1436.4</v>
      </c>
      <c r="F29" s="297">
        <f t="shared" si="0"/>
        <v>0</v>
      </c>
      <c r="G29" s="25"/>
    </row>
    <row r="30" spans="1:15" ht="15.75" customHeight="1" thickBot="1" x14ac:dyDescent="0.35">
      <c r="A30" s="545">
        <v>42209</v>
      </c>
      <c r="B30" s="496" t="s">
        <v>615</v>
      </c>
      <c r="C30" s="81">
        <v>22250.5</v>
      </c>
      <c r="D30" s="465">
        <v>42210</v>
      </c>
      <c r="E30" s="294">
        <v>22250.5</v>
      </c>
      <c r="F30" s="297">
        <f t="shared" si="0"/>
        <v>0</v>
      </c>
      <c r="G30" s="25"/>
      <c r="J30" s="474" t="s">
        <v>205</v>
      </c>
      <c r="K30" s="204"/>
      <c r="L30" s="583"/>
      <c r="M30" s="544">
        <v>42210</v>
      </c>
      <c r="N30" s="276"/>
      <c r="O30" s="73"/>
    </row>
    <row r="31" spans="1:15" ht="15.75" customHeight="1" x14ac:dyDescent="0.25">
      <c r="A31" s="343">
        <v>42210</v>
      </c>
      <c r="B31" s="496" t="s">
        <v>616</v>
      </c>
      <c r="C31" s="81">
        <v>25755.3</v>
      </c>
      <c r="D31" s="465">
        <v>42210</v>
      </c>
      <c r="E31" s="294">
        <v>25755.3</v>
      </c>
      <c r="F31" s="297">
        <f t="shared" si="0"/>
        <v>0</v>
      </c>
      <c r="G31" s="25"/>
      <c r="I31" s="205"/>
      <c r="J31" s="419"/>
      <c r="K31" s="205"/>
      <c r="L31" s="206"/>
      <c r="M31" s="419"/>
      <c r="N31" s="519"/>
      <c r="O31" s="73"/>
    </row>
    <row r="32" spans="1:15" ht="15.75" x14ac:dyDescent="0.25">
      <c r="A32" s="545">
        <v>42210</v>
      </c>
      <c r="B32" s="496" t="s">
        <v>617</v>
      </c>
      <c r="C32" s="450">
        <v>123334.15</v>
      </c>
      <c r="D32" s="604" t="s">
        <v>625</v>
      </c>
      <c r="E32" s="450">
        <f>3808.94+119525.21</f>
        <v>123334.15000000001</v>
      </c>
      <c r="F32" s="297">
        <f t="shared" si="0"/>
        <v>0</v>
      </c>
      <c r="G32" s="25"/>
      <c r="I32" s="212" t="s">
        <v>202</v>
      </c>
      <c r="J32" s="419" t="s">
        <v>195</v>
      </c>
      <c r="K32" s="205"/>
      <c r="L32" s="206" t="s">
        <v>203</v>
      </c>
      <c r="M32" s="419" t="s">
        <v>204</v>
      </c>
      <c r="N32" s="519"/>
      <c r="O32" s="73"/>
    </row>
    <row r="33" spans="1:15" ht="16.5" customHeight="1" x14ac:dyDescent="0.25">
      <c r="A33" s="343">
        <v>42210</v>
      </c>
      <c r="B33" s="496" t="s">
        <v>621</v>
      </c>
      <c r="C33" s="81">
        <v>1480</v>
      </c>
      <c r="D33" s="465">
        <v>42216</v>
      </c>
      <c r="E33" s="294">
        <v>1480</v>
      </c>
      <c r="F33" s="297">
        <f t="shared" si="0"/>
        <v>0</v>
      </c>
      <c r="G33" s="25"/>
      <c r="I33" s="215">
        <v>23370</v>
      </c>
      <c r="J33" s="216">
        <v>25821.599999999999</v>
      </c>
      <c r="K33" s="216"/>
      <c r="L33" s="331" t="s">
        <v>396</v>
      </c>
      <c r="M33" s="522">
        <v>20000</v>
      </c>
      <c r="N33" s="523">
        <v>42185</v>
      </c>
      <c r="O33" s="364">
        <v>42184</v>
      </c>
    </row>
    <row r="34" spans="1:15" ht="16.5" customHeight="1" x14ac:dyDescent="0.25">
      <c r="A34" s="595">
        <v>42212</v>
      </c>
      <c r="B34" s="585" t="s">
        <v>622</v>
      </c>
      <c r="C34" s="81">
        <v>12709.2</v>
      </c>
      <c r="D34" s="465">
        <v>42216</v>
      </c>
      <c r="E34" s="294">
        <v>12709.2</v>
      </c>
      <c r="F34" s="596">
        <f t="shared" si="0"/>
        <v>0</v>
      </c>
      <c r="G34" s="25"/>
      <c r="I34" s="233" t="s">
        <v>567</v>
      </c>
      <c r="J34" s="234">
        <v>8750.7000000000007</v>
      </c>
      <c r="K34" s="234"/>
      <c r="L34" s="331" t="s">
        <v>396</v>
      </c>
      <c r="M34" s="522">
        <v>9252</v>
      </c>
      <c r="N34" s="523">
        <v>42194</v>
      </c>
      <c r="O34" s="364">
        <v>42184</v>
      </c>
    </row>
    <row r="35" spans="1:15" ht="15.75" x14ac:dyDescent="0.25">
      <c r="A35" s="602">
        <v>42213</v>
      </c>
      <c r="B35" s="598" t="s">
        <v>623</v>
      </c>
      <c r="C35" s="57">
        <v>5152.3999999999996</v>
      </c>
      <c r="D35" s="605">
        <v>42216</v>
      </c>
      <c r="E35" s="81">
        <v>5152.3999999999996</v>
      </c>
      <c r="F35" s="596">
        <f t="shared" si="0"/>
        <v>0</v>
      </c>
      <c r="G35" s="25"/>
      <c r="I35" s="483" t="s">
        <v>568</v>
      </c>
      <c r="J35" s="450">
        <v>3577.8</v>
      </c>
      <c r="K35" s="234"/>
      <c r="L35" s="331" t="s">
        <v>396</v>
      </c>
      <c r="M35" s="521">
        <v>33189</v>
      </c>
      <c r="N35" s="525">
        <v>42194</v>
      </c>
      <c r="O35" s="364">
        <v>42185</v>
      </c>
    </row>
    <row r="36" spans="1:15" ht="15.75" x14ac:dyDescent="0.25">
      <c r="A36" s="603">
        <v>42214</v>
      </c>
      <c r="B36" s="598" t="s">
        <v>624</v>
      </c>
      <c r="C36" s="57">
        <v>136588.79</v>
      </c>
      <c r="D36" s="605">
        <v>42216</v>
      </c>
      <c r="E36" s="81">
        <v>136588.79</v>
      </c>
      <c r="F36" s="596">
        <f t="shared" si="0"/>
        <v>0</v>
      </c>
      <c r="G36" s="25"/>
      <c r="I36" s="483" t="s">
        <v>571</v>
      </c>
      <c r="J36" s="450">
        <v>93349.84</v>
      </c>
      <c r="K36" s="234"/>
      <c r="L36" s="331" t="s">
        <v>396</v>
      </c>
      <c r="M36" s="522">
        <v>24922</v>
      </c>
      <c r="N36" s="523">
        <v>42194</v>
      </c>
      <c r="O36" s="364">
        <v>42186</v>
      </c>
    </row>
    <row r="37" spans="1:15" ht="15.75" x14ac:dyDescent="0.25">
      <c r="A37" s="340">
        <v>42216</v>
      </c>
      <c r="B37" s="606" t="s">
        <v>626</v>
      </c>
      <c r="C37" s="57">
        <v>14894.6</v>
      </c>
      <c r="D37" s="280" t="s">
        <v>653</v>
      </c>
      <c r="E37" s="81">
        <f>6901.9+7992.7</f>
        <v>14894.599999999999</v>
      </c>
      <c r="F37" s="596">
        <f t="shared" si="0"/>
        <v>0</v>
      </c>
      <c r="G37" s="25"/>
      <c r="I37" s="483" t="s">
        <v>572</v>
      </c>
      <c r="J37" s="450">
        <v>9242.6</v>
      </c>
      <c r="K37" s="234"/>
      <c r="L37" s="331" t="s">
        <v>396</v>
      </c>
      <c r="M37" s="522">
        <v>35283</v>
      </c>
      <c r="N37" s="523">
        <v>42194</v>
      </c>
      <c r="O37" s="364">
        <v>42187</v>
      </c>
    </row>
    <row r="38" spans="1:15" ht="15.75" x14ac:dyDescent="0.25">
      <c r="A38" s="334"/>
      <c r="B38" s="597"/>
      <c r="C38" s="57"/>
      <c r="D38" s="291"/>
      <c r="E38" s="81"/>
      <c r="F38" s="596">
        <f t="shared" si="0"/>
        <v>0</v>
      </c>
      <c r="G38" s="25"/>
      <c r="I38" s="483" t="s">
        <v>573</v>
      </c>
      <c r="J38" s="450">
        <v>437.4</v>
      </c>
      <c r="K38" s="235"/>
      <c r="L38" s="331" t="s">
        <v>396</v>
      </c>
      <c r="M38" s="521">
        <v>50020</v>
      </c>
      <c r="N38" s="525">
        <v>42194</v>
      </c>
      <c r="O38" s="364">
        <v>42188</v>
      </c>
    </row>
    <row r="39" spans="1:15" ht="15.75" x14ac:dyDescent="0.25">
      <c r="A39" s="334"/>
      <c r="B39" s="597"/>
      <c r="C39" s="57"/>
      <c r="D39" s="291"/>
      <c r="E39" s="81"/>
      <c r="F39" s="596">
        <f t="shared" si="0"/>
        <v>0</v>
      </c>
      <c r="G39" s="25"/>
      <c r="I39" s="483" t="s">
        <v>574</v>
      </c>
      <c r="J39" s="450">
        <v>25649.9</v>
      </c>
      <c r="K39" s="230"/>
      <c r="L39" s="331" t="s">
        <v>396</v>
      </c>
      <c r="M39" s="522">
        <v>59774</v>
      </c>
      <c r="N39" s="523">
        <v>42194</v>
      </c>
      <c r="O39" s="364">
        <v>42189</v>
      </c>
    </row>
    <row r="40" spans="1:15" ht="16.5" thickBot="1" x14ac:dyDescent="0.3">
      <c r="B40" s="263"/>
      <c r="C40" s="180">
        <v>0</v>
      </c>
      <c r="D40" s="467"/>
      <c r="E40" s="295">
        <v>0</v>
      </c>
      <c r="F40" s="596">
        <f t="shared" si="0"/>
        <v>0</v>
      </c>
      <c r="G40" s="25"/>
      <c r="I40" s="483" t="s">
        <v>579</v>
      </c>
      <c r="J40" s="81">
        <v>90399</v>
      </c>
      <c r="K40" s="230"/>
      <c r="L40" s="331" t="s">
        <v>396</v>
      </c>
      <c r="M40" s="521">
        <v>59148</v>
      </c>
      <c r="N40" s="525">
        <v>42194</v>
      </c>
      <c r="O40" s="364">
        <v>42190</v>
      </c>
    </row>
    <row r="41" spans="1:15" ht="16.5" thickTop="1" x14ac:dyDescent="0.25">
      <c r="B41" s="5"/>
      <c r="C41" s="59">
        <f>SUM(C3:C40)</f>
        <v>1266473.5799999998</v>
      </c>
      <c r="D41" s="178"/>
      <c r="E41" s="336">
        <f>SUM(E3:E40)</f>
        <v>1266473.5799999998</v>
      </c>
      <c r="F41" s="336">
        <f>SUM(F3:F40)</f>
        <v>0</v>
      </c>
      <c r="G41" s="25"/>
      <c r="I41" s="344" t="s">
        <v>580</v>
      </c>
      <c r="J41" s="81">
        <v>7742.8</v>
      </c>
      <c r="K41" s="230"/>
      <c r="L41" s="331" t="s">
        <v>396</v>
      </c>
      <c r="M41" s="522">
        <v>35003</v>
      </c>
      <c r="N41" s="523">
        <v>42194</v>
      </c>
      <c r="O41" s="364">
        <v>42191</v>
      </c>
    </row>
    <row r="42" spans="1:15" ht="15.75" x14ac:dyDescent="0.25">
      <c r="C42" s="59"/>
      <c r="D42" s="25"/>
      <c r="G42" s="25"/>
      <c r="I42" s="344" t="s">
        <v>581</v>
      </c>
      <c r="J42" s="81">
        <v>9117</v>
      </c>
      <c r="K42" s="230"/>
      <c r="L42" s="331" t="s">
        <v>396</v>
      </c>
      <c r="M42" s="521">
        <v>26166</v>
      </c>
      <c r="N42" s="525">
        <v>42194</v>
      </c>
      <c r="O42" s="364">
        <v>42192</v>
      </c>
    </row>
    <row r="43" spans="1:15" ht="15.75" x14ac:dyDescent="0.25">
      <c r="B43" t="s">
        <v>101</v>
      </c>
      <c r="D43" s="25"/>
      <c r="E43" s="25"/>
      <c r="F43" s="25"/>
      <c r="G43" s="25"/>
      <c r="I43" s="344" t="s">
        <v>582</v>
      </c>
      <c r="J43" s="81">
        <v>16209.16</v>
      </c>
      <c r="K43" s="416"/>
      <c r="L43" s="331" t="s">
        <v>396</v>
      </c>
      <c r="M43" s="521">
        <v>54228</v>
      </c>
      <c r="N43" s="525">
        <v>42196</v>
      </c>
      <c r="O43" s="364">
        <v>42194</v>
      </c>
    </row>
    <row r="44" spans="1:15" ht="15.75" x14ac:dyDescent="0.25">
      <c r="B44" s="565">
        <v>0</v>
      </c>
      <c r="C44" s="566" t="s">
        <v>570</v>
      </c>
      <c r="D44" s="581"/>
      <c r="E44" s="25"/>
      <c r="F44" s="25"/>
      <c r="G44" s="25"/>
      <c r="I44" s="344" t="s">
        <v>584</v>
      </c>
      <c r="J44" s="81">
        <v>24291.3</v>
      </c>
      <c r="K44" s="416"/>
      <c r="L44" s="331" t="s">
        <v>396</v>
      </c>
      <c r="M44" s="521">
        <v>77685</v>
      </c>
      <c r="N44" s="525">
        <v>42196</v>
      </c>
      <c r="O44" s="364">
        <v>42195</v>
      </c>
    </row>
    <row r="45" spans="1:15" ht="15.75" x14ac:dyDescent="0.25">
      <c r="D45" s="25"/>
      <c r="E45" s="25"/>
      <c r="F45" s="25"/>
      <c r="G45" s="25"/>
      <c r="I45" s="344" t="s">
        <v>585</v>
      </c>
      <c r="J45" s="81">
        <v>57565.7</v>
      </c>
      <c r="K45" s="230"/>
      <c r="L45" s="331" t="s">
        <v>396</v>
      </c>
      <c r="M45" s="521">
        <v>58755</v>
      </c>
      <c r="N45" s="525">
        <v>42198</v>
      </c>
      <c r="O45" s="364">
        <v>42196</v>
      </c>
    </row>
    <row r="46" spans="1:15" ht="18.75" x14ac:dyDescent="0.3">
      <c r="D46" s="25"/>
      <c r="E46" s="25"/>
      <c r="F46" s="25"/>
      <c r="G46" s="25"/>
      <c r="I46" s="344" t="s">
        <v>586</v>
      </c>
      <c r="J46" s="81">
        <v>65010</v>
      </c>
      <c r="K46" s="460"/>
      <c r="L46" s="329" t="s">
        <v>396</v>
      </c>
      <c r="M46" s="526">
        <v>50626</v>
      </c>
      <c r="N46" s="527">
        <v>42198</v>
      </c>
      <c r="O46" s="364">
        <v>42197</v>
      </c>
    </row>
    <row r="47" spans="1:15" ht="15.75" x14ac:dyDescent="0.25">
      <c r="D47" s="25"/>
      <c r="E47" s="25"/>
      <c r="F47" s="25"/>
      <c r="G47" s="25"/>
      <c r="I47" s="344" t="s">
        <v>587</v>
      </c>
      <c r="J47" s="81">
        <v>40533.42</v>
      </c>
      <c r="K47" s="416"/>
      <c r="L47" s="237" t="s">
        <v>396</v>
      </c>
      <c r="M47" s="521">
        <v>34179</v>
      </c>
      <c r="N47" s="525">
        <v>42200</v>
      </c>
      <c r="O47" s="364">
        <v>42198</v>
      </c>
    </row>
    <row r="48" spans="1:15" ht="15.75" x14ac:dyDescent="0.25">
      <c r="D48" s="25"/>
      <c r="E48" s="25"/>
      <c r="F48" s="25"/>
      <c r="G48" s="25"/>
      <c r="I48" s="344" t="s">
        <v>588</v>
      </c>
      <c r="J48" s="81">
        <v>11898</v>
      </c>
      <c r="K48" s="230"/>
      <c r="L48" s="237" t="s">
        <v>396</v>
      </c>
      <c r="M48" s="521">
        <v>28596.5</v>
      </c>
      <c r="N48" s="525">
        <v>42200</v>
      </c>
      <c r="O48" s="364">
        <v>42199</v>
      </c>
    </row>
    <row r="49" spans="1:15" ht="15.75" x14ac:dyDescent="0.25">
      <c r="A49"/>
      <c r="C49"/>
      <c r="D49" s="25"/>
      <c r="E49" s="25"/>
      <c r="F49" s="25"/>
      <c r="G49" s="25"/>
      <c r="I49" s="344" t="s">
        <v>589</v>
      </c>
      <c r="J49" s="81">
        <v>15100.7</v>
      </c>
      <c r="K49" s="216"/>
      <c r="L49" s="421" t="s">
        <v>396</v>
      </c>
      <c r="M49" s="528">
        <v>26123.5</v>
      </c>
      <c r="N49" s="527">
        <v>42201</v>
      </c>
      <c r="O49" s="364">
        <v>42200</v>
      </c>
    </row>
    <row r="50" spans="1:15" ht="15.75" x14ac:dyDescent="0.25">
      <c r="A50"/>
      <c r="C50"/>
      <c r="D50" s="25"/>
      <c r="E50" s="25"/>
      <c r="F50" s="25"/>
      <c r="G50" s="25"/>
      <c r="I50" s="344" t="s">
        <v>590</v>
      </c>
      <c r="J50" s="81">
        <v>120996.45</v>
      </c>
      <c r="K50" s="234"/>
      <c r="L50" s="421" t="s">
        <v>396</v>
      </c>
      <c r="M50" s="528">
        <v>39161</v>
      </c>
      <c r="N50" s="527">
        <v>42207</v>
      </c>
      <c r="O50" s="364">
        <v>42201</v>
      </c>
    </row>
    <row r="51" spans="1:15" ht="15.75" x14ac:dyDescent="0.25">
      <c r="A51"/>
      <c r="C51"/>
      <c r="D51" s="25"/>
      <c r="E51" s="25"/>
      <c r="F51" s="25"/>
      <c r="G51" s="25"/>
      <c r="I51" s="344" t="s">
        <v>591</v>
      </c>
      <c r="J51" s="81">
        <v>6651.4</v>
      </c>
      <c r="K51" s="459"/>
      <c r="L51" s="421" t="s">
        <v>396</v>
      </c>
      <c r="M51" s="528">
        <v>66170</v>
      </c>
      <c r="N51" s="527">
        <v>42207</v>
      </c>
      <c r="O51" s="364">
        <v>42202</v>
      </c>
    </row>
    <row r="52" spans="1:15" ht="18.75" x14ac:dyDescent="0.3">
      <c r="A52"/>
      <c r="C52"/>
      <c r="E52" s="25"/>
      <c r="F52" s="25"/>
      <c r="I52" s="344" t="s">
        <v>592</v>
      </c>
      <c r="J52" s="81">
        <v>85349.69</v>
      </c>
      <c r="K52" s="460"/>
      <c r="L52" s="421" t="s">
        <v>396</v>
      </c>
      <c r="M52" s="526">
        <v>62941</v>
      </c>
      <c r="N52" s="527">
        <v>42207</v>
      </c>
      <c r="O52" s="364">
        <v>42203</v>
      </c>
    </row>
    <row r="53" spans="1:15" ht="15.75" x14ac:dyDescent="0.25">
      <c r="A53"/>
      <c r="C53"/>
      <c r="E53" s="25"/>
      <c r="F53" s="25"/>
      <c r="I53" s="344" t="s">
        <v>593</v>
      </c>
      <c r="J53" s="81">
        <v>20117.599999999999</v>
      </c>
      <c r="K53" s="459"/>
      <c r="L53" s="421" t="s">
        <v>396</v>
      </c>
      <c r="M53" s="528">
        <v>43270.5</v>
      </c>
      <c r="N53" s="527">
        <v>42207</v>
      </c>
      <c r="O53" s="364">
        <v>42204</v>
      </c>
    </row>
    <row r="54" spans="1:15" ht="15.75" x14ac:dyDescent="0.25">
      <c r="A54"/>
      <c r="C54"/>
      <c r="E54" s="25"/>
      <c r="F54" s="25"/>
      <c r="I54" s="344" t="s">
        <v>595</v>
      </c>
      <c r="J54" s="322">
        <v>24174</v>
      </c>
      <c r="K54" s="459"/>
      <c r="L54" s="421" t="s">
        <v>396</v>
      </c>
      <c r="M54" s="528">
        <v>26427</v>
      </c>
      <c r="N54" s="527">
        <v>42207</v>
      </c>
      <c r="O54" s="364">
        <v>42205</v>
      </c>
    </row>
    <row r="55" spans="1:15" ht="15.75" x14ac:dyDescent="0.25">
      <c r="A55"/>
      <c r="C55"/>
      <c r="E55" s="25"/>
      <c r="F55" s="25"/>
      <c r="I55" s="344" t="s">
        <v>596</v>
      </c>
      <c r="J55" s="81">
        <v>5443.8</v>
      </c>
      <c r="K55" s="216"/>
      <c r="L55" s="331" t="s">
        <v>396</v>
      </c>
      <c r="M55" s="332">
        <v>0</v>
      </c>
      <c r="N55" s="525"/>
      <c r="O55" s="364"/>
    </row>
    <row r="56" spans="1:15" ht="15.75" x14ac:dyDescent="0.25">
      <c r="A56"/>
      <c r="C56"/>
      <c r="E56" s="25"/>
      <c r="F56" s="25"/>
      <c r="I56" s="344" t="s">
        <v>598</v>
      </c>
      <c r="J56" s="81">
        <v>17571.8</v>
      </c>
      <c r="K56" s="216"/>
      <c r="L56" s="331"/>
      <c r="M56" s="332">
        <v>0</v>
      </c>
      <c r="N56" s="525"/>
      <c r="O56" s="364"/>
    </row>
    <row r="57" spans="1:15" ht="15.75" x14ac:dyDescent="0.25">
      <c r="A57"/>
      <c r="C57"/>
      <c r="E57" s="25"/>
      <c r="F57" s="25"/>
      <c r="I57" s="496" t="s">
        <v>599</v>
      </c>
      <c r="J57" s="59">
        <v>43506.06</v>
      </c>
      <c r="K57" s="216"/>
      <c r="L57" s="331"/>
      <c r="M57" s="332">
        <v>0</v>
      </c>
      <c r="N57" s="525"/>
      <c r="O57" s="364"/>
    </row>
    <row r="58" spans="1:15" ht="15.75" x14ac:dyDescent="0.25">
      <c r="A58"/>
      <c r="C58"/>
      <c r="E58" s="25"/>
      <c r="F58" s="25"/>
      <c r="I58" s="585" t="s">
        <v>612</v>
      </c>
      <c r="J58" s="59">
        <v>39160.639999999999</v>
      </c>
      <c r="K58" s="586"/>
      <c r="L58" s="587"/>
      <c r="M58" s="588">
        <v>0</v>
      </c>
      <c r="N58" s="589"/>
      <c r="O58" s="364"/>
    </row>
    <row r="59" spans="1:15" ht="15.75" x14ac:dyDescent="0.25">
      <c r="A59"/>
      <c r="C59"/>
      <c r="E59" s="25"/>
      <c r="F59" s="25"/>
      <c r="I59" s="585" t="s">
        <v>613</v>
      </c>
      <c r="J59" s="59">
        <v>1436.4</v>
      </c>
      <c r="K59" s="586"/>
      <c r="L59" s="587"/>
      <c r="M59" s="588">
        <v>0</v>
      </c>
      <c r="N59" s="589"/>
      <c r="O59" s="364"/>
    </row>
    <row r="60" spans="1:15" ht="15.75" x14ac:dyDescent="0.25">
      <c r="A60"/>
      <c r="C60"/>
      <c r="E60" s="25"/>
      <c r="F60" s="25"/>
      <c r="I60" s="585" t="s">
        <v>615</v>
      </c>
      <c r="J60" s="59">
        <v>22250.5</v>
      </c>
      <c r="K60" s="586"/>
      <c r="L60" s="587"/>
      <c r="M60" s="588">
        <v>0</v>
      </c>
      <c r="N60" s="589"/>
      <c r="O60" s="364"/>
    </row>
    <row r="61" spans="1:15" ht="15.75" x14ac:dyDescent="0.25">
      <c r="A61"/>
      <c r="C61"/>
      <c r="E61" s="25"/>
      <c r="F61" s="25"/>
      <c r="I61" s="502" t="s">
        <v>616</v>
      </c>
      <c r="J61" s="234">
        <v>25755.3</v>
      </c>
      <c r="K61" s="216"/>
      <c r="L61" s="331"/>
      <c r="M61" s="332">
        <v>0</v>
      </c>
      <c r="N61" s="334"/>
      <c r="O61" s="364"/>
    </row>
    <row r="62" spans="1:15" ht="15.75" thickBot="1" x14ac:dyDescent="0.3">
      <c r="A62"/>
      <c r="C62"/>
      <c r="E62" s="25"/>
      <c r="F62" s="25"/>
      <c r="I62" s="592" t="s">
        <v>617</v>
      </c>
      <c r="J62" s="593">
        <v>3808.94</v>
      </c>
      <c r="K62" s="590"/>
      <c r="L62" s="590"/>
      <c r="M62" s="591"/>
      <c r="N62" s="591"/>
      <c r="O62" s="364"/>
    </row>
    <row r="63" spans="1:15" ht="16.5" thickTop="1" x14ac:dyDescent="0.25">
      <c r="A63"/>
      <c r="C63"/>
      <c r="E63" s="25"/>
      <c r="F63" s="25"/>
      <c r="I63" s="361"/>
      <c r="J63" s="419">
        <f>SUM(J33:J62)</f>
        <v>920919.5</v>
      </c>
      <c r="K63" s="208"/>
      <c r="L63" s="206"/>
      <c r="M63" s="419">
        <f>SUM(M33:M61)</f>
        <v>920919.5</v>
      </c>
      <c r="N63" s="276"/>
      <c r="O63" s="364"/>
    </row>
    <row r="64" spans="1:15" ht="15.75" x14ac:dyDescent="0.25">
      <c r="A64"/>
      <c r="C64"/>
      <c r="E64" s="25"/>
      <c r="F64" s="25"/>
      <c r="I64" s="444"/>
      <c r="J64" s="81"/>
      <c r="K64" s="358"/>
      <c r="L64" s="362"/>
      <c r="M64" s="559"/>
      <c r="N64" s="560"/>
      <c r="O64" s="364"/>
    </row>
    <row r="65" spans="1:16" ht="16.5" thickBot="1" x14ac:dyDescent="0.3">
      <c r="A65"/>
      <c r="I65" s="444"/>
      <c r="J65" s="81"/>
      <c r="K65" s="358"/>
      <c r="L65" s="362"/>
      <c r="M65" s="557"/>
      <c r="N65" s="558"/>
      <c r="O65" s="364"/>
    </row>
    <row r="66" spans="1:16" ht="19.5" thickBot="1" x14ac:dyDescent="0.35">
      <c r="A66"/>
      <c r="J66" s="474" t="s">
        <v>205</v>
      </c>
      <c r="K66" s="204"/>
      <c r="L66" s="594"/>
      <c r="M66" s="601">
        <v>42216</v>
      </c>
      <c r="N66" s="276"/>
      <c r="O66" s="364"/>
    </row>
    <row r="67" spans="1:16" ht="15.75" x14ac:dyDescent="0.25">
      <c r="A67"/>
      <c r="I67" s="205"/>
      <c r="J67" s="419"/>
      <c r="K67" s="205"/>
      <c r="L67" s="206"/>
      <c r="M67" s="419"/>
      <c r="N67" s="519"/>
      <c r="O67" s="364"/>
    </row>
    <row r="68" spans="1:16" ht="15.75" x14ac:dyDescent="0.25">
      <c r="A68"/>
      <c r="I68" s="212" t="s">
        <v>202</v>
      </c>
      <c r="J68" s="419" t="s">
        <v>195</v>
      </c>
      <c r="K68" s="205"/>
      <c r="L68" s="206" t="s">
        <v>203</v>
      </c>
      <c r="M68" s="419" t="s">
        <v>204</v>
      </c>
      <c r="N68" s="519"/>
      <c r="O68" s="364"/>
    </row>
    <row r="69" spans="1:16" ht="15.75" x14ac:dyDescent="0.25">
      <c r="A69"/>
      <c r="I69" s="561" t="s">
        <v>617</v>
      </c>
      <c r="J69" s="216">
        <v>119525.21</v>
      </c>
      <c r="K69" s="216"/>
      <c r="L69" s="331" t="s">
        <v>396</v>
      </c>
      <c r="M69" s="521">
        <v>30612</v>
      </c>
      <c r="N69" s="525">
        <v>42207</v>
      </c>
      <c r="O69" s="364">
        <v>42206</v>
      </c>
    </row>
    <row r="70" spans="1:16" ht="15.75" x14ac:dyDescent="0.25">
      <c r="A70"/>
      <c r="I70" s="344" t="s">
        <v>621</v>
      </c>
      <c r="J70" s="81">
        <v>1480</v>
      </c>
      <c r="K70" s="234"/>
      <c r="L70" s="331" t="s">
        <v>396</v>
      </c>
      <c r="M70" s="522">
        <v>33553</v>
      </c>
      <c r="N70" s="523">
        <v>42214</v>
      </c>
      <c r="O70" s="364">
        <v>42207</v>
      </c>
    </row>
    <row r="71" spans="1:16" ht="15.75" x14ac:dyDescent="0.25">
      <c r="A71"/>
      <c r="C71"/>
      <c r="E71"/>
      <c r="F71"/>
      <c r="I71" s="344" t="s">
        <v>622</v>
      </c>
      <c r="J71" s="81">
        <v>12709.2</v>
      </c>
      <c r="K71" s="234"/>
      <c r="L71" s="331" t="s">
        <v>396</v>
      </c>
      <c r="M71" s="522"/>
      <c r="N71" s="523"/>
      <c r="O71" s="364">
        <v>42208</v>
      </c>
      <c r="P71">
        <v>39545</v>
      </c>
    </row>
    <row r="72" spans="1:16" ht="15.75" x14ac:dyDescent="0.25">
      <c r="A72"/>
      <c r="C72"/>
      <c r="E72"/>
      <c r="F72"/>
      <c r="I72" s="344" t="s">
        <v>623</v>
      </c>
      <c r="J72" s="81">
        <v>5152.3999999999996</v>
      </c>
      <c r="K72" s="234"/>
      <c r="L72" s="331" t="s">
        <v>396</v>
      </c>
      <c r="M72" s="521">
        <v>53277.5</v>
      </c>
      <c r="N72" s="525">
        <v>42214</v>
      </c>
      <c r="O72" s="364">
        <v>42209</v>
      </c>
    </row>
    <row r="73" spans="1:16" ht="15.75" x14ac:dyDescent="0.25">
      <c r="A73"/>
      <c r="C73"/>
      <c r="E73"/>
      <c r="F73"/>
      <c r="H73" s="59">
        <v>108127.79</v>
      </c>
      <c r="I73" s="344" t="s">
        <v>624</v>
      </c>
      <c r="J73" s="81">
        <v>136588.79</v>
      </c>
      <c r="K73" s="234"/>
      <c r="L73" s="331" t="s">
        <v>396</v>
      </c>
      <c r="M73" s="522">
        <v>68721</v>
      </c>
      <c r="N73" s="523">
        <v>42214</v>
      </c>
      <c r="O73" s="364">
        <v>42210</v>
      </c>
    </row>
    <row r="74" spans="1:16" ht="15.75" x14ac:dyDescent="0.25">
      <c r="A74"/>
      <c r="C74"/>
      <c r="E74"/>
      <c r="F74"/>
      <c r="I74" s="344" t="s">
        <v>626</v>
      </c>
      <c r="J74" s="81">
        <v>6901.9</v>
      </c>
      <c r="K74" s="235" t="s">
        <v>325</v>
      </c>
      <c r="L74" s="331" t="s">
        <v>396</v>
      </c>
      <c r="M74" s="522">
        <v>38862</v>
      </c>
      <c r="N74" s="523">
        <v>42214</v>
      </c>
      <c r="O74" s="364">
        <v>42211</v>
      </c>
    </row>
    <row r="75" spans="1:16" ht="15.75" x14ac:dyDescent="0.25">
      <c r="A75"/>
      <c r="C75"/>
      <c r="E75"/>
      <c r="F75"/>
      <c r="I75" s="344"/>
      <c r="J75" s="81"/>
      <c r="K75" s="230"/>
      <c r="L75" s="331" t="s">
        <v>396</v>
      </c>
      <c r="M75" s="521">
        <v>29623</v>
      </c>
      <c r="N75" s="525">
        <v>42214</v>
      </c>
      <c r="O75" s="364">
        <v>42212</v>
      </c>
      <c r="P75" s="44"/>
    </row>
    <row r="76" spans="1:16" ht="15.75" x14ac:dyDescent="0.25">
      <c r="A76"/>
      <c r="C76"/>
      <c r="E76"/>
      <c r="F76"/>
      <c r="I76" s="344"/>
      <c r="J76" s="81"/>
      <c r="K76" s="230"/>
      <c r="L76" s="331" t="s">
        <v>396</v>
      </c>
      <c r="M76" s="522">
        <v>27709</v>
      </c>
      <c r="N76" s="523">
        <v>42214</v>
      </c>
      <c r="O76" s="364">
        <v>42213</v>
      </c>
      <c r="P76" s="44"/>
    </row>
    <row r="77" spans="1:16" ht="16.5" thickBot="1" x14ac:dyDescent="0.3">
      <c r="I77" s="361"/>
      <c r="J77" s="226">
        <v>0</v>
      </c>
      <c r="K77" s="226"/>
      <c r="L77" s="227"/>
      <c r="M77" s="121">
        <v>0</v>
      </c>
      <c r="N77" s="520"/>
    </row>
    <row r="78" spans="1:16" ht="16.5" thickTop="1" x14ac:dyDescent="0.25">
      <c r="I78" s="361"/>
      <c r="J78" s="419">
        <f>SUM(J69:J77)</f>
        <v>282357.5</v>
      </c>
      <c r="K78" s="208"/>
      <c r="L78" s="206"/>
      <c r="M78" s="419">
        <f>SUM(M69:M77)</f>
        <v>282357.5</v>
      </c>
      <c r="N78" s="276"/>
    </row>
  </sheetData>
  <sortState ref="I69:J74">
    <sortCondition ref="I69:I74"/>
  </sortState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R57"/>
  <sheetViews>
    <sheetView workbookViewId="0">
      <pane ySplit="4" topLeftCell="A26" activePane="bottomLeft" state="frozen"/>
      <selection pane="bottomLeft" activeCell="O39" sqref="O39"/>
    </sheetView>
  </sheetViews>
  <sheetFormatPr baseColWidth="10" defaultRowHeight="15" x14ac:dyDescent="0.25"/>
  <cols>
    <col min="1" max="1" width="2.5703125" customWidth="1"/>
    <col min="2" max="2" width="12.42578125" style="38" customWidth="1"/>
    <col min="3" max="3" width="16.42578125" style="44" customWidth="1"/>
    <col min="4" max="4" width="9" style="155" customWidth="1"/>
    <col min="6" max="6" width="17.85546875" style="44" customWidth="1"/>
    <col min="7" max="7" width="2.85546875" customWidth="1"/>
    <col min="9" max="9" width="12.140625" style="44" customWidth="1"/>
    <col min="10" max="10" width="6.42578125" style="44" customWidth="1"/>
    <col min="11" max="11" width="12.28515625" customWidth="1"/>
    <col min="12" max="12" width="11.28515625" customWidth="1"/>
    <col min="13" max="13" width="16.7109375" style="44" customWidth="1"/>
    <col min="14" max="14" width="11.42578125" style="44"/>
  </cols>
  <sheetData>
    <row r="1" spans="1:18" ht="23.25" x14ac:dyDescent="0.35">
      <c r="C1" s="780" t="s">
        <v>697</v>
      </c>
      <c r="D1" s="780"/>
      <c r="E1" s="780"/>
      <c r="F1" s="780"/>
      <c r="G1" s="780"/>
      <c r="H1" s="780"/>
      <c r="I1" s="780"/>
      <c r="J1" s="780"/>
      <c r="K1" s="780"/>
      <c r="L1" s="643" t="s">
        <v>158</v>
      </c>
      <c r="M1" s="336"/>
    </row>
    <row r="2" spans="1:18" ht="15.75" thickBot="1" x14ac:dyDescent="0.3">
      <c r="E2" s="609"/>
      <c r="F2" s="51"/>
    </row>
    <row r="3" spans="1:18" ht="15.75" thickBot="1" x14ac:dyDescent="0.3">
      <c r="C3" s="45" t="s">
        <v>0</v>
      </c>
      <c r="D3" s="3"/>
    </row>
    <row r="4" spans="1:18" ht="20.25" thickTop="1" thickBot="1" x14ac:dyDescent="0.35">
      <c r="A4" s="415" t="s">
        <v>2</v>
      </c>
      <c r="B4" s="414"/>
      <c r="C4" s="97">
        <v>192887.04000000001</v>
      </c>
      <c r="D4" s="156"/>
      <c r="E4" s="797" t="s">
        <v>19</v>
      </c>
      <c r="F4" s="798"/>
      <c r="I4" s="783" t="s">
        <v>4</v>
      </c>
      <c r="J4" s="784"/>
      <c r="K4" s="784"/>
      <c r="L4" s="784"/>
      <c r="M4" s="112" t="s">
        <v>159</v>
      </c>
    </row>
    <row r="5" spans="1:18" ht="15.75" thickTop="1" x14ac:dyDescent="0.25">
      <c r="A5" s="21"/>
      <c r="B5" s="40">
        <v>42217</v>
      </c>
      <c r="C5" s="46">
        <v>1195</v>
      </c>
      <c r="D5" s="30" t="s">
        <v>639</v>
      </c>
      <c r="E5" s="28">
        <v>42217</v>
      </c>
      <c r="F5" s="52">
        <v>62108.98</v>
      </c>
      <c r="G5" s="25"/>
      <c r="H5" s="26">
        <v>42217</v>
      </c>
      <c r="I5" s="61">
        <v>20</v>
      </c>
      <c r="J5" s="80"/>
      <c r="K5" s="122"/>
      <c r="L5" s="122"/>
      <c r="M5" s="494">
        <v>60894</v>
      </c>
      <c r="N5" s="336"/>
    </row>
    <row r="6" spans="1:18" x14ac:dyDescent="0.25">
      <c r="A6" s="21"/>
      <c r="B6" s="40">
        <v>42218</v>
      </c>
      <c r="C6" s="46">
        <v>0</v>
      </c>
      <c r="D6" s="30"/>
      <c r="E6" s="28">
        <v>42218</v>
      </c>
      <c r="F6" s="52">
        <v>65499.44</v>
      </c>
      <c r="G6" s="20"/>
      <c r="H6" s="29">
        <v>42218</v>
      </c>
      <c r="I6" s="62">
        <v>0</v>
      </c>
      <c r="J6" s="81"/>
      <c r="K6" s="73" t="s">
        <v>5</v>
      </c>
      <c r="L6" s="202">
        <v>638</v>
      </c>
      <c r="M6" s="494">
        <v>60874.5</v>
      </c>
      <c r="N6" s="336"/>
    </row>
    <row r="7" spans="1:18" x14ac:dyDescent="0.25">
      <c r="A7" s="21"/>
      <c r="B7" s="40">
        <v>42219</v>
      </c>
      <c r="C7" s="46">
        <v>688.52</v>
      </c>
      <c r="D7" s="30" t="s">
        <v>366</v>
      </c>
      <c r="E7" s="28">
        <v>42219</v>
      </c>
      <c r="F7" s="52">
        <v>36740.07</v>
      </c>
      <c r="G7" s="25"/>
      <c r="H7" s="29">
        <v>42219</v>
      </c>
      <c r="I7" s="62">
        <v>0</v>
      </c>
      <c r="J7" s="81"/>
      <c r="K7" s="73" t="s">
        <v>3</v>
      </c>
      <c r="L7" s="202">
        <v>0</v>
      </c>
      <c r="M7" s="494">
        <v>33550</v>
      </c>
      <c r="N7" s="336"/>
    </row>
    <row r="8" spans="1:18" x14ac:dyDescent="0.25">
      <c r="A8" s="21"/>
      <c r="B8" s="40">
        <v>42220</v>
      </c>
      <c r="C8" s="46">
        <v>401</v>
      </c>
      <c r="D8" s="33" t="s">
        <v>22</v>
      </c>
      <c r="E8" s="28">
        <v>42220</v>
      </c>
      <c r="F8" s="52">
        <v>24273</v>
      </c>
      <c r="G8" s="25"/>
      <c r="H8" s="29">
        <v>42220</v>
      </c>
      <c r="I8" s="62">
        <v>300</v>
      </c>
      <c r="J8" s="81" t="s">
        <v>646</v>
      </c>
      <c r="K8" s="73" t="s">
        <v>6</v>
      </c>
      <c r="L8" s="20">
        <v>28750</v>
      </c>
      <c r="M8" s="494">
        <v>22322</v>
      </c>
      <c r="N8" s="336"/>
      <c r="Q8" t="s">
        <v>462</v>
      </c>
      <c r="R8">
        <v>1600</v>
      </c>
    </row>
    <row r="9" spans="1:18" x14ac:dyDescent="0.25">
      <c r="A9" s="21"/>
      <c r="B9" s="40">
        <v>42221</v>
      </c>
      <c r="C9" s="46">
        <v>1747</v>
      </c>
      <c r="D9" s="96" t="s">
        <v>648</v>
      </c>
      <c r="E9" s="28">
        <v>42221</v>
      </c>
      <c r="F9" s="52">
        <v>40185</v>
      </c>
      <c r="G9" s="25"/>
      <c r="H9" s="29">
        <v>42221</v>
      </c>
      <c r="I9" s="62">
        <v>80</v>
      </c>
      <c r="J9" s="82"/>
      <c r="K9" s="73" t="s">
        <v>642</v>
      </c>
      <c r="L9" s="202">
        <f>4025+1600+2500</f>
        <v>8125</v>
      </c>
      <c r="M9" s="494">
        <v>38358</v>
      </c>
      <c r="N9" s="336"/>
    </row>
    <row r="10" spans="1:18" x14ac:dyDescent="0.25">
      <c r="A10" s="21"/>
      <c r="B10" s="40">
        <v>42222</v>
      </c>
      <c r="C10" s="46">
        <v>0</v>
      </c>
      <c r="D10" s="96"/>
      <c r="E10" s="28">
        <v>42222</v>
      </c>
      <c r="F10" s="52">
        <v>36191.19</v>
      </c>
      <c r="G10" s="25"/>
      <c r="H10" s="29">
        <v>42222</v>
      </c>
      <c r="I10" s="62">
        <v>350</v>
      </c>
      <c r="J10" s="82"/>
      <c r="K10" s="73" t="s">
        <v>643</v>
      </c>
      <c r="L10" s="81">
        <f>1200+3716.71+1600+2500</f>
        <v>9016.7099999999991</v>
      </c>
      <c r="M10" s="494">
        <v>35841</v>
      </c>
      <c r="N10" s="336"/>
      <c r="Q10" t="s">
        <v>464</v>
      </c>
      <c r="R10">
        <v>2500</v>
      </c>
    </row>
    <row r="11" spans="1:18" x14ac:dyDescent="0.25">
      <c r="A11" s="21"/>
      <c r="B11" s="40">
        <v>42223</v>
      </c>
      <c r="C11" s="46">
        <v>623</v>
      </c>
      <c r="D11" s="96" t="s">
        <v>83</v>
      </c>
      <c r="E11" s="28">
        <v>42223</v>
      </c>
      <c r="F11" s="52">
        <v>62339.46</v>
      </c>
      <c r="G11" s="25"/>
      <c r="H11" s="29">
        <v>42223</v>
      </c>
      <c r="I11" s="62">
        <v>3639</v>
      </c>
      <c r="J11" s="82" t="s">
        <v>649</v>
      </c>
      <c r="K11" s="73" t="s">
        <v>644</v>
      </c>
      <c r="L11" s="81">
        <f>5850+1600+2500</f>
        <v>9950</v>
      </c>
      <c r="M11" s="494">
        <v>58077</v>
      </c>
      <c r="N11" s="336"/>
    </row>
    <row r="12" spans="1:18" x14ac:dyDescent="0.25">
      <c r="A12" s="21"/>
      <c r="B12" s="40">
        <v>42224</v>
      </c>
      <c r="C12" s="46">
        <v>554</v>
      </c>
      <c r="D12" s="30" t="s">
        <v>22</v>
      </c>
      <c r="E12" s="28">
        <v>42224</v>
      </c>
      <c r="F12" s="52">
        <v>62027.92</v>
      </c>
      <c r="G12" s="25"/>
      <c r="H12" s="29">
        <v>42224</v>
      </c>
      <c r="I12" s="62">
        <v>520</v>
      </c>
      <c r="J12" s="82" t="s">
        <v>650</v>
      </c>
      <c r="K12" s="73" t="s">
        <v>645</v>
      </c>
      <c r="L12" s="81">
        <f>5850+1600+2500</f>
        <v>9950</v>
      </c>
      <c r="M12" s="494">
        <v>60950</v>
      </c>
      <c r="N12" s="336"/>
    </row>
    <row r="13" spans="1:18" x14ac:dyDescent="0.25">
      <c r="A13" s="21"/>
      <c r="B13" s="40">
        <v>42225</v>
      </c>
      <c r="C13" s="46">
        <v>1524.04</v>
      </c>
      <c r="D13" s="96" t="s">
        <v>651</v>
      </c>
      <c r="E13" s="28">
        <v>42225</v>
      </c>
      <c r="F13" s="52">
        <v>53850.7</v>
      </c>
      <c r="G13" s="25"/>
      <c r="H13" s="29">
        <v>42225</v>
      </c>
      <c r="I13" s="62">
        <v>0</v>
      </c>
      <c r="J13" s="82"/>
      <c r="K13" s="73" t="s">
        <v>686</v>
      </c>
      <c r="L13" s="81">
        <f>5850+1600+2500</f>
        <v>9950</v>
      </c>
      <c r="M13" s="494">
        <v>52326.5</v>
      </c>
      <c r="N13" s="450"/>
    </row>
    <row r="14" spans="1:18" x14ac:dyDescent="0.25">
      <c r="A14" s="21"/>
      <c r="B14" s="40">
        <v>42226</v>
      </c>
      <c r="C14" s="46">
        <v>967.5</v>
      </c>
      <c r="D14" s="30" t="s">
        <v>316</v>
      </c>
      <c r="E14" s="28">
        <v>42226</v>
      </c>
      <c r="F14" s="52">
        <v>35984.19</v>
      </c>
      <c r="G14" s="25"/>
      <c r="H14" s="29">
        <v>42226</v>
      </c>
      <c r="I14" s="62">
        <v>12</v>
      </c>
      <c r="J14" s="82"/>
      <c r="K14" s="646" t="s">
        <v>647</v>
      </c>
      <c r="L14" s="81">
        <v>1250</v>
      </c>
      <c r="M14" s="494">
        <v>30088</v>
      </c>
      <c r="N14" s="450"/>
    </row>
    <row r="15" spans="1:18" x14ac:dyDescent="0.25">
      <c r="A15" s="21"/>
      <c r="B15" s="40">
        <v>42227</v>
      </c>
      <c r="C15" s="46">
        <v>568</v>
      </c>
      <c r="D15" s="96" t="s">
        <v>22</v>
      </c>
      <c r="E15" s="28">
        <v>42227</v>
      </c>
      <c r="F15" s="52">
        <v>35654.07</v>
      </c>
      <c r="G15" s="25"/>
      <c r="H15" s="29">
        <v>42227</v>
      </c>
      <c r="I15" s="62">
        <v>0</v>
      </c>
      <c r="J15" s="82"/>
      <c r="K15" s="73" t="s">
        <v>57</v>
      </c>
      <c r="L15" s="81">
        <v>0</v>
      </c>
      <c r="M15" s="494">
        <v>34448.5</v>
      </c>
      <c r="N15" s="336"/>
    </row>
    <row r="16" spans="1:18" x14ac:dyDescent="0.25">
      <c r="A16" s="21"/>
      <c r="B16" s="40">
        <v>42228</v>
      </c>
      <c r="C16" s="46">
        <v>2744</v>
      </c>
      <c r="D16" s="96" t="s">
        <v>661</v>
      </c>
      <c r="E16" s="28">
        <v>42228</v>
      </c>
      <c r="F16" s="52">
        <v>44452.73</v>
      </c>
      <c r="G16" s="25"/>
      <c r="H16" s="29">
        <v>42228</v>
      </c>
      <c r="I16" s="62">
        <f>122+110</f>
        <v>232</v>
      </c>
      <c r="J16" s="82" t="s">
        <v>660</v>
      </c>
      <c r="K16" s="192" t="s">
        <v>61</v>
      </c>
      <c r="L16" s="538">
        <v>0</v>
      </c>
      <c r="M16" s="494">
        <v>40677</v>
      </c>
      <c r="N16" s="336"/>
    </row>
    <row r="17" spans="1:18" x14ac:dyDescent="0.25">
      <c r="A17" s="21"/>
      <c r="B17" s="40">
        <v>42229</v>
      </c>
      <c r="C17" s="46">
        <v>1553.65</v>
      </c>
      <c r="D17" s="30" t="s">
        <v>129</v>
      </c>
      <c r="E17" s="28">
        <v>42229</v>
      </c>
      <c r="F17" s="52">
        <v>37873.11</v>
      </c>
      <c r="G17" s="25"/>
      <c r="H17" s="29">
        <v>42229</v>
      </c>
      <c r="I17" s="62">
        <v>0</v>
      </c>
      <c r="J17" s="82"/>
      <c r="K17" s="73" t="s">
        <v>699</v>
      </c>
      <c r="L17" s="81">
        <v>2700</v>
      </c>
      <c r="M17" s="494">
        <v>36320</v>
      </c>
      <c r="N17" s="336"/>
    </row>
    <row r="18" spans="1:18" x14ac:dyDescent="0.25">
      <c r="A18" s="21"/>
      <c r="B18" s="40">
        <v>42230</v>
      </c>
      <c r="C18" s="46">
        <v>10</v>
      </c>
      <c r="D18" s="30" t="s">
        <v>672</v>
      </c>
      <c r="E18" s="28">
        <v>42230</v>
      </c>
      <c r="F18" s="52">
        <v>67979.839999999997</v>
      </c>
      <c r="G18" s="25"/>
      <c r="H18" s="29">
        <v>42230</v>
      </c>
      <c r="I18" s="62">
        <v>518.97</v>
      </c>
      <c r="J18" s="82"/>
      <c r="K18" s="165" t="s">
        <v>700</v>
      </c>
      <c r="L18" s="81">
        <v>1000</v>
      </c>
      <c r="M18" s="494">
        <v>66900</v>
      </c>
      <c r="N18" s="450"/>
      <c r="O18" s="614"/>
      <c r="P18" s="25"/>
    </row>
    <row r="19" spans="1:18" x14ac:dyDescent="0.25">
      <c r="A19" s="21"/>
      <c r="B19" s="40">
        <v>42231</v>
      </c>
      <c r="C19" s="46">
        <v>549</v>
      </c>
      <c r="D19" s="96" t="s">
        <v>83</v>
      </c>
      <c r="E19" s="28">
        <v>42231</v>
      </c>
      <c r="F19" s="52">
        <v>66489.289999999994</v>
      </c>
      <c r="G19" s="25"/>
      <c r="H19" s="29">
        <v>42231</v>
      </c>
      <c r="I19" s="62">
        <v>20</v>
      </c>
      <c r="J19" s="82" t="s">
        <v>608</v>
      </c>
      <c r="K19" s="286" t="s">
        <v>109</v>
      </c>
      <c r="L19" s="538">
        <v>0</v>
      </c>
      <c r="M19" s="494">
        <v>63220</v>
      </c>
      <c r="N19" s="450"/>
      <c r="O19" s="25"/>
      <c r="P19" s="25"/>
    </row>
    <row r="20" spans="1:18" x14ac:dyDescent="0.25">
      <c r="A20" s="21"/>
      <c r="B20" s="40">
        <v>42232</v>
      </c>
      <c r="C20" s="46">
        <v>0</v>
      </c>
      <c r="D20" s="30"/>
      <c r="E20" s="28">
        <v>42232</v>
      </c>
      <c r="F20" s="52">
        <v>59470.83</v>
      </c>
      <c r="G20" s="25"/>
      <c r="H20" s="29">
        <v>42232</v>
      </c>
      <c r="I20" s="63">
        <v>0</v>
      </c>
      <c r="J20" s="82" t="s">
        <v>609</v>
      </c>
      <c r="K20" s="486"/>
      <c r="L20" s="538">
        <v>0</v>
      </c>
      <c r="M20" s="494">
        <v>53621</v>
      </c>
      <c r="N20" s="336"/>
    </row>
    <row r="21" spans="1:18" x14ac:dyDescent="0.25">
      <c r="A21" s="21"/>
      <c r="B21" s="40">
        <v>42233</v>
      </c>
      <c r="C21" s="46">
        <v>1185.8399999999999</v>
      </c>
      <c r="D21" s="30" t="s">
        <v>366</v>
      </c>
      <c r="E21" s="28">
        <v>42233</v>
      </c>
      <c r="F21" s="52">
        <v>34004.559999999998</v>
      </c>
      <c r="G21" s="25"/>
      <c r="H21" s="29">
        <v>42233</v>
      </c>
      <c r="I21" s="63">
        <v>0</v>
      </c>
      <c r="J21" s="82"/>
      <c r="L21" s="538">
        <v>0</v>
      </c>
      <c r="M21" s="494">
        <v>32818.720000000001</v>
      </c>
      <c r="N21" s="336"/>
    </row>
    <row r="22" spans="1:18" x14ac:dyDescent="0.25">
      <c r="A22" s="21"/>
      <c r="B22" s="40">
        <v>42234</v>
      </c>
      <c r="C22" s="46">
        <v>465</v>
      </c>
      <c r="D22" s="96" t="s">
        <v>83</v>
      </c>
      <c r="E22" s="28">
        <v>42234</v>
      </c>
      <c r="F22" s="52">
        <v>39129.521000000001</v>
      </c>
      <c r="G22" s="25"/>
      <c r="H22" s="29">
        <v>42234</v>
      </c>
      <c r="I22" s="63">
        <v>0</v>
      </c>
      <c r="J22" s="149"/>
      <c r="K22" s="645" t="s">
        <v>662</v>
      </c>
      <c r="L22" s="538">
        <v>800</v>
      </c>
      <c r="M22" s="494">
        <v>38665</v>
      </c>
      <c r="N22" s="336"/>
    </row>
    <row r="23" spans="1:18" x14ac:dyDescent="0.25">
      <c r="A23" s="21"/>
      <c r="B23" s="40">
        <v>42235</v>
      </c>
      <c r="C23" s="46">
        <v>730</v>
      </c>
      <c r="D23" s="96" t="s">
        <v>242</v>
      </c>
      <c r="E23" s="28">
        <v>42235</v>
      </c>
      <c r="F23" s="52">
        <v>35066.870000000003</v>
      </c>
      <c r="G23" s="25"/>
      <c r="H23" s="29">
        <v>42235</v>
      </c>
      <c r="I23" s="63">
        <v>0</v>
      </c>
      <c r="J23" s="81" t="s">
        <v>17</v>
      </c>
      <c r="K23" s="488"/>
      <c r="L23" s="538">
        <v>0</v>
      </c>
      <c r="M23" s="494">
        <v>34337</v>
      </c>
      <c r="N23" s="336"/>
      <c r="O23" s="25"/>
      <c r="P23" s="25"/>
    </row>
    <row r="24" spans="1:18" x14ac:dyDescent="0.25">
      <c r="A24" s="21"/>
      <c r="B24" s="40">
        <v>42236</v>
      </c>
      <c r="C24" s="46">
        <v>0</v>
      </c>
      <c r="D24" s="96"/>
      <c r="E24" s="28">
        <v>42236</v>
      </c>
      <c r="F24" s="52">
        <v>37227.64</v>
      </c>
      <c r="G24" s="25"/>
      <c r="H24" s="29">
        <v>42236</v>
      </c>
      <c r="I24" s="63">
        <v>0</v>
      </c>
      <c r="J24" s="82"/>
      <c r="K24" s="624" t="s">
        <v>731</v>
      </c>
      <c r="L24" s="538">
        <v>600</v>
      </c>
      <c r="M24" s="494">
        <v>37227</v>
      </c>
      <c r="N24" s="336"/>
      <c r="O24" s="25"/>
      <c r="P24" s="25"/>
    </row>
    <row r="25" spans="1:18" x14ac:dyDescent="0.25">
      <c r="A25" s="21"/>
      <c r="B25" s="40">
        <v>42237</v>
      </c>
      <c r="C25" s="46">
        <v>998</v>
      </c>
      <c r="D25" s="30" t="s">
        <v>366</v>
      </c>
      <c r="E25" s="28">
        <v>42237</v>
      </c>
      <c r="F25" s="52">
        <v>56606.87</v>
      </c>
      <c r="G25" s="25"/>
      <c r="H25" s="29">
        <v>42237</v>
      </c>
      <c r="I25" s="63">
        <v>0</v>
      </c>
      <c r="J25" s="81"/>
      <c r="K25" s="552" t="s">
        <v>698</v>
      </c>
      <c r="L25" s="538">
        <v>2500</v>
      </c>
      <c r="M25" s="494">
        <v>53209</v>
      </c>
      <c r="N25" s="450"/>
      <c r="O25" s="25"/>
      <c r="P25" s="25"/>
    </row>
    <row r="26" spans="1:18" x14ac:dyDescent="0.25">
      <c r="A26" s="21"/>
      <c r="B26" s="40">
        <v>42238</v>
      </c>
      <c r="C26" s="46">
        <v>220</v>
      </c>
      <c r="D26" s="30" t="s">
        <v>534</v>
      </c>
      <c r="E26" s="28">
        <v>42238</v>
      </c>
      <c r="F26" s="52">
        <v>69328.3</v>
      </c>
      <c r="G26" s="25"/>
      <c r="H26" s="29">
        <v>42238</v>
      </c>
      <c r="I26" s="63">
        <v>390</v>
      </c>
      <c r="J26" s="98"/>
      <c r="K26" s="644" t="s">
        <v>682</v>
      </c>
      <c r="L26" s="538">
        <v>2400</v>
      </c>
      <c r="M26" s="494">
        <v>67718</v>
      </c>
      <c r="N26" s="450"/>
      <c r="O26" s="614"/>
      <c r="P26" s="555"/>
    </row>
    <row r="27" spans="1:18" x14ac:dyDescent="0.25">
      <c r="A27" s="21"/>
      <c r="B27" s="40">
        <v>42239</v>
      </c>
      <c r="C27" s="46">
        <v>448</v>
      </c>
      <c r="D27" s="30" t="s">
        <v>83</v>
      </c>
      <c r="E27" s="28">
        <v>42239</v>
      </c>
      <c r="F27" s="52">
        <v>61827.14</v>
      </c>
      <c r="G27" s="25"/>
      <c r="H27" s="29">
        <v>42239</v>
      </c>
      <c r="I27" s="63">
        <v>558.95000000000005</v>
      </c>
      <c r="J27" s="81"/>
      <c r="K27" s="647" t="s">
        <v>685</v>
      </c>
      <c r="L27" s="538">
        <v>2500</v>
      </c>
      <c r="M27" s="494">
        <v>54970.19</v>
      </c>
      <c r="N27" s="450"/>
      <c r="O27" s="25"/>
      <c r="P27" s="25"/>
    </row>
    <row r="28" spans="1:18" x14ac:dyDescent="0.25">
      <c r="A28" s="21"/>
      <c r="B28" s="40">
        <v>42240</v>
      </c>
      <c r="C28" s="46">
        <v>0</v>
      </c>
      <c r="D28" s="30"/>
      <c r="E28" s="28">
        <v>42240</v>
      </c>
      <c r="F28" s="52">
        <v>39261.19</v>
      </c>
      <c r="G28" s="25"/>
      <c r="H28" s="29">
        <v>42240</v>
      </c>
      <c r="I28" s="63">
        <v>0</v>
      </c>
      <c r="J28" s="81"/>
      <c r="K28" s="131"/>
      <c r="L28" s="538">
        <v>0</v>
      </c>
      <c r="M28" s="494">
        <v>39261</v>
      </c>
      <c r="N28" s="336"/>
      <c r="O28" s="25"/>
      <c r="P28" s="25"/>
    </row>
    <row r="29" spans="1:18" x14ac:dyDescent="0.25">
      <c r="A29" s="21"/>
      <c r="B29" s="40">
        <v>42241</v>
      </c>
      <c r="C29" s="46">
        <v>397.66</v>
      </c>
      <c r="D29" s="30" t="s">
        <v>22</v>
      </c>
      <c r="E29" s="28">
        <v>42241</v>
      </c>
      <c r="F29" s="52">
        <v>28812.93</v>
      </c>
      <c r="G29" s="25"/>
      <c r="H29" s="29">
        <v>42241</v>
      </c>
      <c r="I29" s="63">
        <v>0</v>
      </c>
      <c r="J29" s="81"/>
      <c r="K29" s="132"/>
      <c r="L29" s="639">
        <v>0</v>
      </c>
      <c r="M29" s="494">
        <v>28415</v>
      </c>
      <c r="N29" s="336"/>
      <c r="O29" s="25"/>
      <c r="P29" s="25"/>
      <c r="Q29" s="25"/>
    </row>
    <row r="30" spans="1:18" ht="15.75" thickBot="1" x14ac:dyDescent="0.3">
      <c r="A30" s="21"/>
      <c r="B30" s="40">
        <v>42242</v>
      </c>
      <c r="C30" s="46">
        <v>896</v>
      </c>
      <c r="D30" s="30" t="s">
        <v>683</v>
      </c>
      <c r="E30" s="28">
        <v>42242</v>
      </c>
      <c r="F30" s="52">
        <v>23951.54</v>
      </c>
      <c r="G30" s="25"/>
      <c r="H30" s="29">
        <v>42242</v>
      </c>
      <c r="I30" s="63">
        <v>420</v>
      </c>
      <c r="J30" s="98"/>
      <c r="K30" s="131"/>
      <c r="L30" s="639">
        <v>0</v>
      </c>
      <c r="M30" s="494">
        <v>22635.5</v>
      </c>
      <c r="N30" s="336"/>
      <c r="O30" s="25"/>
      <c r="P30" s="25"/>
      <c r="Q30" s="25"/>
    </row>
    <row r="31" spans="1:18" x14ac:dyDescent="0.25">
      <c r="A31" s="21"/>
      <c r="B31" s="40">
        <v>42243</v>
      </c>
      <c r="C31" s="776">
        <v>1516.54</v>
      </c>
      <c r="D31" s="30" t="s">
        <v>684</v>
      </c>
      <c r="E31" s="28">
        <v>42243</v>
      </c>
      <c r="F31" s="52">
        <v>29122.04</v>
      </c>
      <c r="G31" s="25"/>
      <c r="H31" s="29">
        <v>42243</v>
      </c>
      <c r="I31" s="63">
        <v>125</v>
      </c>
      <c r="J31" s="82"/>
      <c r="K31" s="552"/>
      <c r="L31" s="836">
        <v>0</v>
      </c>
      <c r="M31" s="494">
        <v>24980.5</v>
      </c>
      <c r="N31" s="656" t="s">
        <v>696</v>
      </c>
      <c r="O31" s="657"/>
      <c r="P31" s="657"/>
      <c r="Q31" s="640"/>
      <c r="R31" s="638"/>
    </row>
    <row r="32" spans="1:18" ht="15.75" thickBot="1" x14ac:dyDescent="0.3">
      <c r="A32" s="21"/>
      <c r="B32" s="40">
        <v>42244</v>
      </c>
      <c r="C32" s="46">
        <v>370</v>
      </c>
      <c r="D32" s="30" t="s">
        <v>83</v>
      </c>
      <c r="E32" s="28">
        <v>42244</v>
      </c>
      <c r="F32" s="52">
        <v>62765</v>
      </c>
      <c r="G32" s="25"/>
      <c r="H32" s="29">
        <v>42244</v>
      </c>
      <c r="I32" s="63">
        <v>0</v>
      </c>
      <c r="J32" s="81"/>
      <c r="K32" s="489"/>
      <c r="L32" s="837"/>
      <c r="M32" s="494">
        <v>62395</v>
      </c>
      <c r="N32" s="336"/>
      <c r="Q32" s="25"/>
    </row>
    <row r="33" spans="1:17" x14ac:dyDescent="0.25">
      <c r="A33" s="21"/>
      <c r="B33" s="40">
        <v>42245</v>
      </c>
      <c r="C33" s="46">
        <v>3670</v>
      </c>
      <c r="D33" s="96" t="s">
        <v>242</v>
      </c>
      <c r="E33" s="28">
        <v>42245</v>
      </c>
      <c r="F33" s="52">
        <v>64326.12</v>
      </c>
      <c r="G33" s="25"/>
      <c r="H33" s="29">
        <v>42245</v>
      </c>
      <c r="I33" s="63">
        <v>110</v>
      </c>
      <c r="J33" s="81"/>
      <c r="K33" s="553"/>
      <c r="L33" s="834">
        <v>0</v>
      </c>
      <c r="M33" s="494">
        <v>60546</v>
      </c>
      <c r="N33" s="686">
        <v>12000</v>
      </c>
      <c r="O33" s="687" t="s">
        <v>695</v>
      </c>
      <c r="P33" s="688"/>
      <c r="Q33" s="641"/>
    </row>
    <row r="34" spans="1:17" ht="15.75" thickBot="1" x14ac:dyDescent="0.3">
      <c r="A34" s="21"/>
      <c r="B34" s="40">
        <v>42246</v>
      </c>
      <c r="C34" s="46">
        <v>1635</v>
      </c>
      <c r="D34" s="30" t="s">
        <v>687</v>
      </c>
      <c r="E34" s="28">
        <v>42246</v>
      </c>
      <c r="F34" s="52">
        <v>63607.4</v>
      </c>
      <c r="G34" s="25"/>
      <c r="H34" s="29">
        <v>42246</v>
      </c>
      <c r="I34" s="63">
        <v>400</v>
      </c>
      <c r="J34" s="81"/>
      <c r="K34" s="554"/>
      <c r="L34" s="835"/>
      <c r="M34" s="494">
        <v>55725</v>
      </c>
      <c r="N34" s="450"/>
      <c r="Q34" s="25"/>
    </row>
    <row r="35" spans="1:17" ht="15.75" thickBot="1" x14ac:dyDescent="0.3">
      <c r="A35" s="21"/>
      <c r="B35" s="40">
        <v>42247</v>
      </c>
      <c r="C35" s="46">
        <v>0</v>
      </c>
      <c r="D35" s="96"/>
      <c r="E35" s="28">
        <v>42247</v>
      </c>
      <c r="F35" s="52">
        <v>32635.200000000001</v>
      </c>
      <c r="G35" s="25"/>
      <c r="H35" s="29">
        <v>42247</v>
      </c>
      <c r="I35" s="63">
        <v>0</v>
      </c>
      <c r="J35" s="81" t="s">
        <v>628</v>
      </c>
      <c r="K35" s="488"/>
      <c r="L35" s="68">
        <v>0</v>
      </c>
      <c r="M35" s="116">
        <v>0</v>
      </c>
      <c r="Q35" s="25"/>
    </row>
    <row r="36" spans="1:17" ht="15.75" thickBot="1" x14ac:dyDescent="0.3">
      <c r="A36" s="15"/>
      <c r="B36" s="145"/>
      <c r="C36" s="146">
        <v>0</v>
      </c>
      <c r="D36" s="156"/>
      <c r="E36" s="28"/>
      <c r="F36" s="52">
        <v>0</v>
      </c>
      <c r="G36" s="25"/>
      <c r="H36" s="147"/>
      <c r="I36" s="148">
        <v>0</v>
      </c>
      <c r="J36" s="56"/>
      <c r="K36" s="11"/>
      <c r="L36" s="7"/>
      <c r="M36" s="115">
        <v>0</v>
      </c>
      <c r="P36" s="612"/>
      <c r="Q36" s="642"/>
    </row>
    <row r="37" spans="1:17" ht="16.5" thickBot="1" x14ac:dyDescent="0.3">
      <c r="A37" s="99"/>
      <c r="B37" s="42"/>
      <c r="C37" s="48">
        <v>0</v>
      </c>
      <c r="D37" s="156"/>
      <c r="E37" s="9"/>
      <c r="F37" s="54">
        <v>0</v>
      </c>
      <c r="H37" s="32"/>
      <c r="I37" s="65">
        <v>0</v>
      </c>
      <c r="J37" s="56"/>
      <c r="K37" s="17"/>
      <c r="L37" s="117"/>
      <c r="M37" s="611">
        <f>SUM(M5:M36)</f>
        <v>1361370.41</v>
      </c>
      <c r="Q37" s="25"/>
    </row>
    <row r="38" spans="1:17" x14ac:dyDescent="0.25">
      <c r="B38" s="43" t="s">
        <v>1</v>
      </c>
      <c r="C38" s="49">
        <f>SUM(C5:C37)</f>
        <v>25656.750000000004</v>
      </c>
      <c r="E38" s="607" t="s">
        <v>1</v>
      </c>
      <c r="F38" s="55">
        <f>SUM(F5:F37)</f>
        <v>1468792.1409999998</v>
      </c>
      <c r="H38" s="609" t="s">
        <v>1</v>
      </c>
      <c r="I38" s="59">
        <f>SUM(I5:I37)</f>
        <v>7695.92</v>
      </c>
      <c r="J38" s="59"/>
      <c r="K38" s="18" t="s">
        <v>1</v>
      </c>
      <c r="L38" s="4">
        <f>SUM(L5:L37)</f>
        <v>90129.709999999992</v>
      </c>
    </row>
    <row r="40" spans="1:17" ht="15.75" x14ac:dyDescent="0.25">
      <c r="A40" s="5"/>
      <c r="B40" s="280"/>
      <c r="C40" s="81"/>
      <c r="D40" s="157"/>
      <c r="E40" s="13"/>
      <c r="F40" s="56"/>
      <c r="H40" s="785" t="s">
        <v>11</v>
      </c>
      <c r="I40" s="786"/>
      <c r="J40" s="608"/>
      <c r="K40" s="787">
        <f>I38+L38</f>
        <v>97825.62999999999</v>
      </c>
      <c r="L40" s="788"/>
    </row>
    <row r="41" spans="1:17" ht="15.75" x14ac:dyDescent="0.25">
      <c r="B41" s="281"/>
      <c r="C41" s="56"/>
      <c r="D41" s="779" t="s">
        <v>12</v>
      </c>
      <c r="E41" s="779"/>
      <c r="F41" s="57">
        <f>F38-K40</f>
        <v>1370966.5109999999</v>
      </c>
      <c r="I41" s="66"/>
      <c r="J41" s="66"/>
    </row>
    <row r="42" spans="1:17" ht="15.75" x14ac:dyDescent="0.25">
      <c r="D42" s="805" t="s">
        <v>246</v>
      </c>
      <c r="E42" s="805"/>
      <c r="F42" s="57">
        <v>-1239378.92</v>
      </c>
      <c r="I42" s="66"/>
      <c r="J42" s="66" t="s">
        <v>17</v>
      </c>
    </row>
    <row r="43" spans="1:17" ht="15.75" thickBot="1" x14ac:dyDescent="0.3">
      <c r="D43" s="159"/>
      <c r="E43" s="120" t="s">
        <v>0</v>
      </c>
      <c r="F43" s="121">
        <f>-C38</f>
        <v>-25656.750000000004</v>
      </c>
    </row>
    <row r="44" spans="1:17" ht="15.75" thickTop="1" x14ac:dyDescent="0.25">
      <c r="C44" s="44" t="s">
        <v>17</v>
      </c>
      <c r="E44" s="5" t="s">
        <v>15</v>
      </c>
      <c r="F44" s="59">
        <f>SUM(F41:F43)</f>
        <v>105930.84100000001</v>
      </c>
      <c r="I44" s="813" t="s">
        <v>248</v>
      </c>
      <c r="J44" s="814"/>
      <c r="K44" s="803">
        <f>F48+L46</f>
        <v>245862.28100000002</v>
      </c>
      <c r="L44" s="795"/>
    </row>
    <row r="45" spans="1:17" ht="15.75" thickBot="1" x14ac:dyDescent="0.3">
      <c r="D45" s="265" t="s">
        <v>253</v>
      </c>
      <c r="E45" s="5" t="s">
        <v>247</v>
      </c>
      <c r="F45" s="59">
        <v>27065</v>
      </c>
      <c r="I45" s="815"/>
      <c r="J45" s="816"/>
      <c r="K45" s="804"/>
      <c r="L45" s="796"/>
    </row>
    <row r="46" spans="1:17" ht="17.25" thickTop="1" thickBot="1" x14ac:dyDescent="0.3">
      <c r="C46" s="55"/>
      <c r="D46" s="778" t="s">
        <v>13</v>
      </c>
      <c r="E46" s="778"/>
      <c r="F46" s="60">
        <v>112866.44</v>
      </c>
      <c r="I46" s="790"/>
      <c r="J46" s="790"/>
      <c r="K46" s="812"/>
      <c r="L46" s="34"/>
    </row>
    <row r="47" spans="1:17" ht="19.5" thickBot="1" x14ac:dyDescent="0.35">
      <c r="C47" s="55"/>
      <c r="D47" s="607"/>
      <c r="E47" s="607"/>
      <c r="F47" s="139"/>
      <c r="H47" s="19"/>
      <c r="I47" s="610" t="s">
        <v>254</v>
      </c>
      <c r="J47" s="610"/>
      <c r="K47" s="806">
        <v>-192887.04000000001</v>
      </c>
      <c r="L47" s="807"/>
    </row>
    <row r="48" spans="1:17" ht="17.25" thickTop="1" thickBot="1" x14ac:dyDescent="0.3">
      <c r="E48" s="6" t="s">
        <v>16</v>
      </c>
      <c r="F48" s="264">
        <f>F44+F45+F46</f>
        <v>245862.28100000002</v>
      </c>
    </row>
    <row r="49" spans="2:14" ht="19.5" thickBot="1" x14ac:dyDescent="0.35">
      <c r="B49"/>
      <c r="C49"/>
      <c r="D49" s="777"/>
      <c r="E49" s="777"/>
      <c r="F49" s="56"/>
      <c r="I49" s="810" t="s">
        <v>249</v>
      </c>
      <c r="J49" s="811"/>
      <c r="K49" s="808">
        <f>K44+K47</f>
        <v>52975.241000000009</v>
      </c>
      <c r="L49" s="809"/>
      <c r="M49" s="113"/>
      <c r="N49"/>
    </row>
    <row r="50" spans="2:14" x14ac:dyDescent="0.25">
      <c r="B50"/>
      <c r="C50"/>
      <c r="M50" s="113"/>
      <c r="N50"/>
    </row>
    <row r="51" spans="2:14" x14ac:dyDescent="0.25">
      <c r="B51"/>
      <c r="C51"/>
      <c r="N51"/>
    </row>
    <row r="52" spans="2:14" x14ac:dyDescent="0.25">
      <c r="B52"/>
      <c r="C52"/>
      <c r="F52"/>
      <c r="I52"/>
      <c r="J52"/>
      <c r="M52"/>
      <c r="N52"/>
    </row>
    <row r="53" spans="2:14" x14ac:dyDescent="0.25">
      <c r="B53"/>
      <c r="C53"/>
      <c r="N53"/>
    </row>
    <row r="54" spans="2:14" x14ac:dyDescent="0.25">
      <c r="M54" s="56"/>
      <c r="N54"/>
    </row>
    <row r="55" spans="2:14" x14ac:dyDescent="0.25">
      <c r="M55" s="56"/>
      <c r="N55"/>
    </row>
    <row r="56" spans="2:14" x14ac:dyDescent="0.25">
      <c r="M56" s="56"/>
      <c r="N56"/>
    </row>
    <row r="57" spans="2:14" x14ac:dyDescent="0.25">
      <c r="M57" s="56"/>
      <c r="N57"/>
    </row>
  </sheetData>
  <mergeCells count="17">
    <mergeCell ref="D46:E46"/>
    <mergeCell ref="I46:K46"/>
    <mergeCell ref="K47:L47"/>
    <mergeCell ref="D49:E49"/>
    <mergeCell ref="I49:J49"/>
    <mergeCell ref="K49:L49"/>
    <mergeCell ref="H40:I40"/>
    <mergeCell ref="K40:L40"/>
    <mergeCell ref="D41:E41"/>
    <mergeCell ref="D42:E42"/>
    <mergeCell ref="I44:J45"/>
    <mergeCell ref="K44:L45"/>
    <mergeCell ref="L33:L34"/>
    <mergeCell ref="C1:K1"/>
    <mergeCell ref="E4:F4"/>
    <mergeCell ref="I4:L4"/>
    <mergeCell ref="L31:L32"/>
  </mergeCells>
  <pageMargins left="0.31496062992125984" right="0.11811023622047245" top="0.15748031496062992" bottom="0.15748031496062992" header="0.31496062992125984" footer="0.31496062992125984"/>
  <pageSetup scale="75" orientation="landscape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66"/>
  <sheetViews>
    <sheetView topLeftCell="A22" workbookViewId="0">
      <selection activeCell="E31" sqref="E31"/>
    </sheetView>
  </sheetViews>
  <sheetFormatPr baseColWidth="10" defaultRowHeight="15" x14ac:dyDescent="0.25"/>
  <cols>
    <col min="1" max="1" width="12.5703125" style="614" bestFit="1" customWidth="1"/>
    <col min="2" max="2" width="12.85546875" style="25" bestFit="1" customWidth="1"/>
    <col min="3" max="3" width="15.85546875" style="336" bestFit="1" customWidth="1"/>
    <col min="4" max="4" width="12.42578125" style="25" bestFit="1" customWidth="1"/>
    <col min="5" max="5" width="15.140625" style="336" bestFit="1" customWidth="1"/>
    <col min="6" max="6" width="18.5703125" style="336" bestFit="1" customWidth="1"/>
    <col min="7" max="7" width="11.42578125" style="25"/>
    <col min="8" max="8" width="12.5703125" bestFit="1" customWidth="1"/>
    <col min="10" max="10" width="24" bestFit="1" customWidth="1"/>
    <col min="13" max="13" width="20.140625" bestFit="1" customWidth="1"/>
  </cols>
  <sheetData>
    <row r="1" spans="1:15" ht="19.5" thickBot="1" x14ac:dyDescent="0.35">
      <c r="B1" s="621" t="s">
        <v>630</v>
      </c>
      <c r="C1" s="622"/>
      <c r="D1" s="584"/>
      <c r="E1" s="622"/>
      <c r="J1" s="474" t="s">
        <v>205</v>
      </c>
      <c r="K1" s="204"/>
      <c r="L1" s="613"/>
      <c r="M1" s="425">
        <v>42228</v>
      </c>
      <c r="N1" s="276"/>
    </row>
    <row r="2" spans="1:15" ht="16.5" thickBot="1" x14ac:dyDescent="0.3">
      <c r="A2" s="615"/>
      <c r="B2" s="616"/>
      <c r="C2" s="513"/>
      <c r="D2" s="616"/>
      <c r="E2" s="513"/>
      <c r="F2" s="513"/>
      <c r="I2" s="205"/>
      <c r="J2" s="419"/>
      <c r="K2" s="205"/>
      <c r="L2" s="206"/>
      <c r="M2" s="419"/>
      <c r="N2" s="519"/>
    </row>
    <row r="3" spans="1:15" ht="15.75" x14ac:dyDescent="0.25">
      <c r="A3" s="411">
        <v>42217</v>
      </c>
      <c r="B3" s="412" t="s">
        <v>631</v>
      </c>
      <c r="C3" s="450">
        <v>67672.399999999994</v>
      </c>
      <c r="D3" s="534">
        <v>42228</v>
      </c>
      <c r="E3" s="450">
        <v>67672.399999999994</v>
      </c>
      <c r="F3" s="413">
        <f t="shared" ref="F3:F40" si="0">C3-E3</f>
        <v>0</v>
      </c>
      <c r="I3" s="212" t="s">
        <v>202</v>
      </c>
      <c r="J3" s="419" t="s">
        <v>195</v>
      </c>
      <c r="K3" s="205"/>
      <c r="L3" s="206" t="s">
        <v>203</v>
      </c>
      <c r="M3" s="419" t="s">
        <v>204</v>
      </c>
      <c r="N3" s="519"/>
    </row>
    <row r="4" spans="1:15" ht="15.75" x14ac:dyDescent="0.25">
      <c r="A4" s="249">
        <v>42219</v>
      </c>
      <c r="B4" s="483" t="s">
        <v>632</v>
      </c>
      <c r="C4" s="450">
        <v>6669.8</v>
      </c>
      <c r="D4" s="534">
        <v>42228</v>
      </c>
      <c r="E4" s="450">
        <v>6669.8</v>
      </c>
      <c r="F4" s="296">
        <f t="shared" si="0"/>
        <v>0</v>
      </c>
      <c r="I4" s="561" t="s">
        <v>626</v>
      </c>
      <c r="J4" s="216">
        <v>7992.7</v>
      </c>
      <c r="K4" s="216"/>
      <c r="L4" s="331" t="s">
        <v>652</v>
      </c>
      <c r="M4" s="522">
        <v>39545</v>
      </c>
      <c r="N4" s="523">
        <v>42214</v>
      </c>
      <c r="O4" s="21">
        <v>42208</v>
      </c>
    </row>
    <row r="5" spans="1:15" ht="15.75" x14ac:dyDescent="0.25">
      <c r="A5" s="249">
        <v>42220</v>
      </c>
      <c r="B5" s="483" t="s">
        <v>633</v>
      </c>
      <c r="C5" s="450">
        <v>26831.5</v>
      </c>
      <c r="D5" s="534">
        <v>42228</v>
      </c>
      <c r="E5" s="450">
        <v>26831.5</v>
      </c>
      <c r="F5" s="296">
        <f t="shared" si="0"/>
        <v>0</v>
      </c>
      <c r="H5" s="625">
        <v>74907</v>
      </c>
      <c r="I5" s="344" t="s">
        <v>631</v>
      </c>
      <c r="J5" s="81">
        <v>67672.399999999994</v>
      </c>
      <c r="K5" s="234"/>
      <c r="L5" s="331" t="s">
        <v>652</v>
      </c>
      <c r="M5" s="522">
        <v>26484</v>
      </c>
      <c r="N5" s="523">
        <v>42221</v>
      </c>
      <c r="O5" s="21">
        <v>42214</v>
      </c>
    </row>
    <row r="6" spans="1:15" ht="15.75" x14ac:dyDescent="0.25">
      <c r="A6" s="249">
        <v>42220</v>
      </c>
      <c r="B6" s="483" t="s">
        <v>634</v>
      </c>
      <c r="C6" s="450">
        <v>81636.52</v>
      </c>
      <c r="D6" s="534">
        <v>42228</v>
      </c>
      <c r="E6" s="450">
        <v>81636.52</v>
      </c>
      <c r="F6" s="296">
        <f>C6-E6</f>
        <v>0</v>
      </c>
      <c r="I6" s="344" t="s">
        <v>632</v>
      </c>
      <c r="J6" s="81">
        <v>6669.8</v>
      </c>
      <c r="K6" s="234"/>
      <c r="L6" s="331" t="s">
        <v>652</v>
      </c>
      <c r="M6" s="521">
        <v>29560.5</v>
      </c>
      <c r="N6" s="525">
        <v>42221</v>
      </c>
      <c r="O6" s="21">
        <v>42215</v>
      </c>
    </row>
    <row r="7" spans="1:15" ht="15.75" x14ac:dyDescent="0.25">
      <c r="A7" s="249">
        <v>42221</v>
      </c>
      <c r="B7" s="483" t="s">
        <v>635</v>
      </c>
      <c r="C7" s="450">
        <v>19313.599999999999</v>
      </c>
      <c r="D7" s="534">
        <v>42228</v>
      </c>
      <c r="E7" s="450">
        <v>19313.599999999999</v>
      </c>
      <c r="F7" s="296">
        <f t="shared" si="0"/>
        <v>0</v>
      </c>
      <c r="I7" s="344" t="s">
        <v>633</v>
      </c>
      <c r="J7" s="81">
        <v>26831.5</v>
      </c>
      <c r="K7" s="234"/>
      <c r="L7" s="331" t="s">
        <v>652</v>
      </c>
      <c r="M7" s="522">
        <v>36280</v>
      </c>
      <c r="N7" s="523">
        <v>42221</v>
      </c>
      <c r="O7" s="21">
        <v>42216</v>
      </c>
    </row>
    <row r="8" spans="1:15" ht="15.75" x14ac:dyDescent="0.25">
      <c r="A8" s="249">
        <v>42222</v>
      </c>
      <c r="B8" s="483" t="s">
        <v>636</v>
      </c>
      <c r="C8" s="450">
        <v>4167.3999999999996</v>
      </c>
      <c r="D8" s="534">
        <v>42228</v>
      </c>
      <c r="E8" s="450">
        <v>4167.3999999999996</v>
      </c>
      <c r="F8" s="296">
        <f t="shared" si="0"/>
        <v>0</v>
      </c>
      <c r="I8" s="344" t="s">
        <v>634</v>
      </c>
      <c r="J8" s="81">
        <v>81636.52</v>
      </c>
      <c r="K8" s="234"/>
      <c r="L8" s="331" t="s">
        <v>652</v>
      </c>
      <c r="M8" s="522">
        <v>60894</v>
      </c>
      <c r="N8" s="523">
        <v>42221</v>
      </c>
      <c r="O8" s="21">
        <v>42217</v>
      </c>
    </row>
    <row r="9" spans="1:15" ht="15.75" x14ac:dyDescent="0.25">
      <c r="A9" s="249">
        <v>42222</v>
      </c>
      <c r="B9" s="483" t="s">
        <v>637</v>
      </c>
      <c r="C9" s="81">
        <v>11370.56</v>
      </c>
      <c r="D9" s="534">
        <v>42228</v>
      </c>
      <c r="E9" s="81">
        <v>11370.56</v>
      </c>
      <c r="F9" s="296">
        <f t="shared" si="0"/>
        <v>0</v>
      </c>
      <c r="I9" s="344" t="s">
        <v>635</v>
      </c>
      <c r="J9" s="81">
        <v>19313.599999999999</v>
      </c>
      <c r="K9" s="235"/>
      <c r="L9" s="331" t="s">
        <v>652</v>
      </c>
      <c r="M9" s="521">
        <v>60874.5</v>
      </c>
      <c r="N9" s="525">
        <v>42221</v>
      </c>
      <c r="O9" s="21">
        <v>42218</v>
      </c>
    </row>
    <row r="10" spans="1:15" ht="15.75" x14ac:dyDescent="0.25">
      <c r="A10" s="249">
        <v>42224</v>
      </c>
      <c r="B10" s="344" t="s">
        <v>638</v>
      </c>
      <c r="C10" s="81">
        <v>98464.320000000007</v>
      </c>
      <c r="D10" s="534">
        <v>42228</v>
      </c>
      <c r="E10" s="81">
        <v>98464.320000000007</v>
      </c>
      <c r="F10" s="296">
        <f t="shared" si="0"/>
        <v>0</v>
      </c>
      <c r="I10" s="344" t="s">
        <v>636</v>
      </c>
      <c r="J10" s="81">
        <v>4167.3999999999996</v>
      </c>
      <c r="K10" s="230"/>
      <c r="L10" s="331" t="s">
        <v>652</v>
      </c>
      <c r="M10" s="522">
        <v>33550</v>
      </c>
      <c r="N10" s="523">
        <v>42221</v>
      </c>
      <c r="O10" s="21">
        <v>42219</v>
      </c>
    </row>
    <row r="11" spans="1:15" ht="15.75" x14ac:dyDescent="0.25">
      <c r="A11" s="249">
        <v>42223</v>
      </c>
      <c r="B11" s="344" t="s">
        <v>654</v>
      </c>
      <c r="C11" s="81">
        <v>5132.96</v>
      </c>
      <c r="D11" s="534">
        <v>42228</v>
      </c>
      <c r="E11" s="81">
        <v>5132.96</v>
      </c>
      <c r="F11" s="297">
        <f t="shared" si="0"/>
        <v>0</v>
      </c>
      <c r="I11" s="344" t="s">
        <v>637</v>
      </c>
      <c r="J11" s="81">
        <v>11370.56</v>
      </c>
      <c r="K11" s="230"/>
      <c r="L11" s="331" t="s">
        <v>652</v>
      </c>
      <c r="M11" s="521">
        <v>22322</v>
      </c>
      <c r="N11" s="525">
        <v>42221</v>
      </c>
      <c r="O11" s="21">
        <v>42220</v>
      </c>
    </row>
    <row r="12" spans="1:15" ht="15.75" x14ac:dyDescent="0.25">
      <c r="A12" s="249">
        <v>42225</v>
      </c>
      <c r="B12" s="344" t="s">
        <v>655</v>
      </c>
      <c r="C12" s="81">
        <v>21628.3</v>
      </c>
      <c r="D12" s="617" t="s">
        <v>675</v>
      </c>
      <c r="E12" s="81">
        <f>18616.24+3012.06</f>
        <v>21628.300000000003</v>
      </c>
      <c r="F12" s="297">
        <f t="shared" si="0"/>
        <v>0</v>
      </c>
      <c r="I12" s="344" t="s">
        <v>638</v>
      </c>
      <c r="J12" s="81">
        <v>98464.320000000007</v>
      </c>
      <c r="K12" s="416"/>
      <c r="L12" s="331" t="s">
        <v>652</v>
      </c>
      <c r="M12" s="522">
        <v>38358</v>
      </c>
      <c r="N12" s="523">
        <v>42222</v>
      </c>
      <c r="O12" s="21">
        <v>42221</v>
      </c>
    </row>
    <row r="13" spans="1:15" ht="15.75" x14ac:dyDescent="0.25">
      <c r="A13" s="359">
        <v>42227</v>
      </c>
      <c r="B13" s="344" t="s">
        <v>656</v>
      </c>
      <c r="C13" s="81">
        <v>126877.4</v>
      </c>
      <c r="D13" s="534">
        <v>42242</v>
      </c>
      <c r="E13" s="81">
        <v>126877.4</v>
      </c>
      <c r="F13" s="297">
        <f>C13-E13</f>
        <v>0</v>
      </c>
      <c r="I13" s="626" t="s">
        <v>654</v>
      </c>
      <c r="J13" s="432">
        <v>5132.96</v>
      </c>
      <c r="K13" s="459"/>
      <c r="L13" s="331" t="s">
        <v>652</v>
      </c>
      <c r="M13" s="528"/>
      <c r="N13" s="527"/>
    </row>
    <row r="14" spans="1:15" ht="15.75" x14ac:dyDescent="0.25">
      <c r="A14" s="359">
        <v>42229</v>
      </c>
      <c r="B14" s="496" t="s">
        <v>663</v>
      </c>
      <c r="C14" s="450">
        <v>24040.9</v>
      </c>
      <c r="D14" s="534">
        <v>42242</v>
      </c>
      <c r="E14" s="450">
        <v>24040.9</v>
      </c>
      <c r="F14" s="297">
        <f t="shared" si="0"/>
        <v>0</v>
      </c>
      <c r="I14" s="627" t="s">
        <v>655</v>
      </c>
      <c r="J14" s="324">
        <v>18616.240000000002</v>
      </c>
      <c r="K14" s="230"/>
      <c r="L14" s="331" t="s">
        <v>652</v>
      </c>
      <c r="M14" s="230"/>
      <c r="N14" s="230"/>
    </row>
    <row r="15" spans="1:15" ht="15.75" x14ac:dyDescent="0.25">
      <c r="A15" s="343">
        <v>42230</v>
      </c>
      <c r="B15" s="344" t="s">
        <v>657</v>
      </c>
      <c r="C15" s="81">
        <v>110494.27</v>
      </c>
      <c r="D15" s="534">
        <v>42242</v>
      </c>
      <c r="E15" s="81">
        <v>110494.27</v>
      </c>
      <c r="F15" s="297">
        <f t="shared" si="0"/>
        <v>0</v>
      </c>
      <c r="I15" s="329"/>
      <c r="J15" s="230"/>
      <c r="K15" s="230"/>
      <c r="L15" s="230"/>
      <c r="M15" s="230"/>
      <c r="N15" s="230"/>
    </row>
    <row r="16" spans="1:15" ht="15.75" x14ac:dyDescent="0.25">
      <c r="A16" s="343">
        <v>42231</v>
      </c>
      <c r="B16" s="496" t="s">
        <v>664</v>
      </c>
      <c r="C16" s="450">
        <v>53622.3</v>
      </c>
      <c r="D16" s="534">
        <v>42242</v>
      </c>
      <c r="E16" s="450">
        <v>53622.3</v>
      </c>
      <c r="F16" s="297">
        <f t="shared" si="0"/>
        <v>0</v>
      </c>
      <c r="I16" s="329"/>
      <c r="J16" s="332"/>
      <c r="K16" s="220"/>
      <c r="L16" s="217"/>
      <c r="M16" s="332"/>
      <c r="N16" s="334"/>
    </row>
    <row r="17" spans="1:15" ht="16.5" thickBot="1" x14ac:dyDescent="0.3">
      <c r="A17" s="343">
        <v>42232</v>
      </c>
      <c r="B17" s="496" t="s">
        <v>658</v>
      </c>
      <c r="C17" s="450">
        <v>2618.8000000000002</v>
      </c>
      <c r="D17" s="534">
        <v>42242</v>
      </c>
      <c r="E17" s="450">
        <v>2618.8000000000002</v>
      </c>
      <c r="F17" s="297">
        <f t="shared" si="0"/>
        <v>0</v>
      </c>
      <c r="I17" s="361"/>
      <c r="J17" s="226">
        <v>0</v>
      </c>
      <c r="K17" s="226"/>
      <c r="L17" s="227"/>
      <c r="M17" s="121">
        <v>0</v>
      </c>
      <c r="N17" s="520"/>
    </row>
    <row r="18" spans="1:15" ht="16.5" thickTop="1" x14ac:dyDescent="0.25">
      <c r="A18" s="343">
        <v>42233</v>
      </c>
      <c r="B18" s="496" t="s">
        <v>659</v>
      </c>
      <c r="C18" s="450">
        <v>6285.76</v>
      </c>
      <c r="D18" s="534">
        <v>42242</v>
      </c>
      <c r="E18" s="450">
        <v>6285.76</v>
      </c>
      <c r="F18" s="297">
        <f t="shared" si="0"/>
        <v>0</v>
      </c>
      <c r="I18" s="361"/>
      <c r="J18" s="419">
        <f>SUM(J4:J17)</f>
        <v>347868</v>
      </c>
      <c r="K18" s="208"/>
      <c r="L18" s="206"/>
      <c r="M18" s="419">
        <f>SUM(M4:M17)</f>
        <v>347868</v>
      </c>
      <c r="N18" s="276"/>
    </row>
    <row r="19" spans="1:15" ht="15.75" x14ac:dyDescent="0.25">
      <c r="A19" s="343">
        <v>42234</v>
      </c>
      <c r="B19" s="496" t="s">
        <v>665</v>
      </c>
      <c r="C19" s="450">
        <v>91728.5</v>
      </c>
      <c r="D19" s="534">
        <v>42242</v>
      </c>
      <c r="E19" s="450">
        <v>91728.5</v>
      </c>
      <c r="F19" s="297">
        <f t="shared" si="0"/>
        <v>0</v>
      </c>
      <c r="I19" s="361"/>
      <c r="J19" s="419"/>
      <c r="K19" s="208"/>
      <c r="L19" s="206"/>
      <c r="M19" s="419"/>
      <c r="N19" s="276"/>
    </row>
    <row r="20" spans="1:15" ht="15.75" x14ac:dyDescent="0.25">
      <c r="A20" s="343">
        <v>42235</v>
      </c>
      <c r="B20" s="496" t="s">
        <v>666</v>
      </c>
      <c r="C20" s="450">
        <v>30739</v>
      </c>
      <c r="D20" s="534">
        <v>42242</v>
      </c>
      <c r="E20" s="450">
        <v>30739</v>
      </c>
      <c r="F20" s="297">
        <f t="shared" si="0"/>
        <v>0</v>
      </c>
      <c r="I20" s="361"/>
      <c r="J20" s="419"/>
      <c r="K20" s="208"/>
      <c r="L20" s="206"/>
      <c r="M20" s="419"/>
      <c r="N20" s="276"/>
    </row>
    <row r="21" spans="1:15" ht="16.5" thickBot="1" x14ac:dyDescent="0.3">
      <c r="A21" s="343">
        <v>42237</v>
      </c>
      <c r="B21" s="496" t="s">
        <v>667</v>
      </c>
      <c r="C21" s="450">
        <v>10320.6</v>
      </c>
      <c r="D21" s="534">
        <v>42242</v>
      </c>
      <c r="E21" s="450">
        <v>10320.6</v>
      </c>
      <c r="F21" s="297">
        <f t="shared" si="0"/>
        <v>0</v>
      </c>
      <c r="I21" s="361"/>
      <c r="J21" s="419"/>
      <c r="K21" s="208"/>
      <c r="L21" s="206"/>
      <c r="M21" s="419"/>
      <c r="N21" s="276"/>
    </row>
    <row r="22" spans="1:15" ht="19.5" thickBot="1" x14ac:dyDescent="0.35">
      <c r="A22" s="343">
        <v>42238</v>
      </c>
      <c r="B22" s="496" t="s">
        <v>668</v>
      </c>
      <c r="C22" s="450">
        <v>50039.9</v>
      </c>
      <c r="D22" s="534">
        <v>42242</v>
      </c>
      <c r="E22" s="450">
        <v>50039.9</v>
      </c>
      <c r="F22" s="297">
        <f t="shared" si="0"/>
        <v>0</v>
      </c>
      <c r="J22" s="474" t="s">
        <v>205</v>
      </c>
      <c r="K22" s="204"/>
      <c r="L22" s="628"/>
      <c r="M22" s="601">
        <v>42242</v>
      </c>
      <c r="N22" s="276"/>
    </row>
    <row r="23" spans="1:15" ht="15.75" x14ac:dyDescent="0.25">
      <c r="A23" s="343">
        <v>42238</v>
      </c>
      <c r="B23" s="496" t="s">
        <v>669</v>
      </c>
      <c r="C23" s="450">
        <v>64479.15</v>
      </c>
      <c r="D23" s="534">
        <v>42242</v>
      </c>
      <c r="E23" s="450">
        <v>64479.15</v>
      </c>
      <c r="F23" s="297">
        <f t="shared" si="0"/>
        <v>0</v>
      </c>
      <c r="I23" s="205"/>
      <c r="J23" s="419"/>
      <c r="K23" s="205"/>
      <c r="L23" s="206"/>
      <c r="M23" s="419"/>
      <c r="N23" s="519"/>
    </row>
    <row r="24" spans="1:15" ht="15.75" x14ac:dyDescent="0.25">
      <c r="A24" s="343">
        <v>42239</v>
      </c>
      <c r="B24" s="496" t="s">
        <v>670</v>
      </c>
      <c r="C24" s="450">
        <v>4825</v>
      </c>
      <c r="D24" s="534">
        <v>42242</v>
      </c>
      <c r="E24" s="450">
        <v>4825</v>
      </c>
      <c r="F24" s="297">
        <f t="shared" si="0"/>
        <v>0</v>
      </c>
      <c r="I24" s="212" t="s">
        <v>202</v>
      </c>
      <c r="J24" s="419" t="s">
        <v>195</v>
      </c>
      <c r="K24" s="205"/>
      <c r="L24" s="206" t="s">
        <v>203</v>
      </c>
      <c r="M24" s="419" t="s">
        <v>204</v>
      </c>
      <c r="N24" s="519"/>
    </row>
    <row r="25" spans="1:15" ht="15.75" x14ac:dyDescent="0.25">
      <c r="A25" s="343">
        <v>42240</v>
      </c>
      <c r="B25" s="496" t="s">
        <v>671</v>
      </c>
      <c r="C25" s="450">
        <v>81274.66</v>
      </c>
      <c r="D25" s="562" t="s">
        <v>681</v>
      </c>
      <c r="E25" s="369">
        <f>59195.49+22079.17</f>
        <v>81274.66</v>
      </c>
      <c r="F25" s="297">
        <f t="shared" si="0"/>
        <v>0</v>
      </c>
      <c r="I25" s="561" t="s">
        <v>655</v>
      </c>
      <c r="J25" s="216">
        <v>3012.06</v>
      </c>
      <c r="K25" s="216"/>
      <c r="L25" s="331" t="s">
        <v>674</v>
      </c>
      <c r="M25" s="522">
        <v>35841</v>
      </c>
      <c r="N25" s="523">
        <v>42223</v>
      </c>
      <c r="O25" s="21">
        <v>42222</v>
      </c>
    </row>
    <row r="26" spans="1:15" ht="15.75" x14ac:dyDescent="0.25">
      <c r="A26" s="343">
        <v>42242</v>
      </c>
      <c r="B26" s="496" t="s">
        <v>676</v>
      </c>
      <c r="C26" s="450">
        <v>4679.3999999999996</v>
      </c>
      <c r="D26" s="562">
        <v>42248</v>
      </c>
      <c r="E26" s="369">
        <v>4679.3999999999996</v>
      </c>
      <c r="F26" s="297">
        <f t="shared" si="0"/>
        <v>0</v>
      </c>
      <c r="I26" s="344" t="s">
        <v>656</v>
      </c>
      <c r="J26" s="81">
        <v>126877.4</v>
      </c>
      <c r="K26" s="234"/>
      <c r="L26" s="331" t="s">
        <v>674</v>
      </c>
      <c r="M26" s="522">
        <v>58077</v>
      </c>
      <c r="N26" s="523">
        <v>42226</v>
      </c>
      <c r="O26" s="21">
        <v>42223</v>
      </c>
    </row>
    <row r="27" spans="1:15" ht="15.75" x14ac:dyDescent="0.25">
      <c r="A27" s="343">
        <v>42243</v>
      </c>
      <c r="B27" s="496" t="s">
        <v>677</v>
      </c>
      <c r="C27" s="450">
        <v>94413.92</v>
      </c>
      <c r="D27" s="562">
        <v>42248</v>
      </c>
      <c r="E27" s="369">
        <v>94413.92</v>
      </c>
      <c r="F27" s="297">
        <f t="shared" si="0"/>
        <v>0</v>
      </c>
      <c r="I27" s="496" t="s">
        <v>663</v>
      </c>
      <c r="J27" s="450">
        <v>24040.9</v>
      </c>
      <c r="K27" s="234"/>
      <c r="L27" s="331" t="s">
        <v>674</v>
      </c>
      <c r="M27" s="521">
        <v>60950</v>
      </c>
      <c r="N27" s="525">
        <v>42226</v>
      </c>
      <c r="O27" s="21">
        <v>42224</v>
      </c>
    </row>
    <row r="28" spans="1:15" ht="15.75" x14ac:dyDescent="0.25">
      <c r="A28" s="343">
        <v>42244</v>
      </c>
      <c r="B28" s="496" t="s">
        <v>678</v>
      </c>
      <c r="C28" s="450">
        <v>31110</v>
      </c>
      <c r="D28" s="562">
        <v>42248</v>
      </c>
      <c r="E28" s="369">
        <v>31110</v>
      </c>
      <c r="F28" s="297">
        <f t="shared" si="0"/>
        <v>0</v>
      </c>
      <c r="I28" s="344" t="s">
        <v>657</v>
      </c>
      <c r="J28" s="81">
        <v>110494.27</v>
      </c>
      <c r="K28" s="234"/>
      <c r="L28" s="331" t="s">
        <v>674</v>
      </c>
      <c r="M28" s="522">
        <v>52326.5</v>
      </c>
      <c r="N28" s="523">
        <v>42226</v>
      </c>
      <c r="O28" s="21">
        <v>42225</v>
      </c>
    </row>
    <row r="29" spans="1:15" ht="15.75" x14ac:dyDescent="0.25">
      <c r="A29" s="343">
        <v>42237</v>
      </c>
      <c r="B29" s="496" t="s">
        <v>692</v>
      </c>
      <c r="C29" s="81">
        <v>14235.6</v>
      </c>
      <c r="D29" s="480">
        <v>42264</v>
      </c>
      <c r="E29" s="366">
        <v>14235.6</v>
      </c>
      <c r="F29" s="297">
        <f>C29-E29</f>
        <v>0</v>
      </c>
      <c r="I29" s="496" t="s">
        <v>664</v>
      </c>
      <c r="J29" s="450">
        <v>53622.3</v>
      </c>
      <c r="K29" s="234"/>
      <c r="L29" s="331" t="s">
        <v>674</v>
      </c>
      <c r="M29" s="522">
        <v>30088</v>
      </c>
      <c r="N29" s="523">
        <v>42227</v>
      </c>
      <c r="O29" s="21">
        <v>42226</v>
      </c>
    </row>
    <row r="30" spans="1:15" ht="15.75" x14ac:dyDescent="0.25">
      <c r="A30" s="545">
        <v>42243</v>
      </c>
      <c r="B30" s="496" t="s">
        <v>693</v>
      </c>
      <c r="C30" s="450">
        <v>12313</v>
      </c>
      <c r="D30" s="564">
        <v>42264</v>
      </c>
      <c r="E30" s="369">
        <v>12313</v>
      </c>
      <c r="F30" s="297">
        <f>C30-E30</f>
        <v>0</v>
      </c>
      <c r="I30" s="496" t="s">
        <v>658</v>
      </c>
      <c r="J30" s="450">
        <v>2618.8000000000002</v>
      </c>
      <c r="K30" s="235"/>
      <c r="L30" s="331" t="s">
        <v>674</v>
      </c>
      <c r="M30" s="521">
        <v>34448.5</v>
      </c>
      <c r="N30" s="525">
        <v>42229</v>
      </c>
      <c r="O30" s="21">
        <v>42227</v>
      </c>
    </row>
    <row r="31" spans="1:15" ht="15.75" x14ac:dyDescent="0.25">
      <c r="A31" s="343">
        <v>42245</v>
      </c>
      <c r="B31" s="496" t="s">
        <v>679</v>
      </c>
      <c r="C31" s="81">
        <v>71445.399999999994</v>
      </c>
      <c r="D31" s="680" t="s">
        <v>730</v>
      </c>
      <c r="E31" s="366">
        <f>60702.01+10743.39</f>
        <v>71445.399999999994</v>
      </c>
      <c r="F31" s="297">
        <f>C31-E31</f>
        <v>0</v>
      </c>
      <c r="I31" s="496" t="s">
        <v>659</v>
      </c>
      <c r="J31" s="450">
        <v>6285.76</v>
      </c>
      <c r="K31" s="230"/>
      <c r="L31" s="331" t="s">
        <v>674</v>
      </c>
      <c r="M31" s="522">
        <v>40677</v>
      </c>
      <c r="N31" s="523">
        <v>42230</v>
      </c>
      <c r="O31" s="21">
        <v>42228</v>
      </c>
    </row>
    <row r="32" spans="1:15" ht="15.75" x14ac:dyDescent="0.25">
      <c r="A32" s="545">
        <v>42246</v>
      </c>
      <c r="B32" s="496" t="s">
        <v>680</v>
      </c>
      <c r="C32" s="81">
        <v>10948</v>
      </c>
      <c r="D32" s="480">
        <v>42264</v>
      </c>
      <c r="E32" s="366">
        <v>10948</v>
      </c>
      <c r="F32" s="297">
        <f>C32-E32</f>
        <v>0</v>
      </c>
      <c r="I32" s="496" t="s">
        <v>665</v>
      </c>
      <c r="J32" s="450">
        <v>91728.5</v>
      </c>
      <c r="K32" s="230"/>
      <c r="L32" s="331" t="s">
        <v>674</v>
      </c>
      <c r="M32" s="521">
        <v>36320.129999999997</v>
      </c>
      <c r="N32" s="525">
        <v>42230</v>
      </c>
      <c r="O32" s="21">
        <v>42229</v>
      </c>
    </row>
    <row r="33" spans="1:15" ht="15.75" x14ac:dyDescent="0.25">
      <c r="A33" s="343"/>
      <c r="B33" s="496"/>
      <c r="C33" s="81"/>
      <c r="D33" s="465"/>
      <c r="E33" s="294"/>
      <c r="F33" s="297">
        <f t="shared" si="0"/>
        <v>0</v>
      </c>
      <c r="I33" s="496" t="s">
        <v>666</v>
      </c>
      <c r="J33" s="450">
        <v>30739</v>
      </c>
      <c r="K33" s="416"/>
      <c r="L33" s="331" t="s">
        <v>674</v>
      </c>
      <c r="M33" s="522">
        <v>66900</v>
      </c>
      <c r="N33" s="523">
        <v>42241</v>
      </c>
      <c r="O33" s="21">
        <v>42230</v>
      </c>
    </row>
    <row r="34" spans="1:15" ht="15.75" x14ac:dyDescent="0.25">
      <c r="A34" s="595"/>
      <c r="B34" s="585"/>
      <c r="C34" s="81"/>
      <c r="D34" s="465"/>
      <c r="E34" s="294"/>
      <c r="F34" s="596">
        <f t="shared" si="0"/>
        <v>0</v>
      </c>
      <c r="I34" s="496" t="s">
        <v>667</v>
      </c>
      <c r="J34" s="450">
        <v>10320.6</v>
      </c>
      <c r="K34" s="459"/>
      <c r="L34" s="331" t="s">
        <v>674</v>
      </c>
      <c r="M34" s="528">
        <v>63210</v>
      </c>
      <c r="N34" s="527">
        <v>42241</v>
      </c>
      <c r="O34" s="21">
        <v>42231</v>
      </c>
    </row>
    <row r="35" spans="1:15" ht="15.75" x14ac:dyDescent="0.25">
      <c r="A35" s="602"/>
      <c r="B35" s="618"/>
      <c r="C35" s="81"/>
      <c r="D35" s="287"/>
      <c r="E35" s="81"/>
      <c r="F35" s="596">
        <f t="shared" si="0"/>
        <v>0</v>
      </c>
      <c r="I35" s="496" t="s">
        <v>668</v>
      </c>
      <c r="J35" s="450">
        <v>50039.9</v>
      </c>
      <c r="K35" s="230"/>
      <c r="L35" s="331" t="s">
        <v>674</v>
      </c>
      <c r="M35" s="521">
        <v>53621</v>
      </c>
      <c r="N35" s="525">
        <v>42241</v>
      </c>
      <c r="O35" s="21">
        <v>42232</v>
      </c>
    </row>
    <row r="36" spans="1:15" ht="15.75" x14ac:dyDescent="0.25">
      <c r="A36" s="602"/>
      <c r="B36" s="618"/>
      <c r="C36" s="81"/>
      <c r="D36" s="287"/>
      <c r="E36" s="81"/>
      <c r="F36" s="596">
        <f t="shared" si="0"/>
        <v>0</v>
      </c>
      <c r="I36" s="496" t="s">
        <v>669</v>
      </c>
      <c r="J36" s="450">
        <v>64479.15</v>
      </c>
      <c r="K36" s="230"/>
      <c r="L36" s="331" t="s">
        <v>674</v>
      </c>
      <c r="M36" s="521">
        <v>32818</v>
      </c>
      <c r="N36" s="525">
        <v>42241</v>
      </c>
      <c r="O36" s="21">
        <v>42233</v>
      </c>
    </row>
    <row r="37" spans="1:15" ht="15.75" x14ac:dyDescent="0.25">
      <c r="A37" s="249"/>
      <c r="B37" s="619"/>
      <c r="C37" s="81"/>
      <c r="D37" s="287"/>
      <c r="E37" s="81"/>
      <c r="F37" s="596">
        <f t="shared" si="0"/>
        <v>0</v>
      </c>
      <c r="I37" s="585" t="s">
        <v>670</v>
      </c>
      <c r="J37" s="450">
        <v>4825</v>
      </c>
      <c r="K37" s="629"/>
      <c r="L37" s="587" t="s">
        <v>674</v>
      </c>
      <c r="M37" s="630">
        <v>38665</v>
      </c>
      <c r="N37" s="589">
        <v>42241</v>
      </c>
      <c r="O37" s="21">
        <v>42234</v>
      </c>
    </row>
    <row r="38" spans="1:15" ht="15.75" x14ac:dyDescent="0.25">
      <c r="A38" s="473"/>
      <c r="B38" s="620"/>
      <c r="C38" s="81"/>
      <c r="D38" s="286"/>
      <c r="E38" s="81"/>
      <c r="F38" s="596">
        <f t="shared" si="0"/>
        <v>0</v>
      </c>
      <c r="I38" s="496" t="s">
        <v>671</v>
      </c>
      <c r="J38" s="432">
        <v>59195.49</v>
      </c>
      <c r="K38" s="216" t="s">
        <v>236</v>
      </c>
      <c r="L38" s="587" t="s">
        <v>674</v>
      </c>
      <c r="M38" s="324">
        <v>34337</v>
      </c>
      <c r="N38" s="525">
        <v>42241</v>
      </c>
      <c r="O38" s="21" t="s">
        <v>17</v>
      </c>
    </row>
    <row r="39" spans="1:15" ht="15.75" x14ac:dyDescent="0.25">
      <c r="A39" s="473"/>
      <c r="B39" s="620"/>
      <c r="C39" s="81"/>
      <c r="D39" s="286"/>
      <c r="E39" s="81"/>
      <c r="F39" s="596">
        <f t="shared" si="0"/>
        <v>0</v>
      </c>
      <c r="I39" s="329"/>
      <c r="J39" s="230"/>
      <c r="K39" s="230"/>
      <c r="L39" s="587"/>
      <c r="M39" s="232">
        <v>0</v>
      </c>
      <c r="N39" s="334"/>
    </row>
    <row r="40" spans="1:15" ht="15.75" thickBot="1" x14ac:dyDescent="0.3">
      <c r="B40" s="263"/>
      <c r="C40" s="180">
        <v>0</v>
      </c>
      <c r="D40" s="467"/>
      <c r="E40" s="295">
        <v>0</v>
      </c>
      <c r="F40" s="596">
        <f t="shared" si="0"/>
        <v>0</v>
      </c>
      <c r="I40" s="230"/>
      <c r="J40" s="230"/>
      <c r="K40" s="230"/>
      <c r="L40" s="230"/>
      <c r="M40" s="232">
        <v>0</v>
      </c>
      <c r="N40" s="230"/>
    </row>
    <row r="41" spans="1:15" ht="16.5" thickTop="1" x14ac:dyDescent="0.25">
      <c r="B41" s="614"/>
      <c r="C41" s="450">
        <f>SUM(C3:C40)</f>
        <v>1239378.9200000002</v>
      </c>
      <c r="D41" s="178"/>
      <c r="E41" s="336">
        <f>SUM(E3:E40)</f>
        <v>1239378.9200000002</v>
      </c>
      <c r="F41" s="336">
        <f>SUM(F3:F40)</f>
        <v>0</v>
      </c>
      <c r="J41" s="419">
        <f>SUM(J25:J38)</f>
        <v>638279.13</v>
      </c>
      <c r="K41" s="208"/>
      <c r="L41" s="206"/>
      <c r="M41" s="419">
        <f>SUM(M25:M40)</f>
        <v>638279.13</v>
      </c>
    </row>
    <row r="42" spans="1:15" x14ac:dyDescent="0.25">
      <c r="C42" s="450"/>
    </row>
    <row r="43" spans="1:15" ht="15.75" thickBot="1" x14ac:dyDescent="0.3">
      <c r="B43" s="25" t="s">
        <v>101</v>
      </c>
      <c r="E43" s="25"/>
      <c r="F43" s="25"/>
    </row>
    <row r="44" spans="1:15" ht="19.5" thickBot="1" x14ac:dyDescent="0.35">
      <c r="B44" s="450"/>
      <c r="C44" s="534"/>
      <c r="D44" s="196"/>
      <c r="E44" s="25"/>
      <c r="F44" s="25"/>
      <c r="J44" s="474" t="s">
        <v>205</v>
      </c>
      <c r="K44" s="204"/>
      <c r="L44" s="631"/>
      <c r="M44" s="479">
        <v>42248</v>
      </c>
      <c r="N44" s="276"/>
    </row>
    <row r="45" spans="1:15" ht="15.75" x14ac:dyDescent="0.25">
      <c r="E45" s="25"/>
      <c r="F45" s="25"/>
      <c r="I45" s="205"/>
      <c r="J45" s="419"/>
      <c r="K45" s="205"/>
      <c r="L45" s="206"/>
      <c r="M45" s="419"/>
      <c r="N45" s="519"/>
    </row>
    <row r="46" spans="1:15" ht="15.75" x14ac:dyDescent="0.25">
      <c r="E46" s="25"/>
      <c r="F46" s="25"/>
      <c r="I46" s="212" t="s">
        <v>202</v>
      </c>
      <c r="J46" s="419" t="s">
        <v>195</v>
      </c>
      <c r="K46" s="205"/>
      <c r="L46" s="206" t="s">
        <v>203</v>
      </c>
      <c r="M46" s="419" t="s">
        <v>204</v>
      </c>
      <c r="N46" s="519"/>
    </row>
    <row r="47" spans="1:15" ht="15.75" x14ac:dyDescent="0.25">
      <c r="E47" s="25"/>
      <c r="F47" s="25"/>
      <c r="I47" s="561" t="s">
        <v>671</v>
      </c>
      <c r="J47" s="216">
        <v>22079.17</v>
      </c>
      <c r="K47" s="216" t="s">
        <v>17</v>
      </c>
      <c r="L47" s="331" t="s">
        <v>674</v>
      </c>
      <c r="M47" s="522">
        <v>37227.5</v>
      </c>
      <c r="N47" s="523">
        <v>42241</v>
      </c>
      <c r="O47" s="21">
        <v>42236</v>
      </c>
    </row>
    <row r="48" spans="1:15" ht="15.75" x14ac:dyDescent="0.25">
      <c r="E48" s="25"/>
      <c r="F48" s="25"/>
      <c r="I48" s="496" t="s">
        <v>676</v>
      </c>
      <c r="J48" s="450">
        <v>4679.3999999999996</v>
      </c>
      <c r="K48" s="234"/>
      <c r="L48" s="331" t="s">
        <v>674</v>
      </c>
      <c r="M48" s="522">
        <v>53209</v>
      </c>
      <c r="N48" s="523">
        <v>42247</v>
      </c>
      <c r="O48" s="21">
        <v>42237</v>
      </c>
    </row>
    <row r="49" spans="1:15" ht="15.75" x14ac:dyDescent="0.25">
      <c r="A49" s="25"/>
      <c r="C49" s="25"/>
      <c r="E49" s="25"/>
      <c r="F49" s="25"/>
      <c r="I49" s="496" t="s">
        <v>677</v>
      </c>
      <c r="J49" s="450">
        <v>94413.92</v>
      </c>
      <c r="K49" s="234"/>
      <c r="L49" s="331" t="s">
        <v>674</v>
      </c>
      <c r="M49" s="522">
        <v>24718</v>
      </c>
      <c r="N49" s="523">
        <v>42241</v>
      </c>
      <c r="O49" s="21">
        <v>42238</v>
      </c>
    </row>
    <row r="50" spans="1:15" ht="15.75" x14ac:dyDescent="0.25">
      <c r="A50" s="25"/>
      <c r="C50" s="25"/>
      <c r="E50" s="25"/>
      <c r="F50" s="25"/>
      <c r="I50" s="496" t="s">
        <v>678</v>
      </c>
      <c r="J50" s="450">
        <v>31110</v>
      </c>
      <c r="K50" s="234"/>
      <c r="L50" s="331" t="s">
        <v>674</v>
      </c>
      <c r="M50" s="521">
        <v>43000</v>
      </c>
      <c r="N50" s="525">
        <v>42247</v>
      </c>
      <c r="O50" s="21">
        <v>42238</v>
      </c>
    </row>
    <row r="51" spans="1:15" ht="15.75" x14ac:dyDescent="0.25">
      <c r="A51" s="25"/>
      <c r="C51" s="25"/>
      <c r="E51" s="25"/>
      <c r="F51" s="25"/>
      <c r="I51" s="496" t="s">
        <v>679</v>
      </c>
      <c r="J51" s="81">
        <v>60702.01</v>
      </c>
      <c r="K51" s="234" t="s">
        <v>236</v>
      </c>
      <c r="L51" s="331" t="s">
        <v>674</v>
      </c>
      <c r="M51" s="521">
        <v>54830</v>
      </c>
      <c r="N51" s="525">
        <v>42241</v>
      </c>
      <c r="O51" s="21">
        <v>42239</v>
      </c>
    </row>
    <row r="52" spans="1:15" x14ac:dyDescent="0.25">
      <c r="A52" s="25"/>
      <c r="C52" s="25"/>
      <c r="E52" s="25"/>
      <c r="F52" s="25"/>
      <c r="I52" s="230"/>
      <c r="J52" s="230"/>
      <c r="K52" s="230"/>
      <c r="L52" s="230"/>
      <c r="M52" s="232">
        <v>0</v>
      </c>
      <c r="N52" s="230"/>
    </row>
    <row r="53" spans="1:15" ht="15.75" x14ac:dyDescent="0.25">
      <c r="A53" s="25"/>
      <c r="C53" s="25"/>
      <c r="E53" s="25"/>
      <c r="F53" s="25"/>
      <c r="J53" s="419">
        <f>SUM(J47:J51)</f>
        <v>212984.5</v>
      </c>
      <c r="K53" s="208"/>
      <c r="L53" s="206"/>
      <c r="M53" s="419">
        <f>SUM(M47:M52)</f>
        <v>212984.5</v>
      </c>
    </row>
    <row r="54" spans="1:15" x14ac:dyDescent="0.25">
      <c r="A54" s="25"/>
      <c r="C54" s="25"/>
      <c r="E54" s="25"/>
      <c r="F54" s="25"/>
    </row>
    <row r="55" spans="1:15" x14ac:dyDescent="0.25">
      <c r="A55" s="25"/>
    </row>
    <row r="56" spans="1:15" x14ac:dyDescent="0.25">
      <c r="A56" s="25"/>
    </row>
    <row r="57" spans="1:15" x14ac:dyDescent="0.25">
      <c r="A57" s="25"/>
    </row>
    <row r="58" spans="1:15" x14ac:dyDescent="0.25">
      <c r="A58" s="25"/>
    </row>
    <row r="59" spans="1:15" x14ac:dyDescent="0.25">
      <c r="A59" s="25"/>
    </row>
    <row r="60" spans="1:15" x14ac:dyDescent="0.25">
      <c r="A60" s="25"/>
    </row>
    <row r="61" spans="1:15" x14ac:dyDescent="0.25">
      <c r="A61" s="25"/>
      <c r="C61" s="25"/>
      <c r="E61" s="25"/>
      <c r="F61" s="25"/>
    </row>
    <row r="62" spans="1:15" x14ac:dyDescent="0.25">
      <c r="A62" s="25"/>
      <c r="C62" s="25"/>
      <c r="E62" s="25"/>
      <c r="F62" s="25"/>
    </row>
    <row r="63" spans="1:15" x14ac:dyDescent="0.25">
      <c r="A63" s="25"/>
      <c r="C63" s="25"/>
      <c r="E63" s="25"/>
      <c r="F63" s="25"/>
      <c r="H63" s="59">
        <v>108127.79</v>
      </c>
    </row>
    <row r="64" spans="1:15" x14ac:dyDescent="0.25">
      <c r="A64" s="25"/>
      <c r="C64" s="25"/>
      <c r="E64" s="25"/>
      <c r="F64" s="25"/>
    </row>
    <row r="65" spans="1:6" customFormat="1" x14ac:dyDescent="0.25">
      <c r="A65" s="25"/>
      <c r="B65" s="25"/>
      <c r="C65" s="25"/>
      <c r="D65" s="25"/>
      <c r="E65" s="25"/>
      <c r="F65" s="25"/>
    </row>
    <row r="66" spans="1:6" customFormat="1" x14ac:dyDescent="0.25">
      <c r="A66" s="25"/>
      <c r="B66" s="25"/>
      <c r="C66" s="25"/>
      <c r="D66" s="25"/>
      <c r="E66" s="25"/>
      <c r="F66" s="25"/>
    </row>
  </sheetData>
  <sortState ref="A29:F32">
    <sortCondition ref="B29:B32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N47"/>
  <sheetViews>
    <sheetView topLeftCell="A25" workbookViewId="0">
      <selection activeCell="B44" sqref="B44"/>
    </sheetView>
  </sheetViews>
  <sheetFormatPr baseColWidth="10" defaultRowHeight="15" x14ac:dyDescent="0.25"/>
  <cols>
    <col min="1" max="1" width="6.42578125" customWidth="1"/>
    <col min="2" max="2" width="12.42578125" style="38" customWidth="1"/>
    <col min="3" max="3" width="16.42578125" style="44" customWidth="1"/>
    <col min="4" max="4" width="9" customWidth="1"/>
    <col min="6" max="6" width="17.85546875" style="44" customWidth="1"/>
    <col min="7" max="7" width="4.85546875" customWidth="1"/>
    <col min="9" max="9" width="13.7109375" style="44" customWidth="1"/>
    <col min="10" max="10" width="9" style="44" customWidth="1"/>
    <col min="12" max="12" width="17.85546875" bestFit="1" customWidth="1"/>
    <col min="13" max="13" width="17.140625" customWidth="1"/>
  </cols>
  <sheetData>
    <row r="1" spans="1:14" ht="23.25" x14ac:dyDescent="0.35">
      <c r="C1" s="780" t="s">
        <v>60</v>
      </c>
      <c r="D1" s="780"/>
      <c r="E1" s="780"/>
      <c r="F1" s="780"/>
      <c r="G1" s="780"/>
      <c r="H1" s="780"/>
      <c r="I1" s="780"/>
      <c r="J1" s="780"/>
      <c r="K1" s="780"/>
    </row>
    <row r="2" spans="1:14" ht="15.75" thickBot="1" x14ac:dyDescent="0.3">
      <c r="E2" s="85"/>
      <c r="F2" s="51"/>
    </row>
    <row r="3" spans="1:14" ht="15.75" thickBot="1" x14ac:dyDescent="0.3">
      <c r="C3" s="45" t="s">
        <v>0</v>
      </c>
      <c r="D3" s="3"/>
    </row>
    <row r="4" spans="1:14" ht="20.25" thickTop="1" thickBot="1" x14ac:dyDescent="0.35">
      <c r="A4" s="14" t="s">
        <v>2</v>
      </c>
      <c r="B4" s="39"/>
      <c r="C4" s="67">
        <v>67799.12</v>
      </c>
      <c r="D4" s="2"/>
      <c r="E4" s="797" t="s">
        <v>19</v>
      </c>
      <c r="F4" s="798"/>
      <c r="I4" s="783" t="s">
        <v>4</v>
      </c>
      <c r="J4" s="784"/>
      <c r="K4" s="784"/>
      <c r="L4" s="784"/>
      <c r="M4" s="69" t="s">
        <v>24</v>
      </c>
    </row>
    <row r="5" spans="1:14" ht="15.75" thickTop="1" x14ac:dyDescent="0.25">
      <c r="A5" s="21"/>
      <c r="B5" s="40">
        <v>41944</v>
      </c>
      <c r="C5" s="46">
        <v>484</v>
      </c>
      <c r="D5" s="24" t="s">
        <v>22</v>
      </c>
      <c r="E5" s="28">
        <v>41944</v>
      </c>
      <c r="F5" s="52">
        <v>31372</v>
      </c>
      <c r="G5" s="25"/>
      <c r="H5" s="26">
        <v>41944</v>
      </c>
      <c r="I5" s="61">
        <v>0</v>
      </c>
      <c r="J5" s="89"/>
      <c r="K5" s="35"/>
      <c r="L5" s="16"/>
    </row>
    <row r="6" spans="1:14" x14ac:dyDescent="0.25">
      <c r="A6" s="21"/>
      <c r="B6" s="40">
        <v>41945</v>
      </c>
      <c r="C6" s="46">
        <v>34978.699999999997</v>
      </c>
      <c r="D6" s="30" t="s">
        <v>23</v>
      </c>
      <c r="E6" s="28">
        <v>41945</v>
      </c>
      <c r="F6" s="52">
        <v>21274.5</v>
      </c>
      <c r="G6" s="20"/>
      <c r="H6" s="29">
        <v>41945</v>
      </c>
      <c r="I6" s="62">
        <v>500</v>
      </c>
      <c r="J6" s="90"/>
      <c r="K6" s="13" t="s">
        <v>5</v>
      </c>
      <c r="L6" s="7">
        <v>1386</v>
      </c>
    </row>
    <row r="7" spans="1:14" x14ac:dyDescent="0.25">
      <c r="A7" s="21"/>
      <c r="B7" s="40">
        <v>41946</v>
      </c>
      <c r="C7" s="46">
        <v>1218</v>
      </c>
      <c r="D7" s="33" t="s">
        <v>22</v>
      </c>
      <c r="E7" s="28">
        <v>41946</v>
      </c>
      <c r="F7" s="52">
        <v>27118.5</v>
      </c>
      <c r="G7" s="25"/>
      <c r="H7" s="29">
        <v>41946</v>
      </c>
      <c r="I7" s="62">
        <v>0</v>
      </c>
      <c r="J7" s="90"/>
      <c r="K7" s="13" t="s">
        <v>3</v>
      </c>
      <c r="L7" s="68">
        <v>0</v>
      </c>
    </row>
    <row r="8" spans="1:14" x14ac:dyDescent="0.25">
      <c r="A8" s="21"/>
      <c r="B8" s="40">
        <v>41947</v>
      </c>
      <c r="C8" s="46">
        <v>560</v>
      </c>
      <c r="D8" s="24" t="s">
        <v>22</v>
      </c>
      <c r="E8" s="28">
        <v>41947</v>
      </c>
      <c r="F8" s="52">
        <v>20357</v>
      </c>
      <c r="G8" s="25"/>
      <c r="H8" s="29">
        <v>41947</v>
      </c>
      <c r="I8" s="62">
        <v>500</v>
      </c>
      <c r="J8" s="90"/>
      <c r="K8" s="13" t="s">
        <v>6</v>
      </c>
      <c r="L8" s="7">
        <v>28750</v>
      </c>
    </row>
    <row r="9" spans="1:14" x14ac:dyDescent="0.25">
      <c r="A9" s="21"/>
      <c r="B9" s="40">
        <v>41948</v>
      </c>
      <c r="C9" s="46">
        <v>0</v>
      </c>
      <c r="D9" s="24"/>
      <c r="E9" s="28">
        <v>41948</v>
      </c>
      <c r="F9" s="52">
        <v>26958.5</v>
      </c>
      <c r="G9" s="25"/>
      <c r="H9" s="29">
        <v>41948</v>
      </c>
      <c r="I9" s="62">
        <v>0</v>
      </c>
      <c r="J9" s="90"/>
      <c r="K9" s="13" t="s">
        <v>7</v>
      </c>
      <c r="L9" s="68">
        <v>7950</v>
      </c>
    </row>
    <row r="10" spans="1:14" x14ac:dyDescent="0.25">
      <c r="A10" s="21"/>
      <c r="B10" s="40">
        <v>41949</v>
      </c>
      <c r="C10" s="46">
        <v>43195.7</v>
      </c>
      <c r="D10" s="33" t="s">
        <v>23</v>
      </c>
      <c r="E10" s="28">
        <v>41949</v>
      </c>
      <c r="F10" s="52">
        <v>23969</v>
      </c>
      <c r="G10" s="25"/>
      <c r="H10" s="29">
        <v>41949</v>
      </c>
      <c r="I10" s="62">
        <v>1220</v>
      </c>
      <c r="J10" s="90" t="s">
        <v>117</v>
      </c>
      <c r="K10" s="13" t="s">
        <v>8</v>
      </c>
      <c r="L10" s="68">
        <v>7950</v>
      </c>
    </row>
    <row r="11" spans="1:14" x14ac:dyDescent="0.25">
      <c r="A11" s="21"/>
      <c r="B11" s="40">
        <v>41950</v>
      </c>
      <c r="C11" s="46">
        <v>52045.5</v>
      </c>
      <c r="D11" s="33" t="s">
        <v>23</v>
      </c>
      <c r="E11" s="28">
        <v>41950</v>
      </c>
      <c r="F11" s="52">
        <v>53699.5</v>
      </c>
      <c r="G11" s="25"/>
      <c r="H11" s="29">
        <v>41950</v>
      </c>
      <c r="I11" s="62">
        <v>0</v>
      </c>
      <c r="J11" s="90"/>
      <c r="K11" s="13" t="s">
        <v>9</v>
      </c>
      <c r="L11" s="68">
        <v>7950</v>
      </c>
    </row>
    <row r="12" spans="1:14" x14ac:dyDescent="0.25">
      <c r="A12" s="21"/>
      <c r="B12" s="40">
        <v>41951</v>
      </c>
      <c r="C12" s="46">
        <v>3695</v>
      </c>
      <c r="D12" s="33" t="s">
        <v>23</v>
      </c>
      <c r="E12" s="28">
        <v>41951</v>
      </c>
      <c r="F12" s="52">
        <v>45270</v>
      </c>
      <c r="G12" s="25"/>
      <c r="H12" s="29">
        <v>41951</v>
      </c>
      <c r="I12" s="62">
        <v>1830</v>
      </c>
      <c r="J12" s="90" t="s">
        <v>118</v>
      </c>
      <c r="K12" s="13" t="s">
        <v>14</v>
      </c>
      <c r="L12" s="68">
        <v>9084</v>
      </c>
    </row>
    <row r="13" spans="1:14" x14ac:dyDescent="0.25">
      <c r="A13" s="21"/>
      <c r="B13" s="40">
        <v>41952</v>
      </c>
      <c r="C13" s="46">
        <v>17587.5</v>
      </c>
      <c r="D13" s="33" t="s">
        <v>23</v>
      </c>
      <c r="E13" s="28">
        <v>41952</v>
      </c>
      <c r="F13" s="52">
        <v>29758.5</v>
      </c>
      <c r="G13" s="25"/>
      <c r="H13" s="29">
        <v>41952</v>
      </c>
      <c r="I13" s="62">
        <v>0</v>
      </c>
      <c r="J13" s="90"/>
      <c r="K13" s="13" t="s">
        <v>10</v>
      </c>
      <c r="L13" s="68">
        <v>8000</v>
      </c>
      <c r="M13" s="72"/>
    </row>
    <row r="14" spans="1:14" x14ac:dyDescent="0.25">
      <c r="A14" s="21"/>
      <c r="B14" s="40">
        <v>41953</v>
      </c>
      <c r="C14" s="46">
        <v>0</v>
      </c>
      <c r="D14" s="33"/>
      <c r="E14" s="28">
        <v>41953</v>
      </c>
      <c r="F14" s="52">
        <v>24902</v>
      </c>
      <c r="G14" s="25"/>
      <c r="H14" s="29">
        <v>41953</v>
      </c>
      <c r="I14" s="62">
        <v>490</v>
      </c>
      <c r="J14" s="90"/>
      <c r="K14" s="36" t="s">
        <v>20</v>
      </c>
      <c r="L14" s="68">
        <v>0</v>
      </c>
      <c r="M14" s="72"/>
    </row>
    <row r="15" spans="1:14" x14ac:dyDescent="0.25">
      <c r="A15" s="21"/>
      <c r="B15" s="40">
        <v>41954</v>
      </c>
      <c r="C15" s="46">
        <v>0</v>
      </c>
      <c r="D15" s="30"/>
      <c r="E15" s="28">
        <v>41954</v>
      </c>
      <c r="F15" s="52">
        <v>24713</v>
      </c>
      <c r="G15" s="25"/>
      <c r="H15" s="29">
        <v>41954</v>
      </c>
      <c r="I15" s="62">
        <v>0</v>
      </c>
      <c r="J15" s="90"/>
      <c r="K15" s="73" t="s">
        <v>57</v>
      </c>
      <c r="L15" s="68">
        <v>0</v>
      </c>
      <c r="M15" s="72" t="s">
        <v>64</v>
      </c>
    </row>
    <row r="16" spans="1:14" x14ac:dyDescent="0.25">
      <c r="A16" s="21"/>
      <c r="B16" s="40">
        <v>41955</v>
      </c>
      <c r="C16" s="46">
        <v>1021</v>
      </c>
      <c r="D16" s="33" t="s">
        <v>22</v>
      </c>
      <c r="E16" s="28">
        <v>41955</v>
      </c>
      <c r="F16" s="52">
        <v>26639</v>
      </c>
      <c r="G16" s="25"/>
      <c r="H16" s="29">
        <v>41955</v>
      </c>
      <c r="I16" s="62">
        <v>468</v>
      </c>
      <c r="J16" s="90"/>
      <c r="K16" s="73" t="s">
        <v>61</v>
      </c>
      <c r="L16" s="76">
        <v>2322</v>
      </c>
      <c r="M16" s="71" t="s">
        <v>65</v>
      </c>
      <c r="N16" s="20"/>
    </row>
    <row r="17" spans="1:14" x14ac:dyDescent="0.25">
      <c r="A17" s="21"/>
      <c r="B17" s="40">
        <v>41956</v>
      </c>
      <c r="C17" s="46">
        <v>47790</v>
      </c>
      <c r="D17" s="24" t="s">
        <v>23</v>
      </c>
      <c r="E17" s="28">
        <v>41956</v>
      </c>
      <c r="F17" s="52">
        <v>25476.5</v>
      </c>
      <c r="G17" s="25"/>
      <c r="H17" s="29">
        <v>41956</v>
      </c>
      <c r="I17" s="62">
        <v>186</v>
      </c>
      <c r="J17" s="90"/>
      <c r="K17" s="13"/>
      <c r="L17" s="22"/>
      <c r="M17" s="71" t="s">
        <v>66</v>
      </c>
      <c r="N17" s="20"/>
    </row>
    <row r="18" spans="1:14" x14ac:dyDescent="0.25">
      <c r="A18" s="21"/>
      <c r="B18" s="40">
        <v>41957</v>
      </c>
      <c r="C18" s="46">
        <v>1068</v>
      </c>
      <c r="D18" s="24" t="s">
        <v>22</v>
      </c>
      <c r="E18" s="28">
        <v>41957</v>
      </c>
      <c r="F18" s="52">
        <v>39894</v>
      </c>
      <c r="G18" s="25"/>
      <c r="H18" s="29">
        <v>41957</v>
      </c>
      <c r="I18" s="62">
        <v>0</v>
      </c>
      <c r="J18" s="90"/>
      <c r="K18" s="13"/>
      <c r="L18" s="23"/>
      <c r="M18" s="71" t="s">
        <v>67</v>
      </c>
      <c r="N18" s="20"/>
    </row>
    <row r="19" spans="1:14" x14ac:dyDescent="0.25">
      <c r="A19" s="21"/>
      <c r="B19" s="40">
        <v>41958</v>
      </c>
      <c r="C19" s="46">
        <v>45372.6</v>
      </c>
      <c r="D19" s="70" t="s">
        <v>23</v>
      </c>
      <c r="E19" s="28">
        <v>41958</v>
      </c>
      <c r="F19" s="52">
        <v>63771.5</v>
      </c>
      <c r="G19" s="25"/>
      <c r="H19" s="29">
        <v>41958</v>
      </c>
      <c r="I19" s="62">
        <v>80</v>
      </c>
      <c r="J19" s="90"/>
      <c r="K19" s="13"/>
      <c r="L19" s="23"/>
      <c r="M19" s="71" t="s">
        <v>68</v>
      </c>
      <c r="N19" s="20"/>
    </row>
    <row r="20" spans="1:14" x14ac:dyDescent="0.25">
      <c r="A20" s="21"/>
      <c r="B20" s="40">
        <v>41959</v>
      </c>
      <c r="C20" s="46">
        <v>0</v>
      </c>
      <c r="D20" s="24"/>
      <c r="E20" s="28">
        <v>41959</v>
      </c>
      <c r="F20" s="52">
        <v>50350</v>
      </c>
      <c r="G20" s="25"/>
      <c r="H20" s="29">
        <v>41959</v>
      </c>
      <c r="I20" s="63">
        <v>0</v>
      </c>
      <c r="J20" s="90"/>
      <c r="K20" s="37"/>
      <c r="L20" s="7"/>
      <c r="M20" s="71" t="s">
        <v>69</v>
      </c>
    </row>
    <row r="21" spans="1:14" x14ac:dyDescent="0.25">
      <c r="A21" s="21"/>
      <c r="B21" s="40">
        <v>41960</v>
      </c>
      <c r="C21" s="46">
        <v>1142</v>
      </c>
      <c r="D21" s="24" t="s">
        <v>22</v>
      </c>
      <c r="E21" s="28">
        <v>41960</v>
      </c>
      <c r="F21" s="52">
        <v>39900.5</v>
      </c>
      <c r="G21" s="25"/>
      <c r="H21" s="29">
        <v>41960</v>
      </c>
      <c r="I21" s="63">
        <v>0</v>
      </c>
      <c r="J21" s="90"/>
      <c r="K21" s="37"/>
      <c r="L21" s="7"/>
      <c r="M21" s="71" t="s">
        <v>70</v>
      </c>
    </row>
    <row r="22" spans="1:14" x14ac:dyDescent="0.25">
      <c r="A22" s="21"/>
      <c r="B22" s="40">
        <v>41961</v>
      </c>
      <c r="C22" s="46">
        <v>0</v>
      </c>
      <c r="D22" s="24"/>
      <c r="E22" s="28">
        <v>41961</v>
      </c>
      <c r="F22" s="52">
        <v>28411.5</v>
      </c>
      <c r="G22" s="25"/>
      <c r="H22" s="29">
        <v>41961</v>
      </c>
      <c r="I22" s="63">
        <v>350</v>
      </c>
      <c r="J22" s="90"/>
      <c r="K22" s="13" t="s">
        <v>17</v>
      </c>
      <c r="L22" s="7"/>
      <c r="M22" s="71" t="s">
        <v>71</v>
      </c>
    </row>
    <row r="23" spans="1:14" x14ac:dyDescent="0.25">
      <c r="A23" s="21"/>
      <c r="B23" s="40">
        <v>41962</v>
      </c>
      <c r="C23" s="46">
        <v>0</v>
      </c>
      <c r="D23" s="24"/>
      <c r="E23" s="28">
        <v>41962</v>
      </c>
      <c r="F23" s="52">
        <v>17607</v>
      </c>
      <c r="G23" s="25"/>
      <c r="H23" s="29">
        <v>41962</v>
      </c>
      <c r="I23" s="63"/>
      <c r="J23" s="90"/>
      <c r="K23" s="13"/>
      <c r="L23" s="7"/>
      <c r="M23" s="71" t="s">
        <v>72</v>
      </c>
    </row>
    <row r="24" spans="1:14" x14ac:dyDescent="0.25">
      <c r="A24" s="21"/>
      <c r="B24" s="40">
        <v>41963</v>
      </c>
      <c r="C24" s="46">
        <v>0</v>
      </c>
      <c r="D24" s="24"/>
      <c r="E24" s="28">
        <v>41963</v>
      </c>
      <c r="F24" s="52">
        <v>42794</v>
      </c>
      <c r="G24" s="25"/>
      <c r="H24" s="29">
        <v>41963</v>
      </c>
      <c r="I24" s="63">
        <v>800</v>
      </c>
      <c r="J24" s="90" t="s">
        <v>119</v>
      </c>
      <c r="K24" s="13"/>
      <c r="L24" s="7"/>
      <c r="M24" s="71" t="s">
        <v>73</v>
      </c>
    </row>
    <row r="25" spans="1:14" x14ac:dyDescent="0.25">
      <c r="A25" s="21"/>
      <c r="B25" s="40">
        <v>41964</v>
      </c>
      <c r="C25" s="46">
        <v>70459.8</v>
      </c>
      <c r="D25" s="24" t="s">
        <v>23</v>
      </c>
      <c r="E25" s="28">
        <v>41964</v>
      </c>
      <c r="F25" s="52">
        <v>42794</v>
      </c>
      <c r="G25" s="25"/>
      <c r="H25" s="29">
        <v>41964</v>
      </c>
      <c r="I25" s="63">
        <v>0</v>
      </c>
      <c r="J25" s="90"/>
      <c r="K25" s="13"/>
      <c r="L25" s="7"/>
      <c r="M25" s="71" t="s">
        <v>74</v>
      </c>
    </row>
    <row r="26" spans="1:14" x14ac:dyDescent="0.25">
      <c r="A26" s="21"/>
      <c r="B26" s="40">
        <v>41965</v>
      </c>
      <c r="C26" s="46">
        <v>1088</v>
      </c>
      <c r="D26" s="24" t="s">
        <v>22</v>
      </c>
      <c r="E26" s="28">
        <v>41965</v>
      </c>
      <c r="F26" s="52">
        <v>54071.5</v>
      </c>
      <c r="G26" s="25"/>
      <c r="H26" s="29">
        <v>41965</v>
      </c>
      <c r="I26" s="63">
        <v>566.46</v>
      </c>
      <c r="J26" s="90"/>
      <c r="K26" s="13"/>
      <c r="L26" s="7"/>
      <c r="M26" s="71" t="s">
        <v>75</v>
      </c>
    </row>
    <row r="27" spans="1:14" x14ac:dyDescent="0.25">
      <c r="A27" s="21"/>
      <c r="B27" s="40">
        <v>41966</v>
      </c>
      <c r="C27" s="46"/>
      <c r="D27" s="24"/>
      <c r="E27" s="28">
        <v>41966</v>
      </c>
      <c r="F27" s="52">
        <v>36575.5</v>
      </c>
      <c r="G27" s="25"/>
      <c r="H27" s="29">
        <v>41966</v>
      </c>
      <c r="I27" s="63"/>
      <c r="J27" s="90"/>
      <c r="K27" s="13"/>
      <c r="L27" s="7"/>
      <c r="M27" s="71" t="s">
        <v>76</v>
      </c>
    </row>
    <row r="28" spans="1:14" x14ac:dyDescent="0.25">
      <c r="A28" s="21"/>
      <c r="B28" s="40">
        <v>41967</v>
      </c>
      <c r="C28" s="46">
        <v>0</v>
      </c>
      <c r="D28" s="24"/>
      <c r="E28" s="28">
        <v>41967</v>
      </c>
      <c r="F28" s="52">
        <v>30040</v>
      </c>
      <c r="G28" s="25"/>
      <c r="H28" s="29">
        <v>41967</v>
      </c>
      <c r="I28" s="63">
        <v>487.58</v>
      </c>
      <c r="J28" s="90" t="s">
        <v>118</v>
      </c>
      <c r="K28" s="13"/>
      <c r="L28" s="7"/>
      <c r="M28" s="71" t="s">
        <v>77</v>
      </c>
    </row>
    <row r="29" spans="1:14" x14ac:dyDescent="0.25">
      <c r="A29" s="21"/>
      <c r="B29" s="40">
        <v>41968</v>
      </c>
      <c r="C29" s="46">
        <v>0</v>
      </c>
      <c r="D29" s="24"/>
      <c r="E29" s="28">
        <v>41968</v>
      </c>
      <c r="F29" s="52">
        <v>42653.5</v>
      </c>
      <c r="G29" s="25"/>
      <c r="H29" s="29">
        <v>41968</v>
      </c>
      <c r="I29" s="63">
        <v>0</v>
      </c>
      <c r="J29" s="90"/>
      <c r="K29" s="13"/>
      <c r="L29" s="7"/>
      <c r="M29" s="71" t="s">
        <v>78</v>
      </c>
    </row>
    <row r="30" spans="1:14" x14ac:dyDescent="0.25">
      <c r="A30" s="21"/>
      <c r="B30" s="40">
        <v>41969</v>
      </c>
      <c r="C30" s="46">
        <v>52369</v>
      </c>
      <c r="D30" s="24" t="s">
        <v>23</v>
      </c>
      <c r="E30" s="28">
        <v>41969</v>
      </c>
      <c r="F30" s="52">
        <v>32806.5</v>
      </c>
      <c r="G30" s="25"/>
      <c r="H30" s="29">
        <v>41969</v>
      </c>
      <c r="I30" s="63">
        <v>0</v>
      </c>
      <c r="J30" s="90"/>
      <c r="K30" s="13"/>
      <c r="L30" s="7"/>
      <c r="M30" s="71" t="s">
        <v>79</v>
      </c>
    </row>
    <row r="31" spans="1:14" x14ac:dyDescent="0.25">
      <c r="A31" s="21"/>
      <c r="B31" s="40">
        <v>41970</v>
      </c>
      <c r="C31" s="46">
        <v>16016.5</v>
      </c>
      <c r="D31" s="24" t="s">
        <v>23</v>
      </c>
      <c r="E31" s="28">
        <v>41970</v>
      </c>
      <c r="F31" s="52">
        <v>60627</v>
      </c>
      <c r="G31" s="25"/>
      <c r="H31" s="29">
        <v>41970</v>
      </c>
      <c r="I31" s="63">
        <v>0</v>
      </c>
      <c r="J31" s="90"/>
      <c r="K31" s="13"/>
      <c r="L31" s="7"/>
      <c r="M31" s="71" t="s">
        <v>80</v>
      </c>
    </row>
    <row r="32" spans="1:14" x14ac:dyDescent="0.25">
      <c r="A32" s="21"/>
      <c r="B32" s="40">
        <v>41971</v>
      </c>
      <c r="C32" s="46">
        <v>3415.5</v>
      </c>
      <c r="D32" s="24" t="s">
        <v>23</v>
      </c>
      <c r="E32" s="28">
        <v>41971</v>
      </c>
      <c r="F32" s="52">
        <v>79211</v>
      </c>
      <c r="G32" s="25"/>
      <c r="H32" s="29">
        <v>41971</v>
      </c>
      <c r="I32" s="63">
        <v>500</v>
      </c>
      <c r="J32" s="90"/>
      <c r="K32" s="13"/>
      <c r="L32" s="7"/>
      <c r="M32" s="71" t="s">
        <v>81</v>
      </c>
    </row>
    <row r="33" spans="1:13" x14ac:dyDescent="0.25">
      <c r="A33" s="21"/>
      <c r="B33" s="40">
        <v>41972</v>
      </c>
      <c r="C33" s="46">
        <v>0</v>
      </c>
      <c r="D33" s="24"/>
      <c r="E33" s="28">
        <v>41972</v>
      </c>
      <c r="F33" s="52">
        <v>90723</v>
      </c>
      <c r="G33" s="25"/>
      <c r="H33" s="29">
        <v>41972</v>
      </c>
      <c r="I33" s="63">
        <v>0</v>
      </c>
      <c r="J33" s="90"/>
      <c r="K33" s="13"/>
      <c r="L33" s="7"/>
      <c r="M33" s="71" t="s">
        <v>62</v>
      </c>
    </row>
    <row r="34" spans="1:13" x14ac:dyDescent="0.25">
      <c r="A34" s="21"/>
      <c r="B34" s="40">
        <v>41973</v>
      </c>
      <c r="C34" s="46">
        <v>0</v>
      </c>
      <c r="D34" s="30"/>
      <c r="E34" s="28">
        <v>41973</v>
      </c>
      <c r="F34" s="52">
        <v>266661</v>
      </c>
      <c r="G34" s="25"/>
      <c r="H34" s="29">
        <v>41973</v>
      </c>
      <c r="I34" s="63">
        <v>0</v>
      </c>
      <c r="J34" s="90"/>
      <c r="K34" s="13"/>
      <c r="L34" s="7"/>
      <c r="M34" s="71" t="s">
        <v>63</v>
      </c>
    </row>
    <row r="35" spans="1:13" ht="15.75" thickBot="1" x14ac:dyDescent="0.3">
      <c r="A35" s="21"/>
      <c r="B35" s="40"/>
      <c r="C35" s="46"/>
      <c r="D35" s="24"/>
      <c r="E35" s="28"/>
      <c r="F35" s="52"/>
      <c r="G35" s="25"/>
      <c r="H35" s="29"/>
      <c r="I35" s="63"/>
      <c r="J35" s="90"/>
      <c r="K35" s="13"/>
      <c r="L35" s="7"/>
      <c r="M35" s="71"/>
    </row>
    <row r="36" spans="1:13" ht="15.75" thickBot="1" x14ac:dyDescent="0.3">
      <c r="A36" s="15"/>
      <c r="B36" s="41"/>
      <c r="C36" s="47"/>
      <c r="D36" s="2"/>
      <c r="E36" s="8"/>
      <c r="F36" s="53">
        <v>0</v>
      </c>
      <c r="H36" s="31"/>
      <c r="I36" s="64"/>
      <c r="J36" s="91"/>
      <c r="K36" s="13"/>
      <c r="L36" s="7"/>
      <c r="M36" s="72"/>
    </row>
    <row r="37" spans="1:13" ht="15.75" thickBot="1" x14ac:dyDescent="0.3">
      <c r="A37" s="99" t="s">
        <v>140</v>
      </c>
      <c r="B37" s="42"/>
      <c r="C37" s="48">
        <v>924831.28</v>
      </c>
      <c r="D37" s="2"/>
      <c r="E37" s="9"/>
      <c r="F37" s="54">
        <v>0</v>
      </c>
      <c r="H37" s="32"/>
      <c r="I37" s="65"/>
      <c r="J37" s="91"/>
      <c r="K37" s="19"/>
      <c r="L37" s="10"/>
      <c r="M37" s="72"/>
    </row>
    <row r="38" spans="1:13" x14ac:dyDescent="0.25">
      <c r="B38" s="43" t="s">
        <v>1</v>
      </c>
      <c r="C38" s="49">
        <f>SUM(C5:C37)</f>
        <v>1318338.08</v>
      </c>
      <c r="E38" s="83" t="s">
        <v>1</v>
      </c>
      <c r="F38" s="55">
        <f>SUM(F5:F37)</f>
        <v>1400399.5</v>
      </c>
      <c r="H38" s="85" t="s">
        <v>1</v>
      </c>
      <c r="I38" s="59">
        <f>SUM(I5:I37)</f>
        <v>7978.04</v>
      </c>
      <c r="J38" s="59"/>
      <c r="K38" s="18" t="s">
        <v>1</v>
      </c>
      <c r="L38" s="4">
        <f>SUM(L5:L37)</f>
        <v>73392</v>
      </c>
      <c r="M38" s="72"/>
    </row>
    <row r="39" spans="1:13" x14ac:dyDescent="0.25">
      <c r="M39" s="72"/>
    </row>
    <row r="40" spans="1:13" ht="15.75" x14ac:dyDescent="0.25">
      <c r="A40" s="5"/>
      <c r="C40" s="50">
        <v>0</v>
      </c>
      <c r="D40" s="13"/>
      <c r="E40" s="13"/>
      <c r="F40" s="56"/>
      <c r="H40" s="785" t="s">
        <v>11</v>
      </c>
      <c r="I40" s="786"/>
      <c r="J40" s="84"/>
      <c r="K40" s="787">
        <f>I38+L38</f>
        <v>81370.039999999994</v>
      </c>
      <c r="L40" s="788"/>
      <c r="M40" s="72"/>
    </row>
    <row r="41" spans="1:13" ht="15.75" x14ac:dyDescent="0.25">
      <c r="D41" s="779" t="s">
        <v>12</v>
      </c>
      <c r="E41" s="779"/>
      <c r="F41" s="57">
        <f>F38-K40</f>
        <v>1319029.46</v>
      </c>
      <c r="I41" s="66"/>
      <c r="J41" s="66"/>
      <c r="M41" s="72"/>
    </row>
    <row r="42" spans="1:13" ht="15.75" thickBot="1" x14ac:dyDescent="0.3">
      <c r="D42" s="19"/>
      <c r="E42" s="19" t="s">
        <v>0</v>
      </c>
      <c r="F42" s="58">
        <f>-C38</f>
        <v>-1318338.08</v>
      </c>
    </row>
    <row r="43" spans="1:13" ht="15.75" thickTop="1" x14ac:dyDescent="0.25">
      <c r="C43" s="44" t="s">
        <v>17</v>
      </c>
      <c r="E43" s="5" t="s">
        <v>15</v>
      </c>
      <c r="F43" s="59">
        <f>SUM(F41:F42)</f>
        <v>691.37999999988824</v>
      </c>
      <c r="I43" s="789"/>
      <c r="J43" s="789"/>
      <c r="K43" s="789"/>
      <c r="L43" s="2"/>
    </row>
    <row r="44" spans="1:13" ht="16.5" thickBot="1" x14ac:dyDescent="0.3">
      <c r="D44" s="778" t="s">
        <v>13</v>
      </c>
      <c r="E44" s="778"/>
      <c r="F44" s="60">
        <v>109094</v>
      </c>
      <c r="I44" s="790"/>
      <c r="J44" s="790"/>
      <c r="K44" s="790"/>
      <c r="L44" s="34"/>
    </row>
    <row r="45" spans="1:13" ht="15.75" thickTop="1" x14ac:dyDescent="0.25">
      <c r="E45" s="6" t="s">
        <v>16</v>
      </c>
      <c r="F45" s="49">
        <f>F44+F43</f>
        <v>109785.37999999989</v>
      </c>
      <c r="I45" s="791" t="s">
        <v>18</v>
      </c>
      <c r="J45" s="792"/>
      <c r="K45" s="792"/>
      <c r="L45" s="795">
        <f>F45+L44</f>
        <v>109785.37999999989</v>
      </c>
    </row>
    <row r="46" spans="1:13" ht="15.75" thickBot="1" x14ac:dyDescent="0.3">
      <c r="D46" s="777"/>
      <c r="E46" s="777"/>
      <c r="F46" s="56"/>
      <c r="I46" s="793"/>
      <c r="J46" s="794"/>
      <c r="K46" s="794"/>
      <c r="L46" s="796"/>
    </row>
    <row r="47" spans="1:13" ht="15.75" thickTop="1" x14ac:dyDescent="0.25">
      <c r="B47" s="108" t="s">
        <v>158</v>
      </c>
      <c r="C47" s="109"/>
    </row>
  </sheetData>
  <mergeCells count="12">
    <mergeCell ref="L45:L46"/>
    <mergeCell ref="D41:E41"/>
    <mergeCell ref="E4:F4"/>
    <mergeCell ref="H40:I40"/>
    <mergeCell ref="C1:K1"/>
    <mergeCell ref="I4:L4"/>
    <mergeCell ref="K40:L40"/>
    <mergeCell ref="D44:E44"/>
    <mergeCell ref="D46:E46"/>
    <mergeCell ref="I43:K43"/>
    <mergeCell ref="I44:K44"/>
    <mergeCell ref="I45:K46"/>
  </mergeCells>
  <pageMargins left="0.7" right="0.7" top="0.75" bottom="0.75" header="0.3" footer="0.3"/>
  <pageSetup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57"/>
  <sheetViews>
    <sheetView topLeftCell="A19" workbookViewId="0">
      <selection activeCell="I50" sqref="I50"/>
    </sheetView>
  </sheetViews>
  <sheetFormatPr baseColWidth="10" defaultRowHeight="15" x14ac:dyDescent="0.25"/>
  <cols>
    <col min="1" max="1" width="2.5703125" customWidth="1"/>
    <col min="2" max="2" width="12.42578125" style="38" customWidth="1"/>
    <col min="3" max="3" width="16.42578125" style="44" customWidth="1"/>
    <col min="4" max="4" width="9" style="155" customWidth="1"/>
    <col min="6" max="6" width="17.85546875" style="44" customWidth="1"/>
    <col min="7" max="7" width="2.85546875" customWidth="1"/>
    <col min="9" max="9" width="12.140625" style="44" customWidth="1"/>
    <col min="10" max="10" width="6.42578125" style="44" customWidth="1"/>
    <col min="11" max="11" width="12.28515625" customWidth="1"/>
    <col min="12" max="12" width="11.28515625" customWidth="1"/>
    <col min="13" max="13" width="16.7109375" style="44" customWidth="1"/>
    <col min="14" max="14" width="11.42578125" style="44"/>
  </cols>
  <sheetData>
    <row r="1" spans="1:19" ht="23.25" x14ac:dyDescent="0.35">
      <c r="C1" s="780" t="s">
        <v>688</v>
      </c>
      <c r="D1" s="780"/>
      <c r="E1" s="780"/>
      <c r="F1" s="780"/>
      <c r="G1" s="780"/>
      <c r="H1" s="780"/>
      <c r="I1" s="780"/>
      <c r="J1" s="780"/>
      <c r="K1" s="780"/>
      <c r="L1" s="133" t="s">
        <v>158</v>
      </c>
    </row>
    <row r="2" spans="1:19" ht="15.75" thickBot="1" x14ac:dyDescent="0.3">
      <c r="E2" s="634"/>
      <c r="F2" s="51"/>
    </row>
    <row r="3" spans="1:19" ht="15.75" thickBot="1" x14ac:dyDescent="0.3">
      <c r="C3" s="45" t="s">
        <v>0</v>
      </c>
      <c r="D3" s="3"/>
    </row>
    <row r="4" spans="1:19" ht="20.25" thickTop="1" thickBot="1" x14ac:dyDescent="0.35">
      <c r="A4" s="415" t="s">
        <v>2</v>
      </c>
      <c r="B4" s="414"/>
      <c r="C4" s="97">
        <v>112866.44</v>
      </c>
      <c r="D4" s="156"/>
      <c r="E4" s="797" t="s">
        <v>19</v>
      </c>
      <c r="F4" s="798"/>
      <c r="I4" s="783" t="s">
        <v>4</v>
      </c>
      <c r="J4" s="784"/>
      <c r="K4" s="784"/>
      <c r="L4" s="784"/>
      <c r="M4" s="112" t="s">
        <v>159</v>
      </c>
    </row>
    <row r="5" spans="1:19" ht="15.75" thickTop="1" x14ac:dyDescent="0.25">
      <c r="A5" s="21"/>
      <c r="B5" s="40">
        <v>42248</v>
      </c>
      <c r="C5" s="46">
        <v>0</v>
      </c>
      <c r="D5" s="30"/>
      <c r="E5" s="28">
        <v>42248</v>
      </c>
      <c r="F5" s="52">
        <v>42729</v>
      </c>
      <c r="G5" s="25"/>
      <c r="H5" s="26">
        <v>42248</v>
      </c>
      <c r="I5" s="61">
        <v>400</v>
      </c>
      <c r="J5" s="80"/>
      <c r="K5" s="122"/>
      <c r="L5" s="123"/>
      <c r="M5" s="151">
        <v>42329</v>
      </c>
      <c r="N5" s="336"/>
      <c r="O5" s="25"/>
      <c r="R5" t="s">
        <v>462</v>
      </c>
      <c r="S5">
        <v>1600</v>
      </c>
    </row>
    <row r="6" spans="1:19" x14ac:dyDescent="0.25">
      <c r="A6" s="21"/>
      <c r="B6" s="40">
        <v>42249</v>
      </c>
      <c r="C6" s="46">
        <v>553</v>
      </c>
      <c r="D6" s="70" t="s">
        <v>22</v>
      </c>
      <c r="E6" s="28">
        <v>42249</v>
      </c>
      <c r="F6" s="52">
        <v>27313.9</v>
      </c>
      <c r="G6" s="20"/>
      <c r="H6" s="29">
        <v>42249</v>
      </c>
      <c r="I6" s="62">
        <v>0</v>
      </c>
      <c r="J6" s="81"/>
      <c r="K6" s="73" t="s">
        <v>5</v>
      </c>
      <c r="L6" s="125">
        <v>545</v>
      </c>
      <c r="M6" s="116">
        <v>26761</v>
      </c>
      <c r="N6" s="336"/>
      <c r="O6" s="25"/>
    </row>
    <row r="7" spans="1:19" x14ac:dyDescent="0.25">
      <c r="A7" s="21"/>
      <c r="B7" s="40">
        <v>42250</v>
      </c>
      <c r="C7" s="46">
        <v>10</v>
      </c>
      <c r="D7" s="30" t="s">
        <v>719</v>
      </c>
      <c r="E7" s="28">
        <v>42250</v>
      </c>
      <c r="F7" s="52">
        <v>37353.519999999997</v>
      </c>
      <c r="G7" s="25"/>
      <c r="H7" s="29">
        <v>42250</v>
      </c>
      <c r="I7" s="62">
        <v>462.2</v>
      </c>
      <c r="J7" s="81"/>
      <c r="K7" s="693" t="s">
        <v>751</v>
      </c>
      <c r="L7" s="125">
        <v>14179</v>
      </c>
      <c r="M7" s="116">
        <v>36881</v>
      </c>
      <c r="N7" s="336"/>
      <c r="O7" s="25"/>
      <c r="R7" t="s">
        <v>464</v>
      </c>
      <c r="S7">
        <v>2500</v>
      </c>
    </row>
    <row r="8" spans="1:19" x14ac:dyDescent="0.25">
      <c r="A8" s="21"/>
      <c r="B8" s="40">
        <v>42251</v>
      </c>
      <c r="C8" s="46">
        <v>5820.48</v>
      </c>
      <c r="D8" s="33" t="s">
        <v>720</v>
      </c>
      <c r="E8" s="28">
        <v>42251</v>
      </c>
      <c r="F8" s="52">
        <v>65580.5</v>
      </c>
      <c r="G8" s="25"/>
      <c r="H8" s="29">
        <v>42251</v>
      </c>
      <c r="I8" s="62">
        <v>35</v>
      </c>
      <c r="J8" s="81"/>
      <c r="K8" s="73" t="s">
        <v>6</v>
      </c>
      <c r="L8" s="124">
        <v>28750</v>
      </c>
      <c r="M8" s="700">
        <v>53420</v>
      </c>
      <c r="N8" s="565">
        <v>6305</v>
      </c>
      <c r="O8" s="672"/>
    </row>
    <row r="9" spans="1:19" x14ac:dyDescent="0.25">
      <c r="A9" s="21"/>
      <c r="B9" s="40">
        <v>42252</v>
      </c>
      <c r="C9" s="46">
        <v>187</v>
      </c>
      <c r="D9" s="96" t="s">
        <v>411</v>
      </c>
      <c r="E9" s="28">
        <v>42252</v>
      </c>
      <c r="F9" s="52">
        <v>92382.77</v>
      </c>
      <c r="G9" s="25"/>
      <c r="H9" s="29">
        <v>42252</v>
      </c>
      <c r="I9" s="62">
        <v>130</v>
      </c>
      <c r="J9" s="82"/>
      <c r="K9" s="73" t="s">
        <v>721</v>
      </c>
      <c r="L9" s="125">
        <f>6250+1600+2500</f>
        <v>10350</v>
      </c>
      <c r="M9" s="116">
        <v>92973</v>
      </c>
      <c r="N9" s="336"/>
      <c r="O9" s="25"/>
    </row>
    <row r="10" spans="1:19" x14ac:dyDescent="0.25">
      <c r="A10" s="21"/>
      <c r="B10" s="40">
        <v>42253</v>
      </c>
      <c r="C10" s="46">
        <v>0</v>
      </c>
      <c r="D10" s="96"/>
      <c r="E10" s="28">
        <v>42253</v>
      </c>
      <c r="F10" s="52">
        <v>64814.64</v>
      </c>
      <c r="G10" s="25"/>
      <c r="H10" s="29">
        <v>42253</v>
      </c>
      <c r="I10" s="62">
        <v>0</v>
      </c>
      <c r="J10" s="82"/>
      <c r="K10" s="73" t="s">
        <v>722</v>
      </c>
      <c r="L10" s="52">
        <f>5441.5+1600+2500</f>
        <v>9541.5</v>
      </c>
      <c r="M10" s="116">
        <v>58564.5</v>
      </c>
      <c r="N10" s="336"/>
      <c r="O10" s="25"/>
    </row>
    <row r="11" spans="1:19" x14ac:dyDescent="0.25">
      <c r="A11" s="21"/>
      <c r="B11" s="40">
        <v>42254</v>
      </c>
      <c r="C11" s="46">
        <v>388</v>
      </c>
      <c r="D11" s="96" t="s">
        <v>209</v>
      </c>
      <c r="E11" s="28">
        <v>42254</v>
      </c>
      <c r="F11" s="52">
        <v>24239.05</v>
      </c>
      <c r="G11" s="25"/>
      <c r="H11" s="29">
        <v>42254</v>
      </c>
      <c r="I11" s="62">
        <v>0</v>
      </c>
      <c r="J11" s="82"/>
      <c r="K11" s="73" t="s">
        <v>723</v>
      </c>
      <c r="L11" s="52">
        <f>7248+1600+2500</f>
        <v>11348</v>
      </c>
      <c r="M11" s="116">
        <v>23851</v>
      </c>
      <c r="N11" s="336"/>
      <c r="O11" s="25"/>
    </row>
    <row r="12" spans="1:19" x14ac:dyDescent="0.25">
      <c r="A12" s="21"/>
      <c r="B12" s="40">
        <v>42255</v>
      </c>
      <c r="C12" s="46">
        <v>240</v>
      </c>
      <c r="D12" s="30" t="s">
        <v>411</v>
      </c>
      <c r="E12" s="28">
        <v>42255</v>
      </c>
      <c r="F12" s="52">
        <v>32624.880000000001</v>
      </c>
      <c r="G12" s="25"/>
      <c r="H12" s="29">
        <v>42255</v>
      </c>
      <c r="I12" s="62">
        <v>0</v>
      </c>
      <c r="J12" s="82"/>
      <c r="K12" s="73" t="s">
        <v>724</v>
      </c>
      <c r="L12" s="52">
        <v>5850</v>
      </c>
      <c r="M12" s="116">
        <v>32385</v>
      </c>
      <c r="N12" s="336"/>
      <c r="O12" s="25"/>
    </row>
    <row r="13" spans="1:19" x14ac:dyDescent="0.25">
      <c r="A13" s="21"/>
      <c r="B13" s="40">
        <v>42256</v>
      </c>
      <c r="C13" s="46">
        <v>0</v>
      </c>
      <c r="D13" s="96"/>
      <c r="E13" s="28">
        <v>42256</v>
      </c>
      <c r="F13" s="52">
        <v>28108</v>
      </c>
      <c r="G13" s="25"/>
      <c r="H13" s="29">
        <v>42256</v>
      </c>
      <c r="I13" s="62">
        <v>0</v>
      </c>
      <c r="J13" s="82"/>
      <c r="K13" s="73"/>
      <c r="L13" s="52">
        <v>0</v>
      </c>
      <c r="M13" s="116">
        <v>28108</v>
      </c>
      <c r="N13" s="450"/>
      <c r="O13" s="25"/>
    </row>
    <row r="14" spans="1:19" x14ac:dyDescent="0.25">
      <c r="A14" s="21"/>
      <c r="B14" s="40">
        <v>42257</v>
      </c>
      <c r="C14" s="46">
        <v>770.58</v>
      </c>
      <c r="D14" s="30" t="s">
        <v>366</v>
      </c>
      <c r="E14" s="28">
        <v>42257</v>
      </c>
      <c r="F14" s="52">
        <v>37884.15</v>
      </c>
      <c r="G14" s="25"/>
      <c r="H14" s="29">
        <v>42257</v>
      </c>
      <c r="I14" s="62">
        <v>0</v>
      </c>
      <c r="J14" s="82"/>
      <c r="K14" s="165"/>
      <c r="L14" s="52">
        <v>0</v>
      </c>
      <c r="M14" s="116">
        <v>37113.5</v>
      </c>
      <c r="N14" s="450"/>
      <c r="O14" s="25"/>
    </row>
    <row r="15" spans="1:19" x14ac:dyDescent="0.25">
      <c r="A15" s="21"/>
      <c r="B15" s="40">
        <v>42258</v>
      </c>
      <c r="C15" s="46">
        <v>852</v>
      </c>
      <c r="D15" s="30" t="s">
        <v>726</v>
      </c>
      <c r="E15" s="28">
        <v>42258</v>
      </c>
      <c r="F15" s="52">
        <v>48722.41</v>
      </c>
      <c r="G15" s="25"/>
      <c r="H15" s="29">
        <v>42258</v>
      </c>
      <c r="I15" s="62">
        <v>420</v>
      </c>
      <c r="J15" s="82"/>
      <c r="K15" s="73" t="s">
        <v>57</v>
      </c>
      <c r="L15" s="52">
        <v>0</v>
      </c>
      <c r="M15" s="116">
        <v>46650</v>
      </c>
      <c r="N15" s="336"/>
      <c r="O15" s="25"/>
    </row>
    <row r="16" spans="1:19" x14ac:dyDescent="0.25">
      <c r="A16" s="21"/>
      <c r="B16" s="40">
        <v>42259</v>
      </c>
      <c r="C16" s="46">
        <v>875</v>
      </c>
      <c r="D16" s="96" t="s">
        <v>366</v>
      </c>
      <c r="E16" s="28">
        <v>42259</v>
      </c>
      <c r="F16" s="52">
        <v>57435.69</v>
      </c>
      <c r="G16" s="25"/>
      <c r="H16" s="29">
        <v>42259</v>
      </c>
      <c r="I16" s="62">
        <v>570.44000000000005</v>
      </c>
      <c r="J16" s="82"/>
      <c r="K16" s="192" t="s">
        <v>61</v>
      </c>
      <c r="L16" s="490">
        <v>0</v>
      </c>
      <c r="M16" s="116">
        <v>66940</v>
      </c>
      <c r="N16" s="336"/>
      <c r="O16" s="25"/>
    </row>
    <row r="17" spans="1:17" x14ac:dyDescent="0.25">
      <c r="A17" s="21"/>
      <c r="B17" s="40">
        <v>42260</v>
      </c>
      <c r="C17" s="46">
        <v>693</v>
      </c>
      <c r="D17" s="30" t="s">
        <v>22</v>
      </c>
      <c r="E17" s="28">
        <v>42260</v>
      </c>
      <c r="F17" s="52">
        <v>44340.86</v>
      </c>
      <c r="G17" s="25"/>
      <c r="H17" s="29">
        <v>42260</v>
      </c>
      <c r="I17" s="62">
        <v>100</v>
      </c>
      <c r="J17" s="82"/>
      <c r="K17" s="73" t="s">
        <v>299</v>
      </c>
      <c r="L17" s="52">
        <v>0</v>
      </c>
      <c r="M17" s="116">
        <v>44341</v>
      </c>
      <c r="N17" s="336"/>
      <c r="O17" s="25"/>
    </row>
    <row r="18" spans="1:17" x14ac:dyDescent="0.25">
      <c r="A18" s="21"/>
      <c r="B18" s="40">
        <v>42261</v>
      </c>
      <c r="C18" s="46">
        <v>630</v>
      </c>
      <c r="D18" s="30" t="s">
        <v>22</v>
      </c>
      <c r="E18" s="28">
        <v>42261</v>
      </c>
      <c r="F18" s="52">
        <v>47504.87</v>
      </c>
      <c r="G18" s="25"/>
      <c r="H18" s="29">
        <v>42261</v>
      </c>
      <c r="I18" s="62">
        <v>0</v>
      </c>
      <c r="J18" s="82"/>
      <c r="K18" s="165" t="s">
        <v>673</v>
      </c>
      <c r="L18" s="52">
        <v>0</v>
      </c>
      <c r="M18" s="116">
        <v>46875</v>
      </c>
      <c r="N18" s="450"/>
      <c r="O18" s="614"/>
      <c r="P18" s="25"/>
    </row>
    <row r="19" spans="1:17" x14ac:dyDescent="0.25">
      <c r="A19" s="21"/>
      <c r="B19" s="40">
        <v>42262</v>
      </c>
      <c r="C19" s="46">
        <v>605</v>
      </c>
      <c r="D19" s="96"/>
      <c r="E19" s="28">
        <v>42262</v>
      </c>
      <c r="F19" s="52">
        <v>73783.679999999993</v>
      </c>
      <c r="G19" s="25"/>
      <c r="H19" s="29">
        <v>42262</v>
      </c>
      <c r="I19" s="62">
        <v>0</v>
      </c>
      <c r="J19" s="82"/>
      <c r="K19" s="286" t="s">
        <v>629</v>
      </c>
      <c r="L19" s="538">
        <v>0</v>
      </c>
      <c r="M19" s="116">
        <v>72633.5</v>
      </c>
      <c r="N19" s="450"/>
      <c r="O19" s="25"/>
      <c r="P19" s="25"/>
    </row>
    <row r="20" spans="1:17" x14ac:dyDescent="0.25">
      <c r="A20" s="21"/>
      <c r="B20" s="40">
        <v>42263</v>
      </c>
      <c r="C20" s="46">
        <v>0</v>
      </c>
      <c r="D20" s="30"/>
      <c r="E20" s="28">
        <v>42263</v>
      </c>
      <c r="F20" s="52">
        <v>17345.580000000002</v>
      </c>
      <c r="G20" s="25"/>
      <c r="H20" s="29">
        <v>42263</v>
      </c>
      <c r="I20" s="63">
        <v>0</v>
      </c>
      <c r="J20" s="82"/>
      <c r="K20" s="486" t="s">
        <v>111</v>
      </c>
      <c r="L20" s="490">
        <v>0</v>
      </c>
      <c r="M20" s="116">
        <v>17346</v>
      </c>
      <c r="N20" s="336"/>
      <c r="O20" s="25"/>
    </row>
    <row r="21" spans="1:17" x14ac:dyDescent="0.25">
      <c r="A21" s="21"/>
      <c r="B21" s="40">
        <v>42264</v>
      </c>
      <c r="C21" s="46">
        <v>450.56</v>
      </c>
      <c r="D21" s="30" t="s">
        <v>22</v>
      </c>
      <c r="E21" s="28">
        <v>42264</v>
      </c>
      <c r="F21" s="52">
        <v>35035.699999999997</v>
      </c>
      <c r="G21" s="25"/>
      <c r="H21" s="29">
        <v>42264</v>
      </c>
      <c r="I21" s="63">
        <v>74</v>
      </c>
      <c r="J21" s="82"/>
      <c r="K21" s="487" t="s">
        <v>647</v>
      </c>
      <c r="L21" s="490">
        <v>0</v>
      </c>
      <c r="M21" s="116">
        <v>34511</v>
      </c>
      <c r="N21" s="336"/>
      <c r="O21" s="25"/>
    </row>
    <row r="22" spans="1:17" x14ac:dyDescent="0.25">
      <c r="A22" s="21"/>
      <c r="B22" s="40">
        <v>42265</v>
      </c>
      <c r="C22" s="46">
        <v>258</v>
      </c>
      <c r="D22" s="96" t="s">
        <v>411</v>
      </c>
      <c r="E22" s="28">
        <v>42265</v>
      </c>
      <c r="F22" s="52">
        <v>53226.03</v>
      </c>
      <c r="G22" s="25"/>
      <c r="H22" s="29">
        <v>42265</v>
      </c>
      <c r="I22" s="63">
        <v>0</v>
      </c>
      <c r="J22" s="149"/>
      <c r="K22" s="673" t="s">
        <v>727</v>
      </c>
      <c r="L22" s="490">
        <v>800</v>
      </c>
      <c r="M22" s="116">
        <v>52968</v>
      </c>
      <c r="N22" s="336"/>
      <c r="O22" s="25"/>
    </row>
    <row r="23" spans="1:17" x14ac:dyDescent="0.25">
      <c r="A23" s="21"/>
      <c r="B23" s="40">
        <v>42266</v>
      </c>
      <c r="C23" s="46"/>
      <c r="D23" s="96"/>
      <c r="E23" s="28">
        <v>42266</v>
      </c>
      <c r="F23" s="52">
        <v>76520.02</v>
      </c>
      <c r="G23" s="25"/>
      <c r="H23" s="29">
        <v>42266</v>
      </c>
      <c r="I23" s="63">
        <v>160</v>
      </c>
      <c r="J23" s="81"/>
      <c r="K23" s="674">
        <v>42258</v>
      </c>
      <c r="L23" s="490">
        <v>0</v>
      </c>
      <c r="M23" s="700">
        <v>75765</v>
      </c>
      <c r="N23" s="336"/>
      <c r="O23" s="25"/>
      <c r="P23" s="25"/>
    </row>
    <row r="24" spans="1:17" x14ac:dyDescent="0.25">
      <c r="A24" s="21"/>
      <c r="B24" s="40">
        <v>42267</v>
      </c>
      <c r="C24" s="46">
        <v>0</v>
      </c>
      <c r="D24" s="96"/>
      <c r="E24" s="28">
        <v>42267</v>
      </c>
      <c r="F24" s="52">
        <v>41630.51</v>
      </c>
      <c r="G24" s="25"/>
      <c r="H24" s="29">
        <v>42267</v>
      </c>
      <c r="I24" s="63">
        <v>457.5</v>
      </c>
      <c r="J24" s="82"/>
      <c r="K24" s="637" t="s">
        <v>759</v>
      </c>
      <c r="L24" s="490">
        <v>850</v>
      </c>
      <c r="M24" s="700">
        <v>24640</v>
      </c>
      <c r="N24" s="625">
        <v>9285</v>
      </c>
      <c r="O24" s="25"/>
      <c r="P24" s="25"/>
    </row>
    <row r="25" spans="1:17" x14ac:dyDescent="0.25">
      <c r="A25" s="21"/>
      <c r="B25" s="40">
        <v>42268</v>
      </c>
      <c r="C25" s="46">
        <v>14</v>
      </c>
      <c r="D25" s="30" t="s">
        <v>672</v>
      </c>
      <c r="E25" s="28">
        <v>42268</v>
      </c>
      <c r="F25" s="52">
        <v>31522.43</v>
      </c>
      <c r="G25" s="25"/>
      <c r="H25" s="29">
        <v>42268</v>
      </c>
      <c r="I25" s="63">
        <v>0</v>
      </c>
      <c r="J25" s="81"/>
      <c r="K25" s="487">
        <v>42273</v>
      </c>
      <c r="L25" s="490">
        <v>0</v>
      </c>
      <c r="M25" s="116">
        <v>31508.5</v>
      </c>
      <c r="N25" s="450"/>
      <c r="O25" s="25"/>
      <c r="P25" s="25"/>
    </row>
    <row r="26" spans="1:17" x14ac:dyDescent="0.25">
      <c r="A26" s="21"/>
      <c r="B26" s="40">
        <v>42269</v>
      </c>
      <c r="C26" s="46">
        <v>557</v>
      </c>
      <c r="D26" s="30" t="s">
        <v>83</v>
      </c>
      <c r="E26" s="28">
        <v>42269</v>
      </c>
      <c r="F26" s="52">
        <v>32743.74</v>
      </c>
      <c r="G26" s="25"/>
      <c r="H26" s="29">
        <v>42269</v>
      </c>
      <c r="I26" s="63">
        <v>0</v>
      </c>
      <c r="J26" s="98"/>
      <c r="K26" s="535"/>
      <c r="L26" s="490">
        <v>0</v>
      </c>
      <c r="M26" s="116">
        <v>32187</v>
      </c>
      <c r="N26" s="450"/>
      <c r="O26" s="614"/>
      <c r="P26" s="555"/>
    </row>
    <row r="27" spans="1:17" x14ac:dyDescent="0.25">
      <c r="A27" s="21"/>
      <c r="B27" s="40">
        <v>42270</v>
      </c>
      <c r="C27" s="46">
        <v>0</v>
      </c>
      <c r="D27" s="30"/>
      <c r="E27" s="28">
        <v>42270</v>
      </c>
      <c r="F27" s="52">
        <v>36895.589999999997</v>
      </c>
      <c r="G27" s="25"/>
      <c r="H27" s="29">
        <v>42270</v>
      </c>
      <c r="I27" s="63">
        <v>0</v>
      </c>
      <c r="J27" s="81"/>
      <c r="K27" s="488"/>
      <c r="L27" s="490">
        <v>0</v>
      </c>
      <c r="M27" s="116">
        <f>36395+500</f>
        <v>36895</v>
      </c>
      <c r="N27" s="450"/>
      <c r="O27" s="25"/>
      <c r="P27" s="25"/>
    </row>
    <row r="28" spans="1:17" x14ac:dyDescent="0.25">
      <c r="A28" s="21"/>
      <c r="B28" s="40">
        <v>42271</v>
      </c>
      <c r="C28" s="46">
        <v>0</v>
      </c>
      <c r="D28" s="30"/>
      <c r="E28" s="28">
        <v>42271</v>
      </c>
      <c r="F28" s="52">
        <v>26745.15</v>
      </c>
      <c r="G28" s="25"/>
      <c r="H28" s="29">
        <v>42271</v>
      </c>
      <c r="I28" s="63">
        <v>35</v>
      </c>
      <c r="J28" s="81"/>
      <c r="K28" s="131"/>
      <c r="L28" s="490">
        <v>0</v>
      </c>
      <c r="M28" s="116">
        <v>26710</v>
      </c>
      <c r="N28" s="336"/>
      <c r="O28" s="25"/>
      <c r="P28" s="25"/>
    </row>
    <row r="29" spans="1:17" x14ac:dyDescent="0.25">
      <c r="A29" s="21"/>
      <c r="B29" s="40">
        <v>42272</v>
      </c>
      <c r="C29" s="46">
        <v>1446</v>
      </c>
      <c r="D29" s="30" t="s">
        <v>743</v>
      </c>
      <c r="E29" s="28">
        <v>42272</v>
      </c>
      <c r="F29" s="52">
        <v>55689.09</v>
      </c>
      <c r="G29" s="25"/>
      <c r="H29" s="29">
        <v>42272</v>
      </c>
      <c r="I29" s="63">
        <v>0</v>
      </c>
      <c r="J29" s="81"/>
      <c r="K29" s="132"/>
      <c r="L29" s="539">
        <v>0</v>
      </c>
      <c r="M29" s="116">
        <v>54243</v>
      </c>
      <c r="N29" s="336"/>
      <c r="O29" s="25"/>
      <c r="P29" s="25"/>
    </row>
    <row r="30" spans="1:17" ht="15.75" thickBot="1" x14ac:dyDescent="0.3">
      <c r="A30" s="21"/>
      <c r="B30" s="40">
        <v>42273</v>
      </c>
      <c r="C30" s="46">
        <v>232.68</v>
      </c>
      <c r="D30" s="30" t="s">
        <v>411</v>
      </c>
      <c r="E30" s="28">
        <v>42273</v>
      </c>
      <c r="F30" s="52">
        <v>76649.5</v>
      </c>
      <c r="G30" s="25"/>
      <c r="H30" s="29">
        <v>42273</v>
      </c>
      <c r="I30" s="63">
        <v>20</v>
      </c>
      <c r="J30" s="98"/>
      <c r="K30" s="131"/>
      <c r="L30" s="539">
        <v>0</v>
      </c>
      <c r="M30" s="116">
        <v>75547</v>
      </c>
      <c r="N30" s="336"/>
      <c r="O30" s="25"/>
      <c r="P30" s="25"/>
    </row>
    <row r="31" spans="1:17" x14ac:dyDescent="0.25">
      <c r="A31" s="21"/>
      <c r="B31" s="40">
        <v>42274</v>
      </c>
      <c r="C31" s="46">
        <v>793</v>
      </c>
      <c r="D31" s="30" t="s">
        <v>22</v>
      </c>
      <c r="E31" s="28">
        <v>42274</v>
      </c>
      <c r="F31" s="52">
        <v>52232.26</v>
      </c>
      <c r="G31" s="25"/>
      <c r="H31" s="29">
        <v>42274</v>
      </c>
      <c r="I31" s="63">
        <v>242.5</v>
      </c>
      <c r="J31" s="82"/>
      <c r="K31" s="552"/>
      <c r="L31" s="822">
        <v>0</v>
      </c>
      <c r="M31" s="116">
        <v>29040</v>
      </c>
      <c r="N31" s="565">
        <v>16307</v>
      </c>
      <c r="O31" s="25"/>
      <c r="P31" s="25"/>
      <c r="Q31" s="25"/>
    </row>
    <row r="32" spans="1:17" ht="15.75" thickBot="1" x14ac:dyDescent="0.3">
      <c r="A32" s="21"/>
      <c r="B32" s="40">
        <v>42275</v>
      </c>
      <c r="C32" s="46">
        <v>0</v>
      </c>
      <c r="D32" s="30"/>
      <c r="E32" s="28">
        <v>42275</v>
      </c>
      <c r="F32" s="52">
        <v>45192.25</v>
      </c>
      <c r="G32" s="25"/>
      <c r="H32" s="29">
        <v>42275</v>
      </c>
      <c r="I32" s="63">
        <v>0</v>
      </c>
      <c r="J32" s="81"/>
      <c r="K32" s="489"/>
      <c r="L32" s="823"/>
      <c r="M32" s="116">
        <v>31013</v>
      </c>
      <c r="N32" s="336"/>
      <c r="O32" s="25"/>
    </row>
    <row r="33" spans="1:17" x14ac:dyDescent="0.25">
      <c r="A33" s="21"/>
      <c r="B33" s="40">
        <v>42276</v>
      </c>
      <c r="C33" s="46">
        <v>30</v>
      </c>
      <c r="D33" s="96" t="s">
        <v>672</v>
      </c>
      <c r="E33" s="28">
        <v>42276</v>
      </c>
      <c r="F33" s="52">
        <v>32542</v>
      </c>
      <c r="G33" s="25"/>
      <c r="H33" s="29">
        <v>42276</v>
      </c>
      <c r="I33" s="63">
        <v>0</v>
      </c>
      <c r="J33" s="81"/>
      <c r="K33" s="553"/>
      <c r="L33" s="824">
        <v>0</v>
      </c>
      <c r="M33" s="116">
        <v>32512</v>
      </c>
      <c r="N33" s="450"/>
      <c r="O33" s="25"/>
    </row>
    <row r="34" spans="1:17" ht="15.75" thickBot="1" x14ac:dyDescent="0.3">
      <c r="A34" s="21"/>
      <c r="B34" s="40">
        <v>42277</v>
      </c>
      <c r="C34" s="46">
        <v>620</v>
      </c>
      <c r="D34" s="30" t="s">
        <v>22</v>
      </c>
      <c r="E34" s="28">
        <v>42277</v>
      </c>
      <c r="F34" s="52">
        <v>29975.68</v>
      </c>
      <c r="G34" s="25"/>
      <c r="H34" s="29">
        <v>42277</v>
      </c>
      <c r="I34" s="63">
        <v>0</v>
      </c>
      <c r="J34" s="81"/>
      <c r="K34" s="554"/>
      <c r="L34" s="825"/>
      <c r="M34" s="116">
        <v>29355.5</v>
      </c>
      <c r="N34" s="450"/>
      <c r="O34" s="25"/>
    </row>
    <row r="35" spans="1:17" ht="15.75" thickBot="1" x14ac:dyDescent="0.3">
      <c r="A35" s="21"/>
      <c r="B35" s="40"/>
      <c r="C35" s="46"/>
      <c r="D35" s="96"/>
      <c r="E35" s="28"/>
      <c r="F35" s="52"/>
      <c r="G35" s="25"/>
      <c r="H35" s="29"/>
      <c r="I35" s="63"/>
      <c r="J35" s="81"/>
      <c r="K35" s="488"/>
      <c r="L35" s="68">
        <v>0</v>
      </c>
      <c r="M35" s="116"/>
    </row>
    <row r="36" spans="1:17" ht="15.75" thickBot="1" x14ac:dyDescent="0.3">
      <c r="A36" s="15"/>
      <c r="B36" s="145"/>
      <c r="C36" s="146">
        <v>0</v>
      </c>
      <c r="D36" s="156"/>
      <c r="E36" s="28"/>
      <c r="F36" s="52">
        <v>0</v>
      </c>
      <c r="G36" s="25"/>
      <c r="H36" s="147"/>
      <c r="I36" s="148">
        <v>0</v>
      </c>
      <c r="J36" s="56"/>
      <c r="K36" s="11"/>
      <c r="L36" s="7"/>
      <c r="M36" s="115">
        <v>0</v>
      </c>
      <c r="P36" s="612"/>
      <c r="Q36" s="612"/>
    </row>
    <row r="37" spans="1:17" ht="16.5" thickBot="1" x14ac:dyDescent="0.3">
      <c r="A37" s="99"/>
      <c r="B37" s="42"/>
      <c r="C37" s="48">
        <v>0</v>
      </c>
      <c r="D37" s="156"/>
      <c r="E37" s="9"/>
      <c r="F37" s="54">
        <v>0</v>
      </c>
      <c r="H37" s="32"/>
      <c r="I37" s="65">
        <v>0</v>
      </c>
      <c r="J37" s="56"/>
      <c r="K37" s="17"/>
      <c r="L37" s="117"/>
      <c r="M37" s="636">
        <f>SUM(M5:M36)</f>
        <v>1294066.5</v>
      </c>
    </row>
    <row r="38" spans="1:17" x14ac:dyDescent="0.25">
      <c r="B38" s="43" t="s">
        <v>1</v>
      </c>
      <c r="C38" s="49">
        <f>SUM(C5:C37)</f>
        <v>16025.3</v>
      </c>
      <c r="E38" s="632" t="s">
        <v>1</v>
      </c>
      <c r="F38" s="55">
        <f>SUM(F5:F37)</f>
        <v>1368763.45</v>
      </c>
      <c r="H38" s="634" t="s">
        <v>1</v>
      </c>
      <c r="I38" s="59">
        <f>SUM(I5:I37)</f>
        <v>3106.6400000000003</v>
      </c>
      <c r="J38" s="59"/>
      <c r="K38" s="18" t="s">
        <v>1</v>
      </c>
      <c r="L38" s="4">
        <f>SUM(L5:L37)</f>
        <v>82213.5</v>
      </c>
    </row>
    <row r="40" spans="1:17" ht="15.75" x14ac:dyDescent="0.25">
      <c r="A40" s="5"/>
      <c r="B40" s="280"/>
      <c r="C40" s="81"/>
      <c r="D40" s="157"/>
      <c r="E40" s="13"/>
      <c r="F40" s="56"/>
      <c r="H40" s="785" t="s">
        <v>11</v>
      </c>
      <c r="I40" s="786"/>
      <c r="J40" s="633"/>
      <c r="K40" s="787">
        <f>I38+L38</f>
        <v>85320.14</v>
      </c>
      <c r="L40" s="788"/>
    </row>
    <row r="41" spans="1:17" ht="15.75" x14ac:dyDescent="0.25">
      <c r="B41" s="281"/>
      <c r="C41" s="56"/>
      <c r="D41" s="779" t="s">
        <v>12</v>
      </c>
      <c r="E41" s="779"/>
      <c r="F41" s="57">
        <f>F38-K40</f>
        <v>1283443.31</v>
      </c>
      <c r="I41" s="66"/>
      <c r="J41" s="66"/>
    </row>
    <row r="42" spans="1:17" ht="15.75" x14ac:dyDescent="0.25">
      <c r="D42" s="805" t="s">
        <v>246</v>
      </c>
      <c r="E42" s="805"/>
      <c r="F42" s="57">
        <v>-1328933.92</v>
      </c>
      <c r="I42" s="66"/>
      <c r="J42" s="66" t="s">
        <v>17</v>
      </c>
    </row>
    <row r="43" spans="1:17" ht="15.75" thickBot="1" x14ac:dyDescent="0.3">
      <c r="D43" s="159"/>
      <c r="E43" s="120" t="s">
        <v>0</v>
      </c>
      <c r="F43" s="121">
        <f>-C38</f>
        <v>-16025.3</v>
      </c>
    </row>
    <row r="44" spans="1:17" ht="15.75" thickTop="1" x14ac:dyDescent="0.25">
      <c r="C44" s="44" t="s">
        <v>17</v>
      </c>
      <c r="E44" s="5" t="s">
        <v>15</v>
      </c>
      <c r="F44" s="59">
        <f>SUM(F41:F43)</f>
        <v>-61515.909999999873</v>
      </c>
      <c r="I44" s="813" t="s">
        <v>248</v>
      </c>
      <c r="J44" s="814"/>
      <c r="K44" s="803">
        <f>F48+L46</f>
        <v>101619.40000000013</v>
      </c>
      <c r="L44" s="795"/>
    </row>
    <row r="45" spans="1:17" ht="15.75" thickBot="1" x14ac:dyDescent="0.3">
      <c r="D45" s="265" t="s">
        <v>253</v>
      </c>
      <c r="E45" s="5" t="s">
        <v>247</v>
      </c>
      <c r="F45" s="59">
        <v>0</v>
      </c>
      <c r="I45" s="815"/>
      <c r="J45" s="816"/>
      <c r="K45" s="804"/>
      <c r="L45" s="796"/>
    </row>
    <row r="46" spans="1:17" ht="17.25" thickTop="1" thickBot="1" x14ac:dyDescent="0.3">
      <c r="C46" s="55"/>
      <c r="D46" s="778" t="s">
        <v>13</v>
      </c>
      <c r="E46" s="778"/>
      <c r="F46" s="60">
        <v>163135.31</v>
      </c>
      <c r="I46" s="790"/>
      <c r="J46" s="790"/>
      <c r="K46" s="812"/>
      <c r="L46" s="34"/>
    </row>
    <row r="47" spans="1:17" ht="19.5" thickBot="1" x14ac:dyDescent="0.35">
      <c r="C47" s="55"/>
      <c r="D47" s="632"/>
      <c r="E47" s="632"/>
      <c r="F47" s="139"/>
      <c r="H47" s="19"/>
      <c r="I47" s="635" t="s">
        <v>254</v>
      </c>
      <c r="J47" s="635"/>
      <c r="K47" s="806">
        <v>-112866.44</v>
      </c>
      <c r="L47" s="807"/>
    </row>
    <row r="48" spans="1:17" ht="17.25" thickTop="1" thickBot="1" x14ac:dyDescent="0.3">
      <c r="E48" s="6" t="s">
        <v>16</v>
      </c>
      <c r="F48" s="264">
        <f>F44+F45+F46</f>
        <v>101619.40000000013</v>
      </c>
    </row>
    <row r="49" spans="2:14" ht="19.5" thickBot="1" x14ac:dyDescent="0.35">
      <c r="B49"/>
      <c r="C49"/>
      <c r="D49" s="777"/>
      <c r="E49" s="777"/>
      <c r="F49" s="56"/>
      <c r="I49" s="810" t="s">
        <v>603</v>
      </c>
      <c r="J49" s="811"/>
      <c r="K49" s="808">
        <f>K44+K47</f>
        <v>-11247.039999999877</v>
      </c>
      <c r="L49" s="809"/>
      <c r="M49" s="113"/>
      <c r="N49"/>
    </row>
    <row r="50" spans="2:14" x14ac:dyDescent="0.25">
      <c r="B50"/>
      <c r="C50"/>
      <c r="M50" s="113"/>
      <c r="N50"/>
    </row>
    <row r="51" spans="2:14" x14ac:dyDescent="0.25">
      <c r="B51"/>
      <c r="C51"/>
      <c r="N51"/>
    </row>
    <row r="52" spans="2:14" x14ac:dyDescent="0.25">
      <c r="B52"/>
      <c r="C52"/>
      <c r="F52"/>
      <c r="I52"/>
      <c r="J52"/>
      <c r="M52"/>
      <c r="N52"/>
    </row>
    <row r="53" spans="2:14" x14ac:dyDescent="0.25">
      <c r="B53"/>
      <c r="C53"/>
      <c r="N53"/>
    </row>
    <row r="54" spans="2:14" x14ac:dyDescent="0.25">
      <c r="M54" s="56"/>
      <c r="N54"/>
    </row>
    <row r="55" spans="2:14" x14ac:dyDescent="0.25">
      <c r="M55" s="56"/>
      <c r="N55"/>
    </row>
    <row r="56" spans="2:14" x14ac:dyDescent="0.25">
      <c r="M56" s="56"/>
      <c r="N56"/>
    </row>
    <row r="57" spans="2:14" x14ac:dyDescent="0.25">
      <c r="M57" s="56"/>
      <c r="N57"/>
    </row>
  </sheetData>
  <mergeCells count="17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H40:I40"/>
    <mergeCell ref="K40:L40"/>
    <mergeCell ref="C1:K1"/>
    <mergeCell ref="E4:F4"/>
    <mergeCell ref="I4:L4"/>
    <mergeCell ref="L31:L32"/>
    <mergeCell ref="L33:L34"/>
  </mergeCells>
  <pageMargins left="0.70866141732283472" right="0.70866141732283472" top="0.19685039370078741" bottom="0.15748031496062992" header="0.31496062992125984" footer="0.31496062992125984"/>
  <pageSetup scale="75" orientation="landscape" horizontalDpi="0" verticalDpi="0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Y52"/>
  <sheetViews>
    <sheetView topLeftCell="A19" workbookViewId="0">
      <selection activeCell="D43" sqref="D43"/>
    </sheetView>
  </sheetViews>
  <sheetFormatPr baseColWidth="10" defaultRowHeight="15" x14ac:dyDescent="0.25"/>
  <cols>
    <col min="1" max="1" width="12.5703125" style="614" bestFit="1" customWidth="1"/>
    <col min="2" max="2" width="12.85546875" style="25" bestFit="1" customWidth="1"/>
    <col min="3" max="3" width="15.85546875" style="336" bestFit="1" customWidth="1"/>
    <col min="4" max="4" width="12.42578125" style="25" bestFit="1" customWidth="1"/>
    <col min="5" max="5" width="15.140625" style="336" bestFit="1" customWidth="1"/>
    <col min="6" max="6" width="18.5703125" style="336" bestFit="1" customWidth="1"/>
    <col min="7" max="7" width="11.42578125" style="25"/>
    <col min="8" max="8" width="12.5703125" bestFit="1" customWidth="1"/>
    <col min="11" max="11" width="17.140625" customWidth="1"/>
    <col min="14" max="14" width="20.140625" bestFit="1" customWidth="1"/>
    <col min="20" max="20" width="14.28515625" customWidth="1"/>
    <col min="23" max="23" width="15.5703125" customWidth="1"/>
  </cols>
  <sheetData>
    <row r="1" spans="1:25" ht="19.5" thickBot="1" x14ac:dyDescent="0.35">
      <c r="B1" s="621" t="s">
        <v>689</v>
      </c>
      <c r="C1" s="622"/>
      <c r="D1" s="584"/>
      <c r="E1" s="622"/>
      <c r="K1" s="474" t="s">
        <v>205</v>
      </c>
      <c r="L1" s="204"/>
      <c r="M1" s="671"/>
      <c r="N1" s="463">
        <v>42264</v>
      </c>
      <c r="O1" s="276"/>
      <c r="T1" s="474" t="s">
        <v>205</v>
      </c>
      <c r="U1" s="204"/>
      <c r="V1" s="685"/>
      <c r="W1" s="463">
        <v>42276</v>
      </c>
      <c r="X1" s="276"/>
    </row>
    <row r="2" spans="1:25" ht="16.5" thickBot="1" x14ac:dyDescent="0.3">
      <c r="A2" s="615"/>
      <c r="B2" s="616"/>
      <c r="C2" s="513"/>
      <c r="D2" s="616"/>
      <c r="E2" s="513"/>
      <c r="F2" s="513"/>
      <c r="J2" s="205"/>
      <c r="K2" s="419"/>
      <c r="L2" s="205"/>
      <c r="M2" s="206"/>
      <c r="N2" s="419"/>
      <c r="O2" s="519"/>
      <c r="S2" s="205"/>
      <c r="T2" s="419"/>
      <c r="U2" s="205"/>
      <c r="V2" s="206"/>
      <c r="W2" s="419"/>
      <c r="X2" s="519"/>
    </row>
    <row r="3" spans="1:25" ht="15.75" x14ac:dyDescent="0.25">
      <c r="A3" s="411">
        <v>42248</v>
      </c>
      <c r="B3" s="412" t="s">
        <v>690</v>
      </c>
      <c r="C3" s="450">
        <v>109886.85</v>
      </c>
      <c r="D3" s="534">
        <v>42264</v>
      </c>
      <c r="E3" s="450">
        <v>109886.85</v>
      </c>
      <c r="F3" s="413">
        <f t="shared" ref="F3:F40" si="0">C3-E3</f>
        <v>0</v>
      </c>
      <c r="J3" s="212" t="s">
        <v>202</v>
      </c>
      <c r="K3" s="419" t="s">
        <v>195</v>
      </c>
      <c r="L3" s="205"/>
      <c r="M3" s="206" t="s">
        <v>203</v>
      </c>
      <c r="N3" s="419" t="s">
        <v>204</v>
      </c>
      <c r="O3" s="519"/>
      <c r="S3" s="212" t="s">
        <v>202</v>
      </c>
      <c r="T3" s="419" t="s">
        <v>195</v>
      </c>
      <c r="U3" s="205"/>
      <c r="V3" s="206" t="s">
        <v>203</v>
      </c>
      <c r="W3" s="419" t="s">
        <v>204</v>
      </c>
      <c r="X3" s="519"/>
    </row>
    <row r="4" spans="1:25" ht="15.75" x14ac:dyDescent="0.25">
      <c r="A4" s="249">
        <v>42248</v>
      </c>
      <c r="B4" s="483" t="s">
        <v>691</v>
      </c>
      <c r="C4" s="450">
        <v>11793.8</v>
      </c>
      <c r="D4" s="534">
        <v>42264</v>
      </c>
      <c r="E4" s="450">
        <v>11793.8</v>
      </c>
      <c r="F4" s="296">
        <f t="shared" si="0"/>
        <v>0</v>
      </c>
      <c r="J4" s="496" t="s">
        <v>692</v>
      </c>
      <c r="K4" s="432">
        <v>14235.6</v>
      </c>
      <c r="L4" s="216"/>
      <c r="M4" s="331" t="s">
        <v>674</v>
      </c>
      <c r="N4" s="522">
        <v>561</v>
      </c>
      <c r="O4" s="523">
        <v>42247</v>
      </c>
      <c r="P4" t="s">
        <v>728</v>
      </c>
      <c r="S4" s="496" t="s">
        <v>747</v>
      </c>
      <c r="T4" s="432">
        <v>13890.82</v>
      </c>
      <c r="U4" s="216"/>
      <c r="V4" s="331" t="s">
        <v>674</v>
      </c>
      <c r="W4" s="522">
        <v>52968</v>
      </c>
      <c r="X4" s="523">
        <v>42266</v>
      </c>
      <c r="Y4" s="21">
        <v>42265</v>
      </c>
    </row>
    <row r="5" spans="1:25" ht="15.75" x14ac:dyDescent="0.25">
      <c r="A5" s="249">
        <v>42249</v>
      </c>
      <c r="B5" s="483" t="s">
        <v>694</v>
      </c>
      <c r="C5" s="450">
        <v>7937.6</v>
      </c>
      <c r="D5" s="534">
        <v>42264</v>
      </c>
      <c r="E5" s="450">
        <v>7937.6</v>
      </c>
      <c r="F5" s="296">
        <f t="shared" si="0"/>
        <v>0</v>
      </c>
      <c r="H5" s="336"/>
      <c r="J5" s="496" t="s">
        <v>693</v>
      </c>
      <c r="K5" s="450">
        <v>12313</v>
      </c>
      <c r="L5" s="234"/>
      <c r="M5" s="331" t="s">
        <v>674</v>
      </c>
      <c r="N5" s="522">
        <v>140</v>
      </c>
      <c r="O5" s="523">
        <v>42247</v>
      </c>
      <c r="P5" s="21">
        <v>42239</v>
      </c>
      <c r="S5" s="496" t="s">
        <v>742</v>
      </c>
      <c r="T5" s="450">
        <v>7376</v>
      </c>
      <c r="U5" s="234"/>
      <c r="V5" s="331" t="s">
        <v>674</v>
      </c>
      <c r="W5" s="522">
        <v>32187</v>
      </c>
      <c r="X5" s="523">
        <v>42270</v>
      </c>
      <c r="Y5" s="21">
        <v>42269</v>
      </c>
    </row>
    <row r="6" spans="1:25" ht="15.75" x14ac:dyDescent="0.25">
      <c r="A6" s="249">
        <v>42250</v>
      </c>
      <c r="B6" s="483" t="s">
        <v>708</v>
      </c>
      <c r="C6" s="450">
        <v>3631.2</v>
      </c>
      <c r="D6" s="534">
        <v>42264</v>
      </c>
      <c r="E6" s="450">
        <v>3631.2</v>
      </c>
      <c r="F6" s="296">
        <f>C6-E6</f>
        <v>0</v>
      </c>
      <c r="J6" s="561" t="s">
        <v>679</v>
      </c>
      <c r="K6" s="246">
        <v>10743.39</v>
      </c>
      <c r="L6" s="234"/>
      <c r="M6" s="331" t="s">
        <v>674</v>
      </c>
      <c r="N6" s="521">
        <v>39261</v>
      </c>
      <c r="O6" s="525">
        <v>42247</v>
      </c>
      <c r="P6" s="21">
        <v>42240</v>
      </c>
      <c r="S6" s="496" t="s">
        <v>744</v>
      </c>
      <c r="T6" s="450">
        <v>417.6</v>
      </c>
      <c r="U6" s="234"/>
      <c r="V6" s="331" t="s">
        <v>674</v>
      </c>
      <c r="W6" s="521">
        <v>500</v>
      </c>
      <c r="X6" s="525">
        <v>42272</v>
      </c>
      <c r="Y6" s="21">
        <v>42270</v>
      </c>
    </row>
    <row r="7" spans="1:25" ht="15.75" x14ac:dyDescent="0.25">
      <c r="A7" s="249">
        <v>42251</v>
      </c>
      <c r="B7" s="483" t="s">
        <v>709</v>
      </c>
      <c r="C7" s="81">
        <v>17297.599999999999</v>
      </c>
      <c r="D7" s="534">
        <v>42264</v>
      </c>
      <c r="E7" s="81">
        <v>17297.599999999999</v>
      </c>
      <c r="F7" s="296">
        <f t="shared" si="0"/>
        <v>0</v>
      </c>
      <c r="J7" s="496" t="s">
        <v>680</v>
      </c>
      <c r="K7" s="81">
        <v>10948</v>
      </c>
      <c r="L7" s="234"/>
      <c r="M7" s="331" t="s">
        <v>674</v>
      </c>
      <c r="N7" s="522">
        <v>28415</v>
      </c>
      <c r="O7" s="523">
        <v>42247</v>
      </c>
      <c r="P7" s="21">
        <v>42241</v>
      </c>
      <c r="S7" s="496" t="s">
        <v>745</v>
      </c>
      <c r="T7" s="450">
        <v>84180.4</v>
      </c>
      <c r="U7" s="234"/>
      <c r="V7" s="331" t="s">
        <v>674</v>
      </c>
      <c r="W7" s="522">
        <v>26710</v>
      </c>
      <c r="X7" s="523">
        <v>42272</v>
      </c>
      <c r="Y7" s="21">
        <v>42271</v>
      </c>
    </row>
    <row r="8" spans="1:25" ht="15.75" x14ac:dyDescent="0.25">
      <c r="A8" s="249">
        <v>42251</v>
      </c>
      <c r="B8" s="483" t="s">
        <v>706</v>
      </c>
      <c r="C8" s="450">
        <v>8046.5</v>
      </c>
      <c r="D8" s="534">
        <v>42264</v>
      </c>
      <c r="E8" s="450">
        <v>8046.5</v>
      </c>
      <c r="F8" s="296">
        <f t="shared" si="0"/>
        <v>0</v>
      </c>
      <c r="J8" s="412" t="s">
        <v>690</v>
      </c>
      <c r="K8" s="450">
        <v>109886.85</v>
      </c>
      <c r="L8" s="234"/>
      <c r="M8" s="331" t="s">
        <v>674</v>
      </c>
      <c r="N8" s="522">
        <v>22635</v>
      </c>
      <c r="O8" s="523">
        <v>42249</v>
      </c>
      <c r="P8" s="21">
        <v>42242</v>
      </c>
      <c r="S8" s="496" t="s">
        <v>746</v>
      </c>
      <c r="T8" s="450">
        <v>6500.18</v>
      </c>
      <c r="U8" s="234" t="s">
        <v>236</v>
      </c>
      <c r="V8" s="331" t="s">
        <v>674</v>
      </c>
      <c r="W8" s="522"/>
      <c r="X8" s="523"/>
    </row>
    <row r="9" spans="1:25" ht="15.75" x14ac:dyDescent="0.25">
      <c r="A9" s="249">
        <v>42252</v>
      </c>
      <c r="B9" s="483" t="s">
        <v>707</v>
      </c>
      <c r="C9" s="450">
        <v>131465.89300000001</v>
      </c>
      <c r="D9" s="534">
        <v>42264</v>
      </c>
      <c r="E9" s="450">
        <v>131465.89300000001</v>
      </c>
      <c r="F9" s="296">
        <f t="shared" si="0"/>
        <v>0</v>
      </c>
      <c r="J9" s="483" t="s">
        <v>691</v>
      </c>
      <c r="K9" s="450">
        <v>11793.8</v>
      </c>
      <c r="L9" s="235"/>
      <c r="M9" s="331" t="s">
        <v>674</v>
      </c>
      <c r="N9" s="521">
        <v>24980.5</v>
      </c>
      <c r="O9" s="525">
        <v>42249</v>
      </c>
      <c r="P9" s="21">
        <v>42243</v>
      </c>
      <c r="S9" s="496"/>
      <c r="T9" s="450"/>
      <c r="U9" s="235"/>
      <c r="V9" s="331" t="s">
        <v>674</v>
      </c>
      <c r="W9" s="521"/>
      <c r="X9" s="525"/>
    </row>
    <row r="10" spans="1:25" ht="15.75" x14ac:dyDescent="0.25">
      <c r="A10" s="249">
        <v>42254</v>
      </c>
      <c r="B10" s="344" t="s">
        <v>710</v>
      </c>
      <c r="C10" s="81">
        <v>7976.1</v>
      </c>
      <c r="D10" s="534">
        <v>42264</v>
      </c>
      <c r="E10" s="81">
        <v>7976.1</v>
      </c>
      <c r="F10" s="296">
        <f t="shared" si="0"/>
        <v>0</v>
      </c>
      <c r="J10" s="483" t="s">
        <v>694</v>
      </c>
      <c r="K10" s="450">
        <v>7937.6</v>
      </c>
      <c r="L10" s="230"/>
      <c r="M10" s="331" t="s">
        <v>674</v>
      </c>
      <c r="N10" s="522">
        <v>62395</v>
      </c>
      <c r="O10" s="523">
        <v>42249</v>
      </c>
      <c r="P10" s="21">
        <v>42244</v>
      </c>
      <c r="S10" s="496"/>
      <c r="T10" s="450"/>
      <c r="U10" s="230"/>
      <c r="V10" s="331" t="s">
        <v>674</v>
      </c>
      <c r="W10" s="522"/>
      <c r="X10" s="523"/>
    </row>
    <row r="11" spans="1:25" ht="15.75" x14ac:dyDescent="0.25">
      <c r="A11" s="249">
        <v>42254</v>
      </c>
      <c r="B11" s="344" t="s">
        <v>711</v>
      </c>
      <c r="C11" s="81">
        <v>101157.1</v>
      </c>
      <c r="D11" s="534">
        <v>42264</v>
      </c>
      <c r="E11" s="81">
        <v>101157.1</v>
      </c>
      <c r="F11" s="297">
        <f t="shared" si="0"/>
        <v>0</v>
      </c>
      <c r="J11" s="483" t="s">
        <v>708</v>
      </c>
      <c r="K11" s="450">
        <v>3631.2</v>
      </c>
      <c r="L11" s="230"/>
      <c r="M11" s="331" t="s">
        <v>674</v>
      </c>
      <c r="N11" s="521">
        <v>48546</v>
      </c>
      <c r="O11" s="525">
        <v>42249</v>
      </c>
      <c r="P11" s="21">
        <v>42245</v>
      </c>
      <c r="S11" s="496"/>
      <c r="T11" s="450"/>
      <c r="U11" s="230"/>
      <c r="V11" s="331" t="s">
        <v>674</v>
      </c>
      <c r="W11" s="521"/>
      <c r="X11" s="525"/>
    </row>
    <row r="12" spans="1:25" ht="15.75" x14ac:dyDescent="0.25">
      <c r="A12" s="249">
        <v>42256</v>
      </c>
      <c r="B12" s="344" t="s">
        <v>712</v>
      </c>
      <c r="C12" s="81">
        <v>18761.47</v>
      </c>
      <c r="D12" s="534">
        <v>42264</v>
      </c>
      <c r="E12" s="81">
        <v>18761.47</v>
      </c>
      <c r="F12" s="297">
        <f t="shared" si="0"/>
        <v>0</v>
      </c>
      <c r="J12" s="483" t="s">
        <v>709</v>
      </c>
      <c r="K12" s="81">
        <v>17297.599999999999</v>
      </c>
      <c r="L12" s="416"/>
      <c r="M12" s="331" t="s">
        <v>674</v>
      </c>
      <c r="N12" s="522">
        <v>55725</v>
      </c>
      <c r="O12" s="523">
        <v>42249</v>
      </c>
      <c r="P12" s="21">
        <v>42246</v>
      </c>
      <c r="S12" s="496"/>
      <c r="T12" s="450"/>
      <c r="U12" s="416"/>
      <c r="V12" s="331" t="s">
        <v>674</v>
      </c>
      <c r="W12" s="522"/>
      <c r="X12" s="523"/>
    </row>
    <row r="13" spans="1:25" ht="15.75" x14ac:dyDescent="0.25">
      <c r="A13" s="359">
        <v>42258</v>
      </c>
      <c r="B13" s="344" t="s">
        <v>713</v>
      </c>
      <c r="C13" s="81">
        <v>26202.02</v>
      </c>
      <c r="D13" s="534">
        <v>42264</v>
      </c>
      <c r="E13" s="81">
        <v>26202.02</v>
      </c>
      <c r="F13" s="297">
        <f>C13-E13</f>
        <v>0</v>
      </c>
      <c r="J13" s="483" t="s">
        <v>706</v>
      </c>
      <c r="K13" s="450">
        <v>8046.5</v>
      </c>
      <c r="L13" s="459"/>
      <c r="M13" s="331" t="s">
        <v>674</v>
      </c>
      <c r="N13" s="528">
        <v>32158</v>
      </c>
      <c r="O13" s="527">
        <v>42249</v>
      </c>
      <c r="P13" s="21">
        <v>42247</v>
      </c>
      <c r="S13" s="496"/>
      <c r="T13" s="450"/>
      <c r="U13" s="459"/>
      <c r="V13" s="331" t="s">
        <v>674</v>
      </c>
      <c r="W13" s="528"/>
      <c r="X13" s="527"/>
    </row>
    <row r="14" spans="1:25" ht="15.75" x14ac:dyDescent="0.25">
      <c r="A14" s="359">
        <v>42259</v>
      </c>
      <c r="B14" s="496" t="s">
        <v>714</v>
      </c>
      <c r="C14" s="450">
        <v>59556.25</v>
      </c>
      <c r="D14" s="534">
        <v>42264</v>
      </c>
      <c r="E14" s="450">
        <v>59556.25</v>
      </c>
      <c r="F14" s="297">
        <f t="shared" si="0"/>
        <v>0</v>
      </c>
      <c r="J14" s="483" t="s">
        <v>707</v>
      </c>
      <c r="K14" s="450">
        <v>131465.89300000001</v>
      </c>
      <c r="L14" s="230"/>
      <c r="M14" s="331" t="s">
        <v>674</v>
      </c>
      <c r="N14" s="521">
        <v>42329</v>
      </c>
      <c r="O14" s="525">
        <v>42262</v>
      </c>
      <c r="P14" s="21">
        <v>42248</v>
      </c>
      <c r="S14" s="230"/>
      <c r="T14" s="232">
        <v>0</v>
      </c>
      <c r="U14" s="230"/>
      <c r="V14" s="416"/>
      <c r="W14" s="324"/>
      <c r="X14" s="416"/>
    </row>
    <row r="15" spans="1:25" ht="15.75" x14ac:dyDescent="0.25">
      <c r="A15" s="343">
        <v>42259</v>
      </c>
      <c r="B15" s="344" t="s">
        <v>715</v>
      </c>
      <c r="C15" s="81">
        <v>61450.95</v>
      </c>
      <c r="D15" s="534">
        <v>42264</v>
      </c>
      <c r="E15" s="81">
        <v>61450.95</v>
      </c>
      <c r="F15" s="297">
        <f t="shared" si="0"/>
        <v>0</v>
      </c>
      <c r="J15" s="344" t="s">
        <v>710</v>
      </c>
      <c r="K15" s="81">
        <v>7976.1</v>
      </c>
      <c r="L15" s="230"/>
      <c r="M15" s="331" t="s">
        <v>674</v>
      </c>
      <c r="N15" s="521">
        <v>26761</v>
      </c>
      <c r="O15" s="525">
        <v>42262</v>
      </c>
      <c r="P15" s="21">
        <v>42249</v>
      </c>
      <c r="T15" s="419">
        <f>SUM(T4:T14)</f>
        <v>112365</v>
      </c>
      <c r="U15" s="208"/>
      <c r="V15" s="206"/>
      <c r="W15" s="419">
        <f>SUM(W4:W13)</f>
        <v>112365</v>
      </c>
    </row>
    <row r="16" spans="1:25" ht="15.75" x14ac:dyDescent="0.25">
      <c r="A16" s="343">
        <v>42260</v>
      </c>
      <c r="B16" s="496" t="s">
        <v>716</v>
      </c>
      <c r="C16" s="450">
        <v>43877.15</v>
      </c>
      <c r="D16" s="534">
        <v>42264</v>
      </c>
      <c r="E16" s="450">
        <v>43877.15</v>
      </c>
      <c r="F16" s="297">
        <f t="shared" si="0"/>
        <v>0</v>
      </c>
      <c r="J16" s="344" t="s">
        <v>711</v>
      </c>
      <c r="K16" s="81">
        <v>101157.1</v>
      </c>
      <c r="L16" s="629"/>
      <c r="M16" s="587" t="s">
        <v>674</v>
      </c>
      <c r="N16" s="630">
        <v>36881</v>
      </c>
      <c r="O16" s="589">
        <v>42262</v>
      </c>
      <c r="P16" s="21">
        <v>42250</v>
      </c>
    </row>
    <row r="17" spans="1:16" ht="15.75" x14ac:dyDescent="0.25">
      <c r="A17" s="343">
        <v>42260</v>
      </c>
      <c r="B17" s="496" t="s">
        <v>717</v>
      </c>
      <c r="C17" s="450">
        <v>2227.1999999999998</v>
      </c>
      <c r="D17" s="534">
        <v>42264</v>
      </c>
      <c r="E17" s="450">
        <v>2227.1999999999998</v>
      </c>
      <c r="F17" s="297">
        <f t="shared" si="0"/>
        <v>0</v>
      </c>
      <c r="J17" s="344" t="s">
        <v>712</v>
      </c>
      <c r="K17" s="81">
        <v>18761.47</v>
      </c>
      <c r="L17" s="216"/>
      <c r="M17" s="587" t="s">
        <v>674</v>
      </c>
      <c r="N17" s="521">
        <v>92068</v>
      </c>
      <c r="O17" s="525">
        <v>42262</v>
      </c>
      <c r="P17" s="21">
        <v>42252</v>
      </c>
    </row>
    <row r="18" spans="1:16" ht="15.75" x14ac:dyDescent="0.25">
      <c r="A18" s="343">
        <v>42261</v>
      </c>
      <c r="B18" s="496" t="s">
        <v>718</v>
      </c>
      <c r="C18" s="450">
        <v>139944.9</v>
      </c>
      <c r="D18" s="534">
        <v>42264</v>
      </c>
      <c r="E18" s="450">
        <v>139944.9</v>
      </c>
      <c r="F18" s="297">
        <f t="shared" si="0"/>
        <v>0</v>
      </c>
      <c r="J18" s="344" t="s">
        <v>713</v>
      </c>
      <c r="K18" s="81">
        <v>26202.02</v>
      </c>
      <c r="L18" s="230"/>
      <c r="M18" s="587" t="s">
        <v>674</v>
      </c>
      <c r="N18" s="521">
        <v>58564.5</v>
      </c>
      <c r="O18" s="525">
        <v>42262</v>
      </c>
      <c r="P18" s="21">
        <v>42253</v>
      </c>
    </row>
    <row r="19" spans="1:16" ht="15.75" x14ac:dyDescent="0.25">
      <c r="A19" s="343">
        <v>42260</v>
      </c>
      <c r="B19" s="496" t="s">
        <v>733</v>
      </c>
      <c r="C19" s="450">
        <v>2050</v>
      </c>
      <c r="D19" s="534">
        <v>42271</v>
      </c>
      <c r="E19" s="450">
        <v>2050</v>
      </c>
      <c r="F19" s="297">
        <f t="shared" ref="F19:F26" si="1">C19-E19</f>
        <v>0</v>
      </c>
      <c r="J19" s="496" t="s">
        <v>714</v>
      </c>
      <c r="K19" s="450">
        <v>59556.25</v>
      </c>
      <c r="L19" s="230"/>
      <c r="M19" s="587" t="s">
        <v>674</v>
      </c>
      <c r="N19" s="521">
        <v>23851</v>
      </c>
      <c r="O19" s="525">
        <v>42256</v>
      </c>
      <c r="P19" s="21">
        <v>42254</v>
      </c>
    </row>
    <row r="20" spans="1:16" ht="15.75" x14ac:dyDescent="0.25">
      <c r="A20" s="343">
        <v>42262</v>
      </c>
      <c r="B20" s="496" t="s">
        <v>732</v>
      </c>
      <c r="C20" s="450">
        <v>2246.4</v>
      </c>
      <c r="D20" s="534">
        <v>42271</v>
      </c>
      <c r="E20" s="450">
        <v>2246.4</v>
      </c>
      <c r="F20" s="297">
        <f t="shared" si="1"/>
        <v>0</v>
      </c>
      <c r="J20" s="344" t="s">
        <v>715</v>
      </c>
      <c r="K20" s="81">
        <v>61450.95</v>
      </c>
      <c r="L20" s="230"/>
      <c r="M20" s="587" t="s">
        <v>674</v>
      </c>
      <c r="N20" s="521">
        <v>32385</v>
      </c>
      <c r="O20" s="525">
        <v>42256</v>
      </c>
      <c r="P20" s="21">
        <v>42255</v>
      </c>
    </row>
    <row r="21" spans="1:16" ht="15.75" x14ac:dyDescent="0.25">
      <c r="A21" s="343">
        <v>42263</v>
      </c>
      <c r="B21" s="496" t="s">
        <v>729</v>
      </c>
      <c r="C21" s="450">
        <v>31842.1</v>
      </c>
      <c r="D21" s="617" t="s">
        <v>741</v>
      </c>
      <c r="E21" s="450">
        <f>7014.93+24827.17</f>
        <v>31842.1</v>
      </c>
      <c r="F21" s="297">
        <f t="shared" si="1"/>
        <v>0</v>
      </c>
      <c r="J21" s="496" t="s">
        <v>716</v>
      </c>
      <c r="K21" s="450">
        <v>43877.15</v>
      </c>
      <c r="L21" s="230"/>
      <c r="M21" s="587" t="s">
        <v>674</v>
      </c>
      <c r="N21" s="521">
        <v>28108</v>
      </c>
      <c r="O21" s="525">
        <v>42257</v>
      </c>
      <c r="P21" s="21">
        <v>42256</v>
      </c>
    </row>
    <row r="22" spans="1:16" ht="15.75" x14ac:dyDescent="0.25">
      <c r="A22" s="343">
        <v>42264</v>
      </c>
      <c r="B22" s="496" t="s">
        <v>734</v>
      </c>
      <c r="C22" s="450">
        <v>3456.6</v>
      </c>
      <c r="D22" s="534">
        <v>42271</v>
      </c>
      <c r="E22" s="450">
        <v>3456.6</v>
      </c>
      <c r="F22" s="297">
        <f t="shared" si="1"/>
        <v>0</v>
      </c>
      <c r="J22" s="496" t="s">
        <v>717</v>
      </c>
      <c r="K22" s="450">
        <v>2227.1999999999998</v>
      </c>
      <c r="L22" s="230"/>
      <c r="M22" s="587" t="s">
        <v>674</v>
      </c>
      <c r="N22" s="521">
        <v>29000</v>
      </c>
      <c r="O22" s="525">
        <v>42262</v>
      </c>
      <c r="P22" s="21">
        <v>42257</v>
      </c>
    </row>
    <row r="23" spans="1:16" ht="15.75" x14ac:dyDescent="0.25">
      <c r="A23" s="343">
        <v>42266</v>
      </c>
      <c r="B23" s="496" t="s">
        <v>737</v>
      </c>
      <c r="C23" s="450">
        <v>109887.2</v>
      </c>
      <c r="D23" s="534">
        <v>42271</v>
      </c>
      <c r="E23" s="450">
        <v>109887.2</v>
      </c>
      <c r="F23" s="297">
        <f t="shared" si="1"/>
        <v>0</v>
      </c>
      <c r="J23" s="496" t="s">
        <v>718</v>
      </c>
      <c r="K23" s="450">
        <v>139944.9</v>
      </c>
      <c r="L23" s="230"/>
      <c r="M23" s="587" t="s">
        <v>674</v>
      </c>
      <c r="N23" s="521">
        <v>8113.5</v>
      </c>
      <c r="O23" s="525">
        <v>42258</v>
      </c>
      <c r="P23" s="21">
        <v>42257</v>
      </c>
    </row>
    <row r="24" spans="1:16" ht="15.75" x14ac:dyDescent="0.25">
      <c r="A24" s="343">
        <v>42266</v>
      </c>
      <c r="B24" s="496" t="s">
        <v>738</v>
      </c>
      <c r="C24" s="450">
        <v>2118</v>
      </c>
      <c r="D24" s="534">
        <v>42271</v>
      </c>
      <c r="E24" s="450">
        <v>2118</v>
      </c>
      <c r="F24" s="297">
        <f t="shared" si="1"/>
        <v>0</v>
      </c>
      <c r="J24" s="677" t="s">
        <v>729</v>
      </c>
      <c r="K24" s="678">
        <v>7014.93</v>
      </c>
      <c r="L24" s="416" t="s">
        <v>325</v>
      </c>
      <c r="M24" s="587" t="s">
        <v>674</v>
      </c>
      <c r="N24" s="521">
        <v>46650</v>
      </c>
      <c r="O24" s="525">
        <v>42261</v>
      </c>
      <c r="P24" s="21">
        <v>42258</v>
      </c>
    </row>
    <row r="25" spans="1:16" ht="15.75" x14ac:dyDescent="0.25">
      <c r="A25" s="343">
        <v>42266</v>
      </c>
      <c r="B25" s="496" t="s">
        <v>739</v>
      </c>
      <c r="C25" s="450">
        <v>3183.04</v>
      </c>
      <c r="D25" s="534">
        <v>42271</v>
      </c>
      <c r="E25" s="450">
        <v>3183.04</v>
      </c>
      <c r="F25" s="297">
        <f t="shared" si="1"/>
        <v>0</v>
      </c>
      <c r="J25" s="679"/>
      <c r="K25" s="678">
        <v>0</v>
      </c>
      <c r="L25" s="230"/>
      <c r="M25" s="587" t="s">
        <v>674</v>
      </c>
      <c r="N25" s="521">
        <v>66940</v>
      </c>
      <c r="O25" s="525">
        <v>42262</v>
      </c>
      <c r="P25" s="21">
        <v>42259</v>
      </c>
    </row>
    <row r="26" spans="1:16" ht="15.75" x14ac:dyDescent="0.25">
      <c r="A26" s="343">
        <v>42266</v>
      </c>
      <c r="B26" s="496" t="s">
        <v>735</v>
      </c>
      <c r="C26" s="450">
        <v>4150.3999999999996</v>
      </c>
      <c r="D26" s="534">
        <v>42271</v>
      </c>
      <c r="E26" s="450">
        <v>4150.3999999999996</v>
      </c>
      <c r="F26" s="297">
        <f t="shared" si="1"/>
        <v>0</v>
      </c>
      <c r="J26" s="675"/>
      <c r="K26" s="676">
        <v>0</v>
      </c>
      <c r="L26" s="230"/>
      <c r="M26" s="587" t="s">
        <v>674</v>
      </c>
      <c r="N26" s="521"/>
      <c r="O26" s="525"/>
    </row>
    <row r="27" spans="1:16" ht="15.75" x14ac:dyDescent="0.25">
      <c r="A27" s="343">
        <v>42269</v>
      </c>
      <c r="B27" s="496" t="s">
        <v>740</v>
      </c>
      <c r="C27" s="450">
        <v>110221.61</v>
      </c>
      <c r="D27" s="617" t="s">
        <v>748</v>
      </c>
      <c r="E27" s="684">
        <f>96201.19+13890.82</f>
        <v>110092.01000000001</v>
      </c>
      <c r="F27" s="476">
        <f t="shared" si="0"/>
        <v>129.59999999999127</v>
      </c>
      <c r="J27" s="675"/>
      <c r="K27" s="676">
        <v>0</v>
      </c>
      <c r="L27" s="230"/>
      <c r="M27" s="587" t="s">
        <v>674</v>
      </c>
      <c r="N27" s="521"/>
      <c r="O27" s="525"/>
    </row>
    <row r="28" spans="1:16" x14ac:dyDescent="0.25">
      <c r="A28" s="343">
        <v>42270</v>
      </c>
      <c r="B28" s="496" t="s">
        <v>742</v>
      </c>
      <c r="C28" s="450">
        <v>7376</v>
      </c>
      <c r="D28" s="562">
        <v>42276</v>
      </c>
      <c r="E28" s="369">
        <v>7376</v>
      </c>
      <c r="F28" s="297">
        <f t="shared" si="0"/>
        <v>0</v>
      </c>
      <c r="J28" s="230"/>
      <c r="K28" s="232">
        <v>0</v>
      </c>
      <c r="L28" s="230"/>
      <c r="M28" s="416"/>
      <c r="N28" s="324"/>
      <c r="O28" s="416"/>
    </row>
    <row r="29" spans="1:16" ht="15.75" x14ac:dyDescent="0.25">
      <c r="A29" s="343">
        <v>42271</v>
      </c>
      <c r="B29" s="496" t="s">
        <v>744</v>
      </c>
      <c r="C29" s="81">
        <v>417.6</v>
      </c>
      <c r="D29" s="480">
        <v>42276</v>
      </c>
      <c r="E29" s="366">
        <v>417.6</v>
      </c>
      <c r="F29" s="297">
        <f t="shared" si="0"/>
        <v>0</v>
      </c>
      <c r="K29" s="419">
        <f>SUM(K4:K28)</f>
        <v>806467.50300000003</v>
      </c>
      <c r="L29" s="208"/>
      <c r="M29" s="206"/>
      <c r="N29" s="419">
        <f>SUM(N4:N25)</f>
        <v>806467.5</v>
      </c>
    </row>
    <row r="30" spans="1:16" x14ac:dyDescent="0.25">
      <c r="A30" s="545">
        <v>42272</v>
      </c>
      <c r="B30" s="496" t="s">
        <v>745</v>
      </c>
      <c r="C30" s="81">
        <v>84180.4</v>
      </c>
      <c r="D30" s="480">
        <v>42276</v>
      </c>
      <c r="E30" s="366">
        <v>84180.4</v>
      </c>
      <c r="F30" s="297">
        <f>C30-E30</f>
        <v>0</v>
      </c>
    </row>
    <row r="31" spans="1:16" x14ac:dyDescent="0.25">
      <c r="A31" s="343">
        <v>42272</v>
      </c>
      <c r="B31" s="496" t="s">
        <v>746</v>
      </c>
      <c r="C31" s="81">
        <v>10384.200000000001</v>
      </c>
      <c r="D31" s="465" t="s">
        <v>758</v>
      </c>
      <c r="E31" s="294">
        <f>6500.18+3884.02</f>
        <v>10384.200000000001</v>
      </c>
      <c r="F31" s="297">
        <f>C31-E31</f>
        <v>0</v>
      </c>
    </row>
    <row r="32" spans="1:16" ht="15.75" thickBot="1" x14ac:dyDescent="0.3">
      <c r="A32" s="343">
        <v>42273</v>
      </c>
      <c r="B32" s="496" t="s">
        <v>753</v>
      </c>
      <c r="C32" s="81">
        <v>99105.47</v>
      </c>
      <c r="D32" s="465">
        <v>42280</v>
      </c>
      <c r="E32" s="294">
        <v>99105.47</v>
      </c>
      <c r="F32" s="297">
        <f>C32-E32</f>
        <v>0</v>
      </c>
    </row>
    <row r="33" spans="1:16" ht="19.5" thickBot="1" x14ac:dyDescent="0.35">
      <c r="A33" s="545">
        <v>42275</v>
      </c>
      <c r="B33" s="496" t="s">
        <v>749</v>
      </c>
      <c r="C33" s="450">
        <v>23277.94</v>
      </c>
      <c r="D33" s="534">
        <v>42280</v>
      </c>
      <c r="E33" s="450">
        <v>23277.94</v>
      </c>
      <c r="F33" s="297">
        <f>C33-E33</f>
        <v>0</v>
      </c>
      <c r="K33" s="474" t="s">
        <v>205</v>
      </c>
      <c r="L33" s="204"/>
      <c r="M33" s="683"/>
      <c r="N33" s="425">
        <v>42271</v>
      </c>
      <c r="O33" s="276"/>
    </row>
    <row r="34" spans="1:16" ht="15.75" x14ac:dyDescent="0.25">
      <c r="A34" s="595">
        <v>42277</v>
      </c>
      <c r="B34" s="585" t="s">
        <v>752</v>
      </c>
      <c r="C34" s="81">
        <v>83824.38</v>
      </c>
      <c r="D34" s="465">
        <v>42280</v>
      </c>
      <c r="E34" s="294">
        <v>83824.38</v>
      </c>
      <c r="F34" s="596">
        <f>C34-E34</f>
        <v>0</v>
      </c>
      <c r="J34" s="205"/>
      <c r="K34" s="419"/>
      <c r="L34" s="205"/>
      <c r="M34" s="206"/>
      <c r="N34" s="419"/>
      <c r="O34" s="519"/>
    </row>
    <row r="35" spans="1:16" ht="15.75" x14ac:dyDescent="0.25">
      <c r="A35" s="602"/>
      <c r="B35" s="618"/>
      <c r="C35" s="81"/>
      <c r="D35" s="287"/>
      <c r="E35" s="81"/>
      <c r="F35" s="596">
        <f t="shared" si="0"/>
        <v>0</v>
      </c>
      <c r="J35" s="212" t="s">
        <v>202</v>
      </c>
      <c r="K35" s="419" t="s">
        <v>195</v>
      </c>
      <c r="L35" s="205"/>
      <c r="M35" s="206" t="s">
        <v>203</v>
      </c>
      <c r="N35" s="419" t="s">
        <v>204</v>
      </c>
      <c r="O35" s="519"/>
    </row>
    <row r="36" spans="1:16" ht="15.75" x14ac:dyDescent="0.25">
      <c r="A36" s="602"/>
      <c r="B36" s="618"/>
      <c r="C36" s="81"/>
      <c r="D36" s="287"/>
      <c r="E36" s="81"/>
      <c r="F36" s="596">
        <f t="shared" si="0"/>
        <v>0</v>
      </c>
      <c r="J36" s="496" t="s">
        <v>733</v>
      </c>
      <c r="K36" s="432">
        <v>2050</v>
      </c>
      <c r="L36" s="216"/>
      <c r="M36" s="331" t="s">
        <v>674</v>
      </c>
      <c r="N36" s="522">
        <v>905</v>
      </c>
      <c r="O36" s="523">
        <v>42264</v>
      </c>
      <c r="P36" s="21">
        <v>42252</v>
      </c>
    </row>
    <row r="37" spans="1:16" ht="15.75" x14ac:dyDescent="0.25">
      <c r="A37" s="249"/>
      <c r="B37" s="619"/>
      <c r="C37" s="81"/>
      <c r="D37" s="287"/>
      <c r="E37" s="81"/>
      <c r="F37" s="596">
        <f t="shared" si="0"/>
        <v>0</v>
      </c>
      <c r="J37" s="496" t="s">
        <v>732</v>
      </c>
      <c r="K37" s="450">
        <v>2246.4</v>
      </c>
      <c r="L37" s="234"/>
      <c r="M37" s="331" t="s">
        <v>674</v>
      </c>
      <c r="N37" s="522">
        <v>44341</v>
      </c>
      <c r="O37" s="523">
        <v>42262</v>
      </c>
      <c r="P37" s="21">
        <v>42260</v>
      </c>
    </row>
    <row r="38" spans="1:16" ht="15.75" x14ac:dyDescent="0.25">
      <c r="A38" s="473"/>
      <c r="B38" s="620"/>
      <c r="C38" s="81"/>
      <c r="D38" s="286"/>
      <c r="E38" s="81"/>
      <c r="F38" s="596">
        <f t="shared" si="0"/>
        <v>0</v>
      </c>
      <c r="J38" s="496" t="s">
        <v>729</v>
      </c>
      <c r="K38" s="450">
        <v>24827.17</v>
      </c>
      <c r="L38" s="234"/>
      <c r="M38" s="331" t="s">
        <v>674</v>
      </c>
      <c r="N38" s="521">
        <v>46875</v>
      </c>
      <c r="O38" s="525">
        <v>42262</v>
      </c>
      <c r="P38" s="21">
        <v>42261</v>
      </c>
    </row>
    <row r="39" spans="1:16" ht="15.75" x14ac:dyDescent="0.25">
      <c r="A39" s="473"/>
      <c r="B39" s="620"/>
      <c r="C39" s="81"/>
      <c r="D39" s="286"/>
      <c r="E39" s="81"/>
      <c r="F39" s="596">
        <f t="shared" si="0"/>
        <v>0</v>
      </c>
      <c r="J39" s="496" t="s">
        <v>734</v>
      </c>
      <c r="K39" s="450">
        <v>3456.6</v>
      </c>
      <c r="L39" s="234"/>
      <c r="M39" s="331" t="s">
        <v>674</v>
      </c>
      <c r="N39" s="522">
        <v>72633.5</v>
      </c>
      <c r="O39" s="523">
        <v>42264</v>
      </c>
      <c r="P39" s="21">
        <v>42262</v>
      </c>
    </row>
    <row r="40" spans="1:16" ht="16.5" thickBot="1" x14ac:dyDescent="0.3">
      <c r="B40" s="263"/>
      <c r="C40" s="180">
        <v>0</v>
      </c>
      <c r="D40" s="467"/>
      <c r="E40" s="295">
        <v>0</v>
      </c>
      <c r="F40" s="596">
        <f t="shared" si="0"/>
        <v>0</v>
      </c>
      <c r="J40" s="496" t="s">
        <v>737</v>
      </c>
      <c r="K40" s="450">
        <v>109887.2</v>
      </c>
      <c r="L40" s="234"/>
      <c r="M40" s="331" t="s">
        <v>674</v>
      </c>
      <c r="N40" s="522">
        <v>17346</v>
      </c>
      <c r="O40" s="523">
        <v>42264</v>
      </c>
      <c r="P40" s="21">
        <v>42263</v>
      </c>
    </row>
    <row r="41" spans="1:16" ht="16.5" thickTop="1" x14ac:dyDescent="0.25">
      <c r="B41" s="614"/>
      <c r="C41" s="450">
        <f>SUM(C3:C40)</f>
        <v>1328933.923</v>
      </c>
      <c r="D41" s="178"/>
      <c r="E41" s="336">
        <f>SUM(E3:E40)</f>
        <v>1328804.3229999999</v>
      </c>
      <c r="F41" s="569">
        <f>SUM(F3:F40)</f>
        <v>129.59999999999127</v>
      </c>
      <c r="J41" s="496" t="s">
        <v>738</v>
      </c>
      <c r="K41" s="450">
        <v>2118</v>
      </c>
      <c r="L41" s="235"/>
      <c r="M41" s="331" t="s">
        <v>674</v>
      </c>
      <c r="N41" s="521">
        <v>34511</v>
      </c>
      <c r="O41" s="525">
        <v>42265</v>
      </c>
      <c r="P41" s="21">
        <v>42264</v>
      </c>
    </row>
    <row r="42" spans="1:16" ht="15.75" x14ac:dyDescent="0.25">
      <c r="C42" s="450"/>
      <c r="J42" s="496" t="s">
        <v>739</v>
      </c>
      <c r="K42" s="450">
        <v>3183.04</v>
      </c>
      <c r="L42" s="230"/>
      <c r="M42" s="331" t="s">
        <v>674</v>
      </c>
      <c r="N42" s="522">
        <v>31508.5</v>
      </c>
      <c r="O42" s="523">
        <v>42266</v>
      </c>
      <c r="P42" s="21">
        <v>42265</v>
      </c>
    </row>
    <row r="43" spans="1:16" ht="15.75" x14ac:dyDescent="0.25">
      <c r="B43" s="25" t="s">
        <v>101</v>
      </c>
      <c r="E43" s="25"/>
      <c r="F43" s="25"/>
      <c r="J43" s="496" t="s">
        <v>735</v>
      </c>
      <c r="K43" s="450">
        <v>4150.3999999999996</v>
      </c>
      <c r="L43" s="230"/>
      <c r="M43" s="331" t="s">
        <v>674</v>
      </c>
      <c r="N43" s="521"/>
      <c r="O43" s="525"/>
    </row>
    <row r="44" spans="1:16" ht="15.75" x14ac:dyDescent="0.25">
      <c r="B44" s="450"/>
      <c r="C44" s="534"/>
      <c r="D44" s="196"/>
      <c r="E44" s="25"/>
      <c r="F44" s="25"/>
      <c r="J44" s="496" t="s">
        <v>740</v>
      </c>
      <c r="K44" s="450">
        <v>96201.19</v>
      </c>
      <c r="L44" s="416" t="s">
        <v>236</v>
      </c>
      <c r="M44" s="331" t="s">
        <v>674</v>
      </c>
      <c r="N44" s="522"/>
      <c r="O44" s="523"/>
    </row>
    <row r="45" spans="1:16" ht="15.75" x14ac:dyDescent="0.25">
      <c r="E45" s="25"/>
      <c r="F45" s="25"/>
      <c r="J45" s="496"/>
      <c r="K45" s="450"/>
      <c r="L45" s="459"/>
      <c r="M45" s="331" t="s">
        <v>674</v>
      </c>
      <c r="N45" s="528"/>
      <c r="O45" s="527"/>
    </row>
    <row r="46" spans="1:16" x14ac:dyDescent="0.25">
      <c r="A46" s="25"/>
      <c r="J46" s="230"/>
      <c r="K46" s="232">
        <v>0</v>
      </c>
      <c r="L46" s="230"/>
      <c r="M46" s="416"/>
      <c r="N46" s="324"/>
      <c r="O46" s="416"/>
    </row>
    <row r="47" spans="1:16" ht="15.75" x14ac:dyDescent="0.25">
      <c r="A47" s="25"/>
      <c r="C47" s="25"/>
      <c r="E47" s="25"/>
      <c r="F47" s="25"/>
      <c r="K47" s="419">
        <f>SUM(K36:K46)</f>
        <v>248120</v>
      </c>
      <c r="L47" s="208"/>
      <c r="M47" s="206"/>
      <c r="N47" s="419">
        <f>SUM(N36:N45)</f>
        <v>248120</v>
      </c>
    </row>
    <row r="48" spans="1:16" x14ac:dyDescent="0.25">
      <c r="A48" s="25"/>
      <c r="C48" s="25"/>
      <c r="E48" s="25"/>
      <c r="F48" s="25"/>
    </row>
    <row r="49" spans="1:8" x14ac:dyDescent="0.25">
      <c r="A49" s="25"/>
      <c r="C49" s="25"/>
      <c r="E49" s="25"/>
      <c r="F49" s="25"/>
      <c r="H49" s="59"/>
    </row>
    <row r="50" spans="1:8" x14ac:dyDescent="0.25">
      <c r="A50" s="25"/>
      <c r="C50" s="25"/>
      <c r="E50" s="25"/>
      <c r="F50" s="25"/>
    </row>
    <row r="51" spans="1:8" x14ac:dyDescent="0.25">
      <c r="A51" s="25"/>
      <c r="C51" s="25"/>
      <c r="E51" s="25"/>
      <c r="F51" s="25"/>
      <c r="G51"/>
    </row>
    <row r="52" spans="1:8" x14ac:dyDescent="0.25">
      <c r="A52" s="25"/>
      <c r="C52" s="25"/>
      <c r="E52" s="25"/>
      <c r="F52" s="25"/>
      <c r="G52"/>
    </row>
  </sheetData>
  <sortState ref="A30:F34">
    <sortCondition ref="B30:B34"/>
  </sortState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57"/>
  <sheetViews>
    <sheetView topLeftCell="A19" workbookViewId="0">
      <selection activeCell="N37" sqref="N37"/>
    </sheetView>
  </sheetViews>
  <sheetFormatPr baseColWidth="10" defaultRowHeight="15" x14ac:dyDescent="0.25"/>
  <cols>
    <col min="1" max="1" width="2.5703125" customWidth="1"/>
    <col min="2" max="2" width="12.42578125" style="38" customWidth="1"/>
    <col min="3" max="3" width="16.42578125" style="44" customWidth="1"/>
    <col min="4" max="4" width="9" style="155" customWidth="1"/>
    <col min="6" max="6" width="17.85546875" style="44" customWidth="1"/>
    <col min="7" max="7" width="2.85546875" customWidth="1"/>
    <col min="9" max="9" width="12.140625" style="44" customWidth="1"/>
    <col min="10" max="10" width="6.42578125" style="44" customWidth="1"/>
    <col min="11" max="11" width="13.7109375" customWidth="1"/>
    <col min="12" max="12" width="11.28515625" customWidth="1"/>
    <col min="13" max="13" width="16.7109375" style="44" customWidth="1"/>
    <col min="14" max="14" width="11.42578125" style="44"/>
  </cols>
  <sheetData>
    <row r="1" spans="1:19" ht="23.25" x14ac:dyDescent="0.35">
      <c r="C1" s="780" t="s">
        <v>754</v>
      </c>
      <c r="D1" s="780"/>
      <c r="E1" s="780"/>
      <c r="F1" s="780"/>
      <c r="G1" s="780"/>
      <c r="H1" s="780"/>
      <c r="I1" s="780"/>
      <c r="J1" s="780"/>
      <c r="K1" s="780"/>
      <c r="L1" s="133" t="s">
        <v>158</v>
      </c>
    </row>
    <row r="2" spans="1:19" ht="15.75" thickBot="1" x14ac:dyDescent="0.3">
      <c r="E2" s="696"/>
      <c r="F2" s="51"/>
    </row>
    <row r="3" spans="1:19" ht="15.75" thickBot="1" x14ac:dyDescent="0.3">
      <c r="C3" s="45" t="s">
        <v>0</v>
      </c>
      <c r="D3" s="3"/>
    </row>
    <row r="4" spans="1:19" ht="20.25" thickTop="1" thickBot="1" x14ac:dyDescent="0.35">
      <c r="A4" s="415" t="s">
        <v>2</v>
      </c>
      <c r="B4" s="414"/>
      <c r="C4" s="97">
        <v>163135.31</v>
      </c>
      <c r="D4" s="156"/>
      <c r="E4" s="797" t="s">
        <v>19</v>
      </c>
      <c r="F4" s="798"/>
      <c r="I4" s="783" t="s">
        <v>4</v>
      </c>
      <c r="J4" s="784"/>
      <c r="K4" s="784"/>
      <c r="L4" s="784"/>
      <c r="M4" s="112" t="s">
        <v>159</v>
      </c>
    </row>
    <row r="5" spans="1:19" ht="15.75" thickTop="1" x14ac:dyDescent="0.25">
      <c r="A5" s="21"/>
      <c r="B5" s="40">
        <v>42278</v>
      </c>
      <c r="C5" s="46">
        <v>0</v>
      </c>
      <c r="D5" s="30"/>
      <c r="E5" s="28">
        <v>42278</v>
      </c>
      <c r="F5" s="52">
        <v>38947.410000000003</v>
      </c>
      <c r="G5" s="25"/>
      <c r="H5" s="26">
        <v>42278</v>
      </c>
      <c r="I5" s="61">
        <v>980.85</v>
      </c>
      <c r="J5" s="80"/>
      <c r="K5" s="122"/>
      <c r="L5" s="123"/>
      <c r="M5" s="151">
        <v>37966.5</v>
      </c>
      <c r="N5" s="336"/>
      <c r="O5" s="25"/>
      <c r="R5" t="s">
        <v>462</v>
      </c>
      <c r="S5">
        <v>1600</v>
      </c>
    </row>
    <row r="6" spans="1:19" x14ac:dyDescent="0.25">
      <c r="A6" s="21"/>
      <c r="B6" s="40">
        <v>42279</v>
      </c>
      <c r="C6" s="46">
        <v>624</v>
      </c>
      <c r="D6" s="70" t="s">
        <v>83</v>
      </c>
      <c r="E6" s="28">
        <v>42279</v>
      </c>
      <c r="F6" s="52">
        <v>61239.34</v>
      </c>
      <c r="G6" s="20"/>
      <c r="H6" s="29">
        <v>42279</v>
      </c>
      <c r="I6" s="62">
        <v>35</v>
      </c>
      <c r="J6" s="81"/>
      <c r="K6" s="73" t="s">
        <v>5</v>
      </c>
      <c r="L6" s="125">
        <v>538</v>
      </c>
      <c r="M6" s="116">
        <v>62549</v>
      </c>
      <c r="N6" s="336"/>
      <c r="O6" s="25"/>
    </row>
    <row r="7" spans="1:19" x14ac:dyDescent="0.25">
      <c r="A7" s="21"/>
      <c r="B7" s="40">
        <v>42280</v>
      </c>
      <c r="C7" s="46">
        <v>282.8</v>
      </c>
      <c r="D7" s="30" t="s">
        <v>411</v>
      </c>
      <c r="E7" s="28">
        <v>42280</v>
      </c>
      <c r="F7" s="52">
        <v>49442.44</v>
      </c>
      <c r="G7" s="25"/>
      <c r="H7" s="29">
        <v>42280</v>
      </c>
      <c r="I7" s="62">
        <v>117.5</v>
      </c>
      <c r="J7" s="81"/>
      <c r="K7" s="693" t="s">
        <v>755</v>
      </c>
      <c r="L7" s="125">
        <v>0</v>
      </c>
      <c r="M7" s="116">
        <v>50964</v>
      </c>
      <c r="N7" s="336"/>
      <c r="O7" s="25"/>
      <c r="R7" t="s">
        <v>464</v>
      </c>
      <c r="S7">
        <v>2500</v>
      </c>
    </row>
    <row r="8" spans="1:19" x14ac:dyDescent="0.25">
      <c r="A8" s="21"/>
      <c r="B8" s="40">
        <v>42281</v>
      </c>
      <c r="C8" s="46">
        <v>578</v>
      </c>
      <c r="D8" s="33" t="s">
        <v>83</v>
      </c>
      <c r="E8" s="28">
        <v>42281</v>
      </c>
      <c r="F8" s="52">
        <v>50243.24</v>
      </c>
      <c r="G8" s="25"/>
      <c r="H8" s="29">
        <v>42281</v>
      </c>
      <c r="I8" s="62">
        <v>140.5</v>
      </c>
      <c r="J8" s="81"/>
      <c r="K8" s="73" t="s">
        <v>6</v>
      </c>
      <c r="L8" s="124">
        <v>28750</v>
      </c>
      <c r="M8" s="700">
        <v>52015.5</v>
      </c>
      <c r="N8" s="450"/>
      <c r="O8" s="25"/>
    </row>
    <row r="9" spans="1:19" x14ac:dyDescent="0.25">
      <c r="A9" s="21"/>
      <c r="B9" s="40">
        <v>42282</v>
      </c>
      <c r="C9" s="46">
        <v>0</v>
      </c>
      <c r="D9" s="96"/>
      <c r="E9" s="28">
        <v>42282</v>
      </c>
      <c r="F9" s="52">
        <v>38267.9</v>
      </c>
      <c r="G9" s="25"/>
      <c r="H9" s="29">
        <v>42282</v>
      </c>
      <c r="I9" s="62">
        <v>0</v>
      </c>
      <c r="J9" s="82"/>
      <c r="K9" s="73" t="s">
        <v>725</v>
      </c>
      <c r="L9" s="125">
        <v>9950</v>
      </c>
      <c r="M9" s="116">
        <v>39268</v>
      </c>
      <c r="N9" s="336"/>
      <c r="O9" s="25"/>
    </row>
    <row r="10" spans="1:19" x14ac:dyDescent="0.25">
      <c r="A10" s="21"/>
      <c r="B10" s="40">
        <v>42283</v>
      </c>
      <c r="C10" s="46">
        <v>927</v>
      </c>
      <c r="D10" s="96" t="s">
        <v>778</v>
      </c>
      <c r="E10" s="28">
        <v>42283</v>
      </c>
      <c r="F10" s="52">
        <v>31864.16</v>
      </c>
      <c r="G10" s="25"/>
      <c r="H10" s="29">
        <v>42283</v>
      </c>
      <c r="I10" s="62">
        <v>0</v>
      </c>
      <c r="J10" s="82"/>
      <c r="K10" s="73" t="s">
        <v>774</v>
      </c>
      <c r="L10" s="52">
        <v>9950</v>
      </c>
      <c r="M10" s="116">
        <v>33216</v>
      </c>
      <c r="N10" s="336"/>
      <c r="O10" s="25"/>
    </row>
    <row r="11" spans="1:19" x14ac:dyDescent="0.25">
      <c r="A11" s="21"/>
      <c r="B11" s="40">
        <v>42284</v>
      </c>
      <c r="C11" s="46">
        <v>0</v>
      </c>
      <c r="D11" s="96"/>
      <c r="E11" s="28">
        <v>42284</v>
      </c>
      <c r="F11" s="52">
        <v>37809.75</v>
      </c>
      <c r="G11" s="25"/>
      <c r="H11" s="29">
        <v>42284</v>
      </c>
      <c r="I11" s="62">
        <v>0</v>
      </c>
      <c r="J11" s="82"/>
      <c r="K11" s="73" t="s">
        <v>775</v>
      </c>
      <c r="L11" s="52">
        <f>5850+1600+2500</f>
        <v>9950</v>
      </c>
      <c r="M11" s="116">
        <v>35810</v>
      </c>
      <c r="N11" s="336"/>
      <c r="O11" s="25"/>
    </row>
    <row r="12" spans="1:19" x14ac:dyDescent="0.25">
      <c r="A12" s="21"/>
      <c r="B12" s="40">
        <v>42285</v>
      </c>
      <c r="C12" s="46">
        <v>30</v>
      </c>
      <c r="D12" s="30" t="s">
        <v>779</v>
      </c>
      <c r="E12" s="28">
        <v>42285</v>
      </c>
      <c r="F12" s="52">
        <v>40407.33</v>
      </c>
      <c r="G12" s="25"/>
      <c r="H12" s="29">
        <v>42285</v>
      </c>
      <c r="I12" s="62">
        <v>250</v>
      </c>
      <c r="J12" s="82"/>
      <c r="K12" s="73" t="s">
        <v>776</v>
      </c>
      <c r="L12" s="52">
        <f>6050+1600+2500</f>
        <v>10150</v>
      </c>
      <c r="M12" s="116">
        <v>40127</v>
      </c>
      <c r="N12" s="336"/>
      <c r="O12" s="25"/>
    </row>
    <row r="13" spans="1:19" x14ac:dyDescent="0.25">
      <c r="A13" s="21"/>
      <c r="B13" s="40">
        <v>42286</v>
      </c>
      <c r="C13" s="46">
        <v>768</v>
      </c>
      <c r="D13" s="96" t="s">
        <v>780</v>
      </c>
      <c r="E13" s="28">
        <v>42286</v>
      </c>
      <c r="F13" s="52">
        <v>63670.94</v>
      </c>
      <c r="G13" s="25"/>
      <c r="H13" s="29">
        <v>42286</v>
      </c>
      <c r="I13" s="62">
        <v>0</v>
      </c>
      <c r="J13" s="82"/>
      <c r="K13" s="704" t="s">
        <v>640</v>
      </c>
      <c r="L13" s="52">
        <v>2000</v>
      </c>
      <c r="M13" s="116">
        <v>62903</v>
      </c>
      <c r="N13" s="450"/>
      <c r="O13" s="25"/>
    </row>
    <row r="14" spans="1:19" x14ac:dyDescent="0.25">
      <c r="A14" s="21"/>
      <c r="B14" s="40">
        <v>42287</v>
      </c>
      <c r="C14" s="46">
        <v>763</v>
      </c>
      <c r="D14" s="30" t="s">
        <v>781</v>
      </c>
      <c r="E14" s="28">
        <v>42287</v>
      </c>
      <c r="F14" s="52">
        <v>56497.99</v>
      </c>
      <c r="G14" s="25"/>
      <c r="H14" s="29">
        <v>42287</v>
      </c>
      <c r="I14" s="62">
        <v>110</v>
      </c>
      <c r="J14" s="82"/>
      <c r="K14" s="705" t="s">
        <v>777</v>
      </c>
      <c r="L14" s="52">
        <v>0</v>
      </c>
      <c r="M14" s="116">
        <v>57030</v>
      </c>
      <c r="N14" s="450"/>
      <c r="O14" s="25"/>
    </row>
    <row r="15" spans="1:19" x14ac:dyDescent="0.25">
      <c r="A15" s="21"/>
      <c r="B15" s="40">
        <v>42288</v>
      </c>
      <c r="C15" s="46">
        <v>442</v>
      </c>
      <c r="D15" s="30" t="s">
        <v>83</v>
      </c>
      <c r="E15" s="28">
        <v>42288</v>
      </c>
      <c r="F15" s="52">
        <v>48665.57</v>
      </c>
      <c r="G15" s="25"/>
      <c r="H15" s="29">
        <v>42288</v>
      </c>
      <c r="I15" s="62">
        <v>633.38</v>
      </c>
      <c r="J15" s="82"/>
      <c r="K15" s="73" t="s">
        <v>57</v>
      </c>
      <c r="L15" s="52">
        <v>0</v>
      </c>
      <c r="M15" s="116">
        <v>41740</v>
      </c>
      <c r="N15" s="336"/>
      <c r="O15" s="25"/>
    </row>
    <row r="16" spans="1:19" x14ac:dyDescent="0.25">
      <c r="A16" s="21"/>
      <c r="B16" s="40">
        <v>42289</v>
      </c>
      <c r="C16" s="46">
        <v>0</v>
      </c>
      <c r="D16" s="96"/>
      <c r="E16" s="28">
        <v>42289</v>
      </c>
      <c r="F16" s="52">
        <v>30650.76</v>
      </c>
      <c r="G16" s="25"/>
      <c r="H16" s="29">
        <v>42289</v>
      </c>
      <c r="I16" s="62">
        <v>0</v>
      </c>
      <c r="J16" s="82"/>
      <c r="K16" s="192" t="s">
        <v>61</v>
      </c>
      <c r="L16" s="490">
        <v>0</v>
      </c>
      <c r="M16" s="116">
        <v>30113</v>
      </c>
      <c r="N16" s="336"/>
      <c r="O16" s="25"/>
    </row>
    <row r="17" spans="1:17" x14ac:dyDescent="0.25">
      <c r="A17" s="21"/>
      <c r="B17" s="40">
        <v>42290</v>
      </c>
      <c r="C17" s="46">
        <v>0</v>
      </c>
      <c r="D17" s="30"/>
      <c r="E17" s="28">
        <v>42290</v>
      </c>
      <c r="F17" s="52">
        <v>38115.839999999997</v>
      </c>
      <c r="G17" s="25"/>
      <c r="H17" s="29">
        <v>42290</v>
      </c>
      <c r="I17" s="62">
        <v>484.5</v>
      </c>
      <c r="J17" s="82"/>
      <c r="K17" s="73" t="s">
        <v>815</v>
      </c>
      <c r="L17" s="52">
        <v>840</v>
      </c>
      <c r="M17" s="116">
        <v>33401</v>
      </c>
      <c r="N17" s="336"/>
      <c r="O17" s="25"/>
    </row>
    <row r="18" spans="1:17" x14ac:dyDescent="0.25">
      <c r="A18" s="21"/>
      <c r="B18" s="40">
        <v>42291</v>
      </c>
      <c r="C18" s="46">
        <v>0</v>
      </c>
      <c r="D18" s="30"/>
      <c r="E18" s="28">
        <v>42291</v>
      </c>
      <c r="F18" s="52">
        <v>35915.32</v>
      </c>
      <c r="G18" s="25"/>
      <c r="H18" s="29">
        <v>42291</v>
      </c>
      <c r="I18" s="62">
        <v>688.5</v>
      </c>
      <c r="J18" s="82"/>
      <c r="K18" s="192" t="s">
        <v>818</v>
      </c>
      <c r="L18" s="52">
        <v>1500</v>
      </c>
      <c r="M18" s="116">
        <v>35227</v>
      </c>
      <c r="N18" s="450"/>
      <c r="O18" s="614"/>
      <c r="P18" s="25"/>
    </row>
    <row r="19" spans="1:17" x14ac:dyDescent="0.25">
      <c r="A19" s="21"/>
      <c r="B19" s="40">
        <v>42292</v>
      </c>
      <c r="C19" s="46">
        <v>0</v>
      </c>
      <c r="D19" s="96"/>
      <c r="E19" s="28">
        <v>42292</v>
      </c>
      <c r="F19" s="52">
        <v>44171.23</v>
      </c>
      <c r="G19" s="25"/>
      <c r="H19" s="29">
        <v>42292</v>
      </c>
      <c r="I19" s="62">
        <v>0</v>
      </c>
      <c r="J19" s="82"/>
      <c r="K19" s="286" t="s">
        <v>109</v>
      </c>
      <c r="L19" s="538">
        <v>0</v>
      </c>
      <c r="M19" s="116">
        <v>43371</v>
      </c>
      <c r="N19" s="450"/>
      <c r="O19" s="25"/>
      <c r="P19" s="25"/>
    </row>
    <row r="20" spans="1:17" x14ac:dyDescent="0.25">
      <c r="A20" s="21"/>
      <c r="B20" s="40">
        <v>42293</v>
      </c>
      <c r="C20" s="46">
        <v>450</v>
      </c>
      <c r="D20" s="70" t="s">
        <v>22</v>
      </c>
      <c r="E20" s="28">
        <v>42293</v>
      </c>
      <c r="F20" s="52">
        <v>86060</v>
      </c>
      <c r="G20" s="25"/>
      <c r="H20" s="29">
        <v>42293</v>
      </c>
      <c r="I20" s="63">
        <v>0</v>
      </c>
      <c r="J20" s="82"/>
      <c r="K20" s="486" t="s">
        <v>111</v>
      </c>
      <c r="L20" s="490">
        <v>0</v>
      </c>
      <c r="M20" s="116">
        <v>84110</v>
      </c>
      <c r="N20" s="336"/>
      <c r="O20" s="25"/>
    </row>
    <row r="21" spans="1:17" x14ac:dyDescent="0.25">
      <c r="A21" s="21"/>
      <c r="B21" s="40">
        <v>42294</v>
      </c>
      <c r="C21" s="46">
        <v>530</v>
      </c>
      <c r="D21" s="30" t="s">
        <v>83</v>
      </c>
      <c r="E21" s="28">
        <v>42294</v>
      </c>
      <c r="F21" s="52">
        <v>60520.34</v>
      </c>
      <c r="G21" s="25"/>
      <c r="H21" s="29">
        <v>42294</v>
      </c>
      <c r="I21" s="63">
        <v>20</v>
      </c>
      <c r="J21" s="82"/>
      <c r="K21" s="714" t="s">
        <v>816</v>
      </c>
      <c r="L21" s="490">
        <v>250</v>
      </c>
      <c r="M21" s="116">
        <v>59970</v>
      </c>
      <c r="N21" s="336"/>
      <c r="O21" s="25"/>
    </row>
    <row r="22" spans="1:17" x14ac:dyDescent="0.25">
      <c r="A22" s="21"/>
      <c r="B22" s="40">
        <v>42295</v>
      </c>
      <c r="C22" s="46">
        <v>500</v>
      </c>
      <c r="D22" s="96" t="s">
        <v>22</v>
      </c>
      <c r="E22" s="28">
        <v>42295</v>
      </c>
      <c r="F22" s="52">
        <v>59780.85</v>
      </c>
      <c r="G22" s="25"/>
      <c r="H22" s="29">
        <v>42295</v>
      </c>
      <c r="I22" s="63">
        <v>27</v>
      </c>
      <c r="J22" s="149"/>
      <c r="K22" s="491" t="s">
        <v>817</v>
      </c>
      <c r="L22" s="490">
        <v>800</v>
      </c>
      <c r="M22" s="116">
        <v>53405</v>
      </c>
      <c r="N22" s="336"/>
      <c r="O22" s="25"/>
    </row>
    <row r="23" spans="1:17" x14ac:dyDescent="0.25">
      <c r="A23" s="21"/>
      <c r="B23" s="40">
        <v>42296</v>
      </c>
      <c r="C23" s="46">
        <v>0</v>
      </c>
      <c r="D23" s="96"/>
      <c r="E23" s="28">
        <v>42296</v>
      </c>
      <c r="F23" s="52">
        <v>53905.57</v>
      </c>
      <c r="G23" s="25"/>
      <c r="H23" s="29">
        <v>42296</v>
      </c>
      <c r="I23" s="63">
        <v>110</v>
      </c>
      <c r="J23" s="81"/>
      <c r="K23" s="674" t="s">
        <v>813</v>
      </c>
      <c r="L23" s="490">
        <v>4600</v>
      </c>
      <c r="M23" s="700">
        <v>53795.5</v>
      </c>
      <c r="N23" s="336"/>
      <c r="O23" s="25"/>
      <c r="P23" s="25"/>
    </row>
    <row r="24" spans="1:17" x14ac:dyDescent="0.25">
      <c r="A24" s="21"/>
      <c r="B24" s="40">
        <v>42297</v>
      </c>
      <c r="C24" s="46">
        <v>525</v>
      </c>
      <c r="D24" s="96" t="s">
        <v>22</v>
      </c>
      <c r="E24" s="28">
        <v>42297</v>
      </c>
      <c r="F24" s="52">
        <v>25456.76</v>
      </c>
      <c r="G24" s="25"/>
      <c r="H24" s="29">
        <v>42297</v>
      </c>
      <c r="I24" s="63">
        <v>35</v>
      </c>
      <c r="J24" s="82"/>
      <c r="K24" s="706" t="s">
        <v>812</v>
      </c>
      <c r="L24" s="490">
        <v>700</v>
      </c>
      <c r="M24" s="700">
        <v>24896.76</v>
      </c>
      <c r="N24" s="741">
        <v>5</v>
      </c>
      <c r="O24" s="25"/>
      <c r="P24" s="25"/>
    </row>
    <row r="25" spans="1:17" x14ac:dyDescent="0.25">
      <c r="A25" s="21"/>
      <c r="B25" s="40">
        <v>42298</v>
      </c>
      <c r="C25" s="46">
        <v>0</v>
      </c>
      <c r="D25" s="30"/>
      <c r="E25" s="28">
        <v>42298</v>
      </c>
      <c r="F25" s="52">
        <v>27776.42</v>
      </c>
      <c r="G25" s="25"/>
      <c r="H25" s="29">
        <v>42298</v>
      </c>
      <c r="I25" s="63">
        <v>80</v>
      </c>
      <c r="J25" s="81"/>
      <c r="K25" s="706" t="s">
        <v>811</v>
      </c>
      <c r="L25" s="490">
        <v>2000</v>
      </c>
      <c r="M25" s="116">
        <v>27696.5</v>
      </c>
      <c r="N25" s="450"/>
      <c r="O25" s="25"/>
      <c r="P25" s="25"/>
    </row>
    <row r="26" spans="1:17" x14ac:dyDescent="0.25">
      <c r="A26" s="21"/>
      <c r="B26" s="40">
        <v>42299</v>
      </c>
      <c r="C26" s="46">
        <v>0</v>
      </c>
      <c r="D26" s="30"/>
      <c r="E26" s="28">
        <v>42299</v>
      </c>
      <c r="F26" s="52">
        <v>54725.59</v>
      </c>
      <c r="G26" s="25"/>
      <c r="H26" s="29">
        <v>42299</v>
      </c>
      <c r="I26" s="63">
        <v>312</v>
      </c>
      <c r="J26" s="98"/>
      <c r="K26" s="674" t="s">
        <v>814</v>
      </c>
      <c r="L26" s="490">
        <v>3140</v>
      </c>
      <c r="M26" s="116">
        <v>54413.5</v>
      </c>
      <c r="N26" s="450"/>
      <c r="O26" s="614"/>
      <c r="P26" s="555"/>
    </row>
    <row r="27" spans="1:17" x14ac:dyDescent="0.25">
      <c r="A27" s="21"/>
      <c r="B27" s="40">
        <v>42300</v>
      </c>
      <c r="C27" s="46">
        <v>0</v>
      </c>
      <c r="D27" s="30"/>
      <c r="E27" s="28">
        <v>42300</v>
      </c>
      <c r="F27" s="52">
        <v>65803.929999999993</v>
      </c>
      <c r="G27" s="25"/>
      <c r="H27" s="29">
        <v>42300</v>
      </c>
      <c r="I27" s="63">
        <v>589.30999999999995</v>
      </c>
      <c r="J27" s="81"/>
      <c r="K27" s="706" t="s">
        <v>842</v>
      </c>
      <c r="L27" s="490">
        <v>4000</v>
      </c>
      <c r="M27" s="116">
        <f>61215+600+300</f>
        <v>62115</v>
      </c>
      <c r="N27" s="450"/>
      <c r="O27" s="25"/>
      <c r="P27" s="25"/>
    </row>
    <row r="28" spans="1:17" x14ac:dyDescent="0.25">
      <c r="A28" s="21"/>
      <c r="B28" s="40">
        <v>42301</v>
      </c>
      <c r="C28" s="46">
        <v>1081</v>
      </c>
      <c r="D28" s="30" t="s">
        <v>726</v>
      </c>
      <c r="E28" s="28">
        <v>42301</v>
      </c>
      <c r="F28" s="52">
        <v>67123.83</v>
      </c>
      <c r="G28" s="25"/>
      <c r="H28" s="29">
        <v>42301</v>
      </c>
      <c r="I28" s="63">
        <v>1280</v>
      </c>
      <c r="J28" s="81"/>
      <c r="K28" s="131"/>
      <c r="L28" s="490">
        <v>0</v>
      </c>
      <c r="M28" s="116">
        <v>65763</v>
      </c>
      <c r="N28" s="336"/>
      <c r="O28" s="25"/>
      <c r="P28" s="25"/>
    </row>
    <row r="29" spans="1:17" x14ac:dyDescent="0.25">
      <c r="A29" s="21"/>
      <c r="B29" s="40">
        <v>42302</v>
      </c>
      <c r="C29" s="46">
        <v>0</v>
      </c>
      <c r="D29" s="30"/>
      <c r="E29" s="28">
        <v>42302</v>
      </c>
      <c r="F29" s="52">
        <v>63981.65</v>
      </c>
      <c r="G29" s="25"/>
      <c r="H29" s="29">
        <v>42302</v>
      </c>
      <c r="I29" s="63">
        <v>30</v>
      </c>
      <c r="J29" s="81"/>
      <c r="K29" s="132" t="s">
        <v>843</v>
      </c>
      <c r="L29" s="539">
        <v>3000</v>
      </c>
      <c r="M29" s="658">
        <v>54502</v>
      </c>
      <c r="N29" s="565">
        <v>400</v>
      </c>
      <c r="O29" s="692" t="s">
        <v>845</v>
      </c>
      <c r="P29" s="25"/>
    </row>
    <row r="30" spans="1:17" x14ac:dyDescent="0.25">
      <c r="A30" s="21"/>
      <c r="B30" s="40">
        <v>42303</v>
      </c>
      <c r="C30" s="46">
        <v>582</v>
      </c>
      <c r="D30" s="30" t="s">
        <v>844</v>
      </c>
      <c r="E30" s="28">
        <v>42303</v>
      </c>
      <c r="F30" s="52">
        <v>76768.19</v>
      </c>
      <c r="G30" s="25"/>
      <c r="H30" s="29">
        <v>42303</v>
      </c>
      <c r="I30" s="63">
        <v>0</v>
      </c>
      <c r="J30" s="98"/>
      <c r="K30" s="131"/>
      <c r="L30" s="539">
        <v>0</v>
      </c>
      <c r="M30" s="658">
        <f>42653+33533.05</f>
        <v>76186.05</v>
      </c>
      <c r="N30" s="336"/>
      <c r="O30" s="25"/>
      <c r="P30" s="25"/>
    </row>
    <row r="31" spans="1:17" x14ac:dyDescent="0.25">
      <c r="A31" s="21"/>
      <c r="B31" s="40">
        <v>42304</v>
      </c>
      <c r="C31" s="46">
        <v>589</v>
      </c>
      <c r="D31" s="30" t="s">
        <v>22</v>
      </c>
      <c r="E31" s="28">
        <v>42304</v>
      </c>
      <c r="F31" s="52">
        <v>27733.83</v>
      </c>
      <c r="G31" s="25"/>
      <c r="H31" s="29">
        <v>42304</v>
      </c>
      <c r="I31" s="63">
        <v>240</v>
      </c>
      <c r="J31" s="82"/>
      <c r="K31" s="552"/>
      <c r="L31" s="659">
        <v>0</v>
      </c>
      <c r="M31" s="658">
        <v>26905</v>
      </c>
      <c r="N31" s="450"/>
      <c r="O31" s="25"/>
      <c r="P31" s="25"/>
      <c r="Q31" s="25"/>
    </row>
    <row r="32" spans="1:17" x14ac:dyDescent="0.25">
      <c r="A32" s="21"/>
      <c r="B32" s="40">
        <v>42305</v>
      </c>
      <c r="C32" s="46">
        <v>0</v>
      </c>
      <c r="D32" s="30"/>
      <c r="E32" s="28">
        <v>42305</v>
      </c>
      <c r="F32" s="52">
        <v>37338.639999999999</v>
      </c>
      <c r="G32" s="25"/>
      <c r="H32" s="29">
        <v>42305</v>
      </c>
      <c r="I32" s="63">
        <v>0</v>
      </c>
      <c r="J32" s="81"/>
      <c r="K32" s="489"/>
      <c r="L32" s="659"/>
      <c r="M32" s="658">
        <v>37338.5</v>
      </c>
      <c r="N32" s="336"/>
      <c r="O32" s="25"/>
    </row>
    <row r="33" spans="1:17" x14ac:dyDescent="0.25">
      <c r="A33" s="21"/>
      <c r="B33" s="40">
        <v>42306</v>
      </c>
      <c r="C33" s="46">
        <v>605</v>
      </c>
      <c r="D33" s="96" t="s">
        <v>83</v>
      </c>
      <c r="E33" s="28">
        <v>42306</v>
      </c>
      <c r="F33" s="52">
        <v>36473.800000000003</v>
      </c>
      <c r="G33" s="25"/>
      <c r="H33" s="29">
        <v>42306</v>
      </c>
      <c r="I33" s="63">
        <v>300</v>
      </c>
      <c r="J33" s="81"/>
      <c r="K33" s="738"/>
      <c r="L33" s="825">
        <v>0</v>
      </c>
      <c r="M33" s="658">
        <v>35569</v>
      </c>
      <c r="N33" s="450"/>
      <c r="O33" s="25"/>
    </row>
    <row r="34" spans="1:17" x14ac:dyDescent="0.25">
      <c r="A34" s="21"/>
      <c r="B34" s="40">
        <v>42307</v>
      </c>
      <c r="C34" s="46">
        <v>282</v>
      </c>
      <c r="D34" s="30" t="s">
        <v>411</v>
      </c>
      <c r="E34" s="28">
        <v>42307</v>
      </c>
      <c r="F34" s="52">
        <v>82409.72</v>
      </c>
      <c r="G34" s="25"/>
      <c r="H34" s="29">
        <v>42307</v>
      </c>
      <c r="I34" s="63">
        <v>1223</v>
      </c>
      <c r="J34" s="81"/>
      <c r="K34" s="738"/>
      <c r="L34" s="825"/>
      <c r="M34" s="658">
        <v>80905</v>
      </c>
      <c r="N34" s="450"/>
      <c r="O34" s="25"/>
    </row>
    <row r="35" spans="1:17" ht="15.75" thickBot="1" x14ac:dyDescent="0.3">
      <c r="A35" s="21"/>
      <c r="B35" s="40">
        <v>42308</v>
      </c>
      <c r="C35" s="46">
        <v>220</v>
      </c>
      <c r="D35" s="96" t="s">
        <v>44</v>
      </c>
      <c r="E35" s="28">
        <v>42308</v>
      </c>
      <c r="F35" s="52">
        <v>93052.75</v>
      </c>
      <c r="G35" s="25"/>
      <c r="H35" s="29">
        <v>42308</v>
      </c>
      <c r="I35" s="63">
        <v>20</v>
      </c>
      <c r="J35" s="81"/>
      <c r="K35" s="488"/>
      <c r="L35" s="68">
        <v>0</v>
      </c>
      <c r="M35" s="658">
        <v>92813</v>
      </c>
    </row>
    <row r="36" spans="1:17" ht="15.75" thickBot="1" x14ac:dyDescent="0.3">
      <c r="A36" s="15"/>
      <c r="B36" s="145"/>
      <c r="C36" s="146">
        <v>0</v>
      </c>
      <c r="D36" s="156"/>
      <c r="E36" s="28"/>
      <c r="F36" s="52">
        <v>0</v>
      </c>
      <c r="G36" s="25"/>
      <c r="H36" s="147"/>
      <c r="I36" s="148">
        <v>0</v>
      </c>
      <c r="J36" s="56"/>
      <c r="K36" s="11"/>
      <c r="L36" s="7"/>
      <c r="M36" s="739">
        <v>0</v>
      </c>
      <c r="P36" s="612"/>
      <c r="Q36" s="612"/>
    </row>
    <row r="37" spans="1:17" ht="16.5" thickBot="1" x14ac:dyDescent="0.3">
      <c r="A37" s="99"/>
      <c r="B37" s="42"/>
      <c r="C37" s="48">
        <v>0</v>
      </c>
      <c r="D37" s="156"/>
      <c r="E37" s="9"/>
      <c r="F37" s="54">
        <v>0</v>
      </c>
      <c r="H37" s="32"/>
      <c r="I37" s="65">
        <v>0</v>
      </c>
      <c r="J37" s="56"/>
      <c r="K37" s="17"/>
      <c r="L37" s="10"/>
      <c r="M37" s="698">
        <f>SUM(M5:M36)</f>
        <v>1546084.81</v>
      </c>
    </row>
    <row r="38" spans="1:17" x14ac:dyDescent="0.25">
      <c r="B38" s="43" t="s">
        <v>1</v>
      </c>
      <c r="C38" s="49">
        <f>SUM(C5:C37)</f>
        <v>9778.7999999999993</v>
      </c>
      <c r="E38" s="694" t="s">
        <v>1</v>
      </c>
      <c r="F38" s="55">
        <f>SUM(F5:F37)</f>
        <v>1584821.0899999996</v>
      </c>
      <c r="H38" s="696" t="s">
        <v>1</v>
      </c>
      <c r="I38" s="59">
        <f>SUM(I5:I37)</f>
        <v>7706.54</v>
      </c>
      <c r="J38" s="59"/>
      <c r="K38" s="18" t="s">
        <v>1</v>
      </c>
      <c r="L38" s="4">
        <f>SUM(L5:L37)</f>
        <v>92118</v>
      </c>
    </row>
    <row r="40" spans="1:17" ht="15.75" x14ac:dyDescent="0.25">
      <c r="A40" s="5"/>
      <c r="B40" s="280"/>
      <c r="C40" s="81"/>
      <c r="D40" s="157"/>
      <c r="E40" s="13"/>
      <c r="F40" s="56"/>
      <c r="H40" s="785" t="s">
        <v>11</v>
      </c>
      <c r="I40" s="786"/>
      <c r="J40" s="695"/>
      <c r="K40" s="787">
        <f>I38+L38</f>
        <v>99824.54</v>
      </c>
      <c r="L40" s="788"/>
    </row>
    <row r="41" spans="1:17" ht="15.75" x14ac:dyDescent="0.25">
      <c r="B41" s="281"/>
      <c r="C41" s="56"/>
      <c r="D41" s="779" t="s">
        <v>12</v>
      </c>
      <c r="E41" s="779"/>
      <c r="F41" s="57">
        <f>F38-K40</f>
        <v>1484996.5499999996</v>
      </c>
      <c r="I41" s="66"/>
      <c r="J41" s="66"/>
    </row>
    <row r="42" spans="1:17" ht="15.75" x14ac:dyDescent="0.25">
      <c r="D42" s="805" t="s">
        <v>246</v>
      </c>
      <c r="E42" s="805"/>
      <c r="F42" s="57">
        <v>-1509397.45</v>
      </c>
      <c r="I42" s="66"/>
      <c r="J42" s="66" t="s">
        <v>17</v>
      </c>
    </row>
    <row r="43" spans="1:17" ht="15.75" thickBot="1" x14ac:dyDescent="0.3">
      <c r="D43" s="159"/>
      <c r="E43" s="120" t="s">
        <v>0</v>
      </c>
      <c r="F43" s="121">
        <f>-C38</f>
        <v>-9778.7999999999993</v>
      </c>
    </row>
    <row r="44" spans="1:17" ht="15.75" thickTop="1" x14ac:dyDescent="0.25">
      <c r="C44" s="44" t="s">
        <v>17</v>
      </c>
      <c r="E44" s="5" t="s">
        <v>15</v>
      </c>
      <c r="F44" s="59">
        <f>SUM(F41:F43)</f>
        <v>-34179.700000000375</v>
      </c>
      <c r="I44" s="813" t="s">
        <v>248</v>
      </c>
      <c r="J44" s="814"/>
      <c r="K44" s="803">
        <f>F48+L46</f>
        <v>177173.71999999962</v>
      </c>
      <c r="L44" s="795"/>
    </row>
    <row r="45" spans="1:17" ht="16.5" thickBot="1" x14ac:dyDescent="0.3">
      <c r="D45" s="740" t="s">
        <v>253</v>
      </c>
      <c r="E45" s="212" t="s">
        <v>247</v>
      </c>
      <c r="F45" s="59">
        <v>42378.33</v>
      </c>
      <c r="I45" s="815"/>
      <c r="J45" s="816"/>
      <c r="K45" s="804"/>
      <c r="L45" s="796"/>
    </row>
    <row r="46" spans="1:17" ht="17.25" thickTop="1" thickBot="1" x14ac:dyDescent="0.3">
      <c r="C46" s="55"/>
      <c r="D46" s="778" t="s">
        <v>13</v>
      </c>
      <c r="E46" s="778"/>
      <c r="F46" s="60">
        <v>168975.09</v>
      </c>
      <c r="I46" s="790"/>
      <c r="J46" s="790"/>
      <c r="K46" s="812"/>
      <c r="L46" s="34"/>
    </row>
    <row r="47" spans="1:17" ht="19.5" thickBot="1" x14ac:dyDescent="0.35">
      <c r="C47" s="55"/>
      <c r="D47" s="694"/>
      <c r="E47" s="694"/>
      <c r="F47" s="139"/>
      <c r="H47" s="19"/>
      <c r="I47" s="697" t="s">
        <v>254</v>
      </c>
      <c r="J47" s="697"/>
      <c r="K47" s="806">
        <v>-163135.31</v>
      </c>
      <c r="L47" s="807"/>
    </row>
    <row r="48" spans="1:17" ht="17.25" thickTop="1" thickBot="1" x14ac:dyDescent="0.3">
      <c r="E48" s="6" t="s">
        <v>16</v>
      </c>
      <c r="F48" s="264">
        <f>F44+F45+F46</f>
        <v>177173.71999999962</v>
      </c>
    </row>
    <row r="49" spans="2:14" ht="19.5" thickBot="1" x14ac:dyDescent="0.35">
      <c r="B49"/>
      <c r="C49"/>
      <c r="D49" s="777"/>
      <c r="E49" s="777"/>
      <c r="F49" s="56"/>
      <c r="I49" s="810" t="s">
        <v>249</v>
      </c>
      <c r="J49" s="811"/>
      <c r="K49" s="808">
        <f>K44+K47</f>
        <v>14038.409999999625</v>
      </c>
      <c r="L49" s="809"/>
      <c r="M49" s="113"/>
      <c r="N49"/>
    </row>
    <row r="50" spans="2:14" x14ac:dyDescent="0.25">
      <c r="B50"/>
      <c r="C50"/>
      <c r="M50" s="113"/>
      <c r="N50"/>
    </row>
    <row r="51" spans="2:14" x14ac:dyDescent="0.25">
      <c r="B51"/>
      <c r="C51"/>
      <c r="N51"/>
    </row>
    <row r="52" spans="2:14" x14ac:dyDescent="0.25">
      <c r="B52"/>
      <c r="C52"/>
      <c r="F52"/>
      <c r="I52"/>
      <c r="J52"/>
      <c r="M52"/>
      <c r="N52"/>
    </row>
    <row r="53" spans="2:14" x14ac:dyDescent="0.25">
      <c r="B53"/>
      <c r="C53"/>
      <c r="N53"/>
    </row>
    <row r="54" spans="2:14" x14ac:dyDescent="0.25">
      <c r="M54" s="56"/>
      <c r="N54"/>
    </row>
    <row r="55" spans="2:14" x14ac:dyDescent="0.25">
      <c r="M55" s="56"/>
      <c r="N55"/>
    </row>
    <row r="56" spans="2:14" x14ac:dyDescent="0.25">
      <c r="M56" s="56"/>
      <c r="N56"/>
    </row>
    <row r="57" spans="2:14" x14ac:dyDescent="0.25">
      <c r="M57" s="56"/>
      <c r="N57"/>
    </row>
  </sheetData>
  <mergeCells count="16">
    <mergeCell ref="H40:I40"/>
    <mergeCell ref="K40:L40"/>
    <mergeCell ref="C1:K1"/>
    <mergeCell ref="E4:F4"/>
    <mergeCell ref="I4:L4"/>
    <mergeCell ref="L33:L34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31496062992125984" right="0.11811023622047245" top="0.35433070866141736" bottom="0.15748031496062992" header="0.31496062992125984" footer="0.31496062992125984"/>
  <pageSetup scale="75" orientation="landscape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W56"/>
  <sheetViews>
    <sheetView topLeftCell="A18" workbookViewId="0">
      <selection activeCell="F34" sqref="F34"/>
    </sheetView>
  </sheetViews>
  <sheetFormatPr baseColWidth="10" defaultRowHeight="15" x14ac:dyDescent="0.25"/>
  <cols>
    <col min="1" max="1" width="12.5703125" style="614" bestFit="1" customWidth="1"/>
    <col min="2" max="2" width="12.85546875" style="25" bestFit="1" customWidth="1"/>
    <col min="3" max="3" width="15.85546875" style="336" bestFit="1" customWidth="1"/>
    <col min="4" max="4" width="12.42578125" style="25" bestFit="1" customWidth="1"/>
    <col min="5" max="5" width="15.140625" style="336" bestFit="1" customWidth="1"/>
    <col min="6" max="6" width="18.5703125" style="336" bestFit="1" customWidth="1"/>
    <col min="7" max="7" width="11.42578125" style="25"/>
    <col min="8" max="8" width="12.5703125" bestFit="1" customWidth="1"/>
    <col min="10" max="10" width="15.5703125" customWidth="1"/>
    <col min="13" max="13" width="20.140625" bestFit="1" customWidth="1"/>
    <col min="18" max="18" width="17.42578125" customWidth="1"/>
    <col min="21" max="21" width="20.140625" bestFit="1" customWidth="1"/>
  </cols>
  <sheetData>
    <row r="1" spans="1:23" ht="19.5" thickBot="1" x14ac:dyDescent="0.35">
      <c r="B1" s="621" t="s">
        <v>756</v>
      </c>
      <c r="C1" s="622"/>
      <c r="D1" s="584"/>
      <c r="E1" s="622"/>
      <c r="J1" s="474" t="s">
        <v>205</v>
      </c>
      <c r="K1" s="204"/>
      <c r="L1" s="699"/>
      <c r="M1" s="425">
        <v>42280</v>
      </c>
      <c r="N1" s="276"/>
      <c r="R1" s="474" t="s">
        <v>205</v>
      </c>
      <c r="S1" s="204"/>
      <c r="T1" s="715"/>
      <c r="U1" s="716">
        <v>42300</v>
      </c>
      <c r="V1" s="276"/>
    </row>
    <row r="2" spans="1:23" ht="16.5" thickBot="1" x14ac:dyDescent="0.3">
      <c r="A2" s="615"/>
      <c r="B2" s="616"/>
      <c r="C2" s="513"/>
      <c r="D2" s="616"/>
      <c r="E2" s="513"/>
      <c r="F2" s="513"/>
      <c r="I2" s="205"/>
      <c r="J2" s="419"/>
      <c r="K2" s="205"/>
      <c r="L2" s="206"/>
      <c r="M2" s="419"/>
      <c r="N2" s="519"/>
      <c r="Q2" s="205"/>
      <c r="R2" s="419"/>
      <c r="S2" s="205"/>
      <c r="T2" s="206"/>
      <c r="U2" s="419"/>
      <c r="V2" s="519"/>
    </row>
    <row r="3" spans="1:23" ht="15.75" x14ac:dyDescent="0.25">
      <c r="A3" s="411">
        <v>42279</v>
      </c>
      <c r="B3" s="412" t="s">
        <v>757</v>
      </c>
      <c r="C3" s="450">
        <v>33737.660000000003</v>
      </c>
      <c r="D3" s="703" t="s">
        <v>773</v>
      </c>
      <c r="E3" s="450">
        <f>31141.19+2596.47</f>
        <v>33737.659999999996</v>
      </c>
      <c r="F3" s="413">
        <f t="shared" ref="F3:F40" si="0">C3-E3</f>
        <v>0</v>
      </c>
      <c r="I3" s="212" t="s">
        <v>202</v>
      </c>
      <c r="J3" s="419" t="s">
        <v>195</v>
      </c>
      <c r="K3" s="205"/>
      <c r="L3" s="206" t="s">
        <v>203</v>
      </c>
      <c r="M3" s="419" t="s">
        <v>204</v>
      </c>
      <c r="N3" s="519"/>
      <c r="Q3" s="212" t="s">
        <v>202</v>
      </c>
      <c r="R3" s="419" t="s">
        <v>195</v>
      </c>
      <c r="S3" s="205"/>
      <c r="T3" s="206" t="s">
        <v>203</v>
      </c>
      <c r="U3" s="419" t="s">
        <v>204</v>
      </c>
      <c r="V3" s="519"/>
    </row>
    <row r="4" spans="1:23" ht="15.75" x14ac:dyDescent="0.25">
      <c r="A4" s="249">
        <v>42280</v>
      </c>
      <c r="B4" s="483" t="s">
        <v>760</v>
      </c>
      <c r="C4" s="450">
        <v>114105.60000000001</v>
      </c>
      <c r="D4" s="534">
        <v>42289</v>
      </c>
      <c r="E4" s="450">
        <v>114105.60000000001</v>
      </c>
      <c r="F4" s="296">
        <f t="shared" si="0"/>
        <v>0</v>
      </c>
      <c r="I4" s="496" t="s">
        <v>746</v>
      </c>
      <c r="J4" s="432">
        <v>3884.02</v>
      </c>
      <c r="K4" s="216"/>
      <c r="L4" s="331" t="s">
        <v>674</v>
      </c>
      <c r="M4" s="522">
        <v>53420</v>
      </c>
      <c r="N4" s="523">
        <v>42278</v>
      </c>
      <c r="O4" s="21">
        <v>42251</v>
      </c>
      <c r="Q4" s="496" t="s">
        <v>805</v>
      </c>
      <c r="R4" s="432">
        <v>15435.48</v>
      </c>
      <c r="S4" s="216"/>
      <c r="T4" s="331" t="s">
        <v>674</v>
      </c>
      <c r="U4" s="522">
        <v>35227</v>
      </c>
      <c r="V4" s="523">
        <v>42292</v>
      </c>
      <c r="W4" s="21">
        <v>42291</v>
      </c>
    </row>
    <row r="5" spans="1:23" ht="15.75" x14ac:dyDescent="0.25">
      <c r="A5" s="249">
        <v>42280</v>
      </c>
      <c r="B5" s="483" t="s">
        <v>761</v>
      </c>
      <c r="C5" s="450">
        <v>906.08</v>
      </c>
      <c r="D5" s="534">
        <v>42289</v>
      </c>
      <c r="E5" s="450">
        <v>906.08</v>
      </c>
      <c r="F5" s="296">
        <f t="shared" si="0"/>
        <v>0</v>
      </c>
      <c r="H5" s="336"/>
      <c r="I5" s="496" t="s">
        <v>753</v>
      </c>
      <c r="J5" s="81">
        <v>99105.47</v>
      </c>
      <c r="K5" s="234"/>
      <c r="L5" s="331" t="s">
        <v>674</v>
      </c>
      <c r="M5" s="522">
        <v>75765</v>
      </c>
      <c r="N5" s="523">
        <v>42277</v>
      </c>
      <c r="O5" s="21">
        <v>42266</v>
      </c>
      <c r="Q5" s="496" t="s">
        <v>806</v>
      </c>
      <c r="R5" s="81">
        <v>12289.4</v>
      </c>
      <c r="S5" s="234"/>
      <c r="T5" s="331" t="s">
        <v>674</v>
      </c>
      <c r="U5" s="522">
        <v>43371</v>
      </c>
      <c r="V5" s="523">
        <v>42293</v>
      </c>
      <c r="W5" s="21">
        <v>42292</v>
      </c>
    </row>
    <row r="6" spans="1:23" ht="15.75" x14ac:dyDescent="0.25">
      <c r="A6" s="249">
        <v>42281</v>
      </c>
      <c r="B6" s="483" t="s">
        <v>762</v>
      </c>
      <c r="C6" s="450">
        <v>9490.14</v>
      </c>
      <c r="D6" s="534">
        <v>42289</v>
      </c>
      <c r="E6" s="450">
        <v>9490.14</v>
      </c>
      <c r="F6" s="296">
        <f>C6-E6</f>
        <v>0</v>
      </c>
      <c r="I6" s="496" t="s">
        <v>749</v>
      </c>
      <c r="J6" s="450">
        <v>23277.94</v>
      </c>
      <c r="K6" s="234"/>
      <c r="L6" s="331" t="s">
        <v>674</v>
      </c>
      <c r="M6" s="521">
        <v>24640</v>
      </c>
      <c r="N6" s="525">
        <v>42277</v>
      </c>
      <c r="O6" s="21">
        <v>42267</v>
      </c>
      <c r="Q6" s="496" t="s">
        <v>810</v>
      </c>
      <c r="R6" s="450">
        <v>56456.4</v>
      </c>
      <c r="S6" s="234"/>
      <c r="T6" s="331" t="s">
        <v>674</v>
      </c>
      <c r="U6" s="521">
        <v>53795.5</v>
      </c>
      <c r="V6" s="525">
        <v>42297</v>
      </c>
      <c r="W6" s="21">
        <v>42296</v>
      </c>
    </row>
    <row r="7" spans="1:23" ht="15.75" x14ac:dyDescent="0.25">
      <c r="A7" s="249">
        <v>42283</v>
      </c>
      <c r="B7" s="483" t="s">
        <v>763</v>
      </c>
      <c r="C7" s="81">
        <v>11353.8</v>
      </c>
      <c r="D7" s="534">
        <v>42289</v>
      </c>
      <c r="E7" s="81">
        <v>11353.8</v>
      </c>
      <c r="F7" s="296">
        <f t="shared" si="0"/>
        <v>0</v>
      </c>
      <c r="I7" s="585" t="s">
        <v>752</v>
      </c>
      <c r="J7" s="81">
        <v>83824.38</v>
      </c>
      <c r="K7" s="234"/>
      <c r="L7" s="331" t="s">
        <v>674</v>
      </c>
      <c r="M7" s="522">
        <v>36395</v>
      </c>
      <c r="N7" s="523">
        <v>42271</v>
      </c>
      <c r="O7" s="21">
        <v>42270</v>
      </c>
      <c r="Q7" s="496" t="s">
        <v>819</v>
      </c>
      <c r="R7" s="450">
        <v>48212.22</v>
      </c>
      <c r="S7" s="234" t="s">
        <v>236</v>
      </c>
      <c r="T7" s="331" t="s">
        <v>674</v>
      </c>
      <c r="U7" s="522">
        <v>0</v>
      </c>
      <c r="V7" s="523"/>
    </row>
    <row r="8" spans="1:23" ht="16.5" thickBot="1" x14ac:dyDescent="0.3">
      <c r="A8" s="249">
        <v>42283</v>
      </c>
      <c r="B8" s="483" t="s">
        <v>765</v>
      </c>
      <c r="C8" s="450">
        <v>119457.28</v>
      </c>
      <c r="D8" s="534">
        <v>42289</v>
      </c>
      <c r="E8" s="450">
        <v>119457.28</v>
      </c>
      <c r="F8" s="296">
        <f t="shared" si="0"/>
        <v>0</v>
      </c>
      <c r="I8" s="496" t="s">
        <v>757</v>
      </c>
      <c r="J8" s="450">
        <v>31141.19</v>
      </c>
      <c r="K8" s="234" t="s">
        <v>236</v>
      </c>
      <c r="L8" s="331" t="s">
        <v>674</v>
      </c>
      <c r="M8" s="522">
        <v>31013</v>
      </c>
      <c r="N8" s="523">
        <v>42276</v>
      </c>
      <c r="O8" s="21">
        <v>42275</v>
      </c>
      <c r="Q8" s="718"/>
      <c r="R8" s="180">
        <v>0</v>
      </c>
      <c r="S8" s="719"/>
      <c r="T8" s="720"/>
      <c r="U8" s="721">
        <v>0</v>
      </c>
      <c r="V8" s="722"/>
    </row>
    <row r="9" spans="1:23" ht="16.5" thickTop="1" x14ac:dyDescent="0.25">
      <c r="A9" s="249">
        <v>42284</v>
      </c>
      <c r="B9" s="483" t="s">
        <v>764</v>
      </c>
      <c r="C9" s="450">
        <v>10688.2</v>
      </c>
      <c r="D9" s="534">
        <v>42289</v>
      </c>
      <c r="E9" s="450">
        <v>10688.2</v>
      </c>
      <c r="F9" s="296">
        <f t="shared" si="0"/>
        <v>0</v>
      </c>
      <c r="I9" s="496"/>
      <c r="J9" s="450" t="s">
        <v>646</v>
      </c>
      <c r="K9" s="235"/>
      <c r="L9" s="331" t="s">
        <v>674</v>
      </c>
      <c r="M9" s="521">
        <v>20000</v>
      </c>
      <c r="N9" s="525">
        <v>42277</v>
      </c>
      <c r="O9" s="21">
        <v>42276</v>
      </c>
      <c r="Q9" s="717"/>
      <c r="R9" s="81">
        <f>SUM(R4:R8)</f>
        <v>132393.5</v>
      </c>
      <c r="S9" s="358"/>
      <c r="T9" s="362"/>
      <c r="U9" s="559">
        <f>SUM(U4:U8)</f>
        <v>132393.5</v>
      </c>
      <c r="V9" s="560"/>
    </row>
    <row r="10" spans="1:23" ht="15.75" x14ac:dyDescent="0.25">
      <c r="A10" s="249">
        <v>42284</v>
      </c>
      <c r="B10" s="344" t="s">
        <v>766</v>
      </c>
      <c r="C10" s="81">
        <v>500</v>
      </c>
      <c r="D10" s="534">
        <v>42289</v>
      </c>
      <c r="E10" s="81">
        <v>500</v>
      </c>
      <c r="F10" s="296">
        <f t="shared" si="0"/>
        <v>0</v>
      </c>
      <c r="I10" s="496"/>
      <c r="J10" s="450"/>
      <c r="K10" s="230"/>
      <c r="L10" s="331" t="s">
        <v>674</v>
      </c>
      <c r="M10" s="522"/>
      <c r="N10" s="523"/>
      <c r="Q10" s="717"/>
      <c r="R10" s="81"/>
      <c r="S10" s="73"/>
      <c r="T10" s="362"/>
      <c r="U10" s="557"/>
      <c r="V10" s="558"/>
    </row>
    <row r="11" spans="1:23" ht="15.75" x14ac:dyDescent="0.25">
      <c r="A11" s="249">
        <v>42285</v>
      </c>
      <c r="B11" s="344" t="s">
        <v>767</v>
      </c>
      <c r="C11" s="81">
        <v>3180.2</v>
      </c>
      <c r="D11" s="534">
        <v>42289</v>
      </c>
      <c r="E11" s="81">
        <v>3180.2</v>
      </c>
      <c r="F11" s="297">
        <f t="shared" si="0"/>
        <v>0</v>
      </c>
      <c r="I11" s="496"/>
      <c r="J11" s="450"/>
      <c r="K11" s="230"/>
      <c r="L11" s="331" t="s">
        <v>674</v>
      </c>
      <c r="M11" s="521"/>
      <c r="N11" s="525"/>
      <c r="Q11" s="717"/>
      <c r="R11" s="81"/>
      <c r="S11" s="73"/>
      <c r="T11" s="362"/>
      <c r="U11" s="559"/>
      <c r="V11" s="560"/>
    </row>
    <row r="12" spans="1:23" ht="16.5" thickBot="1" x14ac:dyDescent="0.3">
      <c r="A12" s="249">
        <v>42285</v>
      </c>
      <c r="B12" s="344" t="s">
        <v>768</v>
      </c>
      <c r="C12" s="81">
        <v>38511.599999999999</v>
      </c>
      <c r="D12" s="534">
        <v>42289</v>
      </c>
      <c r="E12" s="81">
        <v>38511.599999999999</v>
      </c>
      <c r="F12" s="297">
        <f t="shared" si="0"/>
        <v>0</v>
      </c>
      <c r="I12" s="496"/>
      <c r="J12" s="450"/>
      <c r="K12" s="416"/>
      <c r="L12" s="331" t="s">
        <v>674</v>
      </c>
      <c r="M12" s="522"/>
      <c r="N12" s="523"/>
      <c r="Q12" s="717"/>
      <c r="R12" s="81"/>
      <c r="S12" s="286"/>
      <c r="T12" s="362"/>
      <c r="U12" s="557"/>
      <c r="V12" s="558"/>
    </row>
    <row r="13" spans="1:23" ht="19.5" thickBot="1" x14ac:dyDescent="0.35">
      <c r="A13" s="359">
        <v>42286</v>
      </c>
      <c r="B13" s="344" t="s">
        <v>769</v>
      </c>
      <c r="C13" s="81">
        <v>11032</v>
      </c>
      <c r="D13" s="534">
        <v>42289</v>
      </c>
      <c r="E13" s="81">
        <v>11032</v>
      </c>
      <c r="F13" s="297">
        <f>C13-E13</f>
        <v>0</v>
      </c>
      <c r="I13" s="496"/>
      <c r="J13" s="450"/>
      <c r="K13" s="459"/>
      <c r="L13" s="331" t="s">
        <v>674</v>
      </c>
      <c r="M13" s="528"/>
      <c r="N13" s="527"/>
      <c r="R13" s="474" t="s">
        <v>205</v>
      </c>
      <c r="S13" s="204"/>
      <c r="T13" s="723"/>
      <c r="U13" s="601">
        <v>42306</v>
      </c>
      <c r="V13" s="276"/>
    </row>
    <row r="14" spans="1:23" ht="15.75" x14ac:dyDescent="0.25">
      <c r="A14" s="359">
        <v>42287</v>
      </c>
      <c r="B14" s="496" t="s">
        <v>770</v>
      </c>
      <c r="C14" s="450">
        <v>17035.2</v>
      </c>
      <c r="D14" s="534">
        <v>42289</v>
      </c>
      <c r="E14" s="450">
        <v>17035.2</v>
      </c>
      <c r="F14" s="297">
        <f t="shared" si="0"/>
        <v>0</v>
      </c>
      <c r="I14" s="230"/>
      <c r="J14" s="232">
        <v>0</v>
      </c>
      <c r="K14" s="230"/>
      <c r="L14" s="416"/>
      <c r="M14" s="324"/>
      <c r="N14" s="416"/>
      <c r="Q14" s="205"/>
      <c r="R14" s="419"/>
      <c r="S14" s="205"/>
      <c r="T14" s="206"/>
      <c r="U14" s="419"/>
      <c r="V14" s="519"/>
    </row>
    <row r="15" spans="1:23" ht="15.75" x14ac:dyDescent="0.25">
      <c r="A15" s="343">
        <v>42287</v>
      </c>
      <c r="B15" s="344" t="s">
        <v>771</v>
      </c>
      <c r="C15" s="81">
        <v>61015.22</v>
      </c>
      <c r="D15" s="534">
        <v>42289</v>
      </c>
      <c r="E15" s="81">
        <v>61015.22</v>
      </c>
      <c r="F15" s="297">
        <f t="shared" si="0"/>
        <v>0</v>
      </c>
      <c r="J15" s="419">
        <f>SUM(J4:J14)</f>
        <v>241233</v>
      </c>
      <c r="K15" s="208"/>
      <c r="L15" s="206"/>
      <c r="M15" s="419">
        <f>SUM(M4:M13)</f>
        <v>241233</v>
      </c>
      <c r="Q15" s="212" t="s">
        <v>202</v>
      </c>
      <c r="R15" s="419" t="s">
        <v>195</v>
      </c>
      <c r="S15" s="205"/>
      <c r="T15" s="206" t="s">
        <v>203</v>
      </c>
      <c r="U15" s="419" t="s">
        <v>204</v>
      </c>
      <c r="V15" s="519"/>
    </row>
    <row r="16" spans="1:23" ht="15.75" x14ac:dyDescent="0.25">
      <c r="A16" s="343">
        <v>42288</v>
      </c>
      <c r="B16" s="496" t="s">
        <v>772</v>
      </c>
      <c r="C16" s="450">
        <v>40372.400000000001</v>
      </c>
      <c r="D16" s="534" t="s">
        <v>809</v>
      </c>
      <c r="E16" s="450">
        <f>40130.71+241.69</f>
        <v>40372.400000000001</v>
      </c>
      <c r="F16" s="297">
        <f t="shared" si="0"/>
        <v>0</v>
      </c>
      <c r="Q16" s="496" t="s">
        <v>819</v>
      </c>
      <c r="R16" s="432">
        <v>21821.93</v>
      </c>
      <c r="S16" s="216"/>
      <c r="T16" s="331" t="s">
        <v>674</v>
      </c>
      <c r="U16" s="522">
        <v>84110</v>
      </c>
      <c r="V16" s="523">
        <v>42294</v>
      </c>
      <c r="W16" s="21">
        <v>42293</v>
      </c>
    </row>
    <row r="17" spans="1:23" ht="16.5" thickBot="1" x14ac:dyDescent="0.3">
      <c r="A17" s="343">
        <v>42287</v>
      </c>
      <c r="B17" s="732" t="s">
        <v>801</v>
      </c>
      <c r="C17" s="733">
        <v>35204.400000000001</v>
      </c>
      <c r="D17" s="534">
        <v>42296</v>
      </c>
      <c r="E17" s="450">
        <v>35204.400000000001</v>
      </c>
      <c r="F17" s="297">
        <f t="shared" si="0"/>
        <v>0</v>
      </c>
      <c r="Q17" s="496" t="s">
        <v>821</v>
      </c>
      <c r="R17" s="81">
        <v>3768.4</v>
      </c>
      <c r="S17" s="234"/>
      <c r="T17" s="331" t="s">
        <v>674</v>
      </c>
      <c r="U17" s="522">
        <v>59970</v>
      </c>
      <c r="V17" s="523">
        <v>42303</v>
      </c>
      <c r="W17" s="21">
        <v>42294</v>
      </c>
    </row>
    <row r="18" spans="1:23" ht="19.5" thickBot="1" x14ac:dyDescent="0.35">
      <c r="A18" s="343">
        <v>42289</v>
      </c>
      <c r="B18" s="496" t="s">
        <v>782</v>
      </c>
      <c r="C18" s="450">
        <v>2249.4</v>
      </c>
      <c r="D18" s="534">
        <v>42296</v>
      </c>
      <c r="E18" s="450">
        <v>2249.4</v>
      </c>
      <c r="F18" s="297">
        <f t="shared" si="0"/>
        <v>0</v>
      </c>
      <c r="J18" s="474" t="s">
        <v>205</v>
      </c>
      <c r="K18" s="204"/>
      <c r="L18" s="701"/>
      <c r="M18" s="425">
        <v>42289</v>
      </c>
      <c r="N18" s="276"/>
      <c r="Q18" s="496" t="s">
        <v>822</v>
      </c>
      <c r="R18" s="81">
        <v>54376.480000000003</v>
      </c>
      <c r="S18" s="234"/>
      <c r="T18" s="331" t="s">
        <v>674</v>
      </c>
      <c r="U18" s="521">
        <v>53405</v>
      </c>
      <c r="V18" s="525">
        <v>42303</v>
      </c>
      <c r="W18" s="21">
        <v>42295</v>
      </c>
    </row>
    <row r="19" spans="1:23" ht="15.75" x14ac:dyDescent="0.25">
      <c r="A19" s="343">
        <v>42290</v>
      </c>
      <c r="B19" s="496" t="s">
        <v>783</v>
      </c>
      <c r="C19" s="450">
        <v>8630</v>
      </c>
      <c r="D19" s="534">
        <v>42296</v>
      </c>
      <c r="E19" s="450">
        <v>8630</v>
      </c>
      <c r="F19" s="297">
        <f t="shared" si="0"/>
        <v>0</v>
      </c>
      <c r="I19" s="205"/>
      <c r="J19" s="419"/>
      <c r="K19" s="205"/>
      <c r="L19" s="206"/>
      <c r="M19" s="419"/>
      <c r="N19" s="519"/>
      <c r="Q19" s="496" t="s">
        <v>826</v>
      </c>
      <c r="R19" s="81">
        <v>124969.75</v>
      </c>
      <c r="S19" s="234"/>
      <c r="T19" s="331" t="s">
        <v>674</v>
      </c>
      <c r="U19" s="522">
        <v>24892</v>
      </c>
      <c r="V19" s="523">
        <v>42298</v>
      </c>
      <c r="W19" s="21">
        <v>42297</v>
      </c>
    </row>
    <row r="20" spans="1:23" ht="15.75" x14ac:dyDescent="0.25">
      <c r="A20" s="343">
        <v>42290</v>
      </c>
      <c r="B20" s="496" t="s">
        <v>784</v>
      </c>
      <c r="C20" s="450">
        <v>13317.4</v>
      </c>
      <c r="D20" s="534">
        <v>42296</v>
      </c>
      <c r="E20" s="450">
        <v>13317.4</v>
      </c>
      <c r="F20" s="297">
        <f t="shared" si="0"/>
        <v>0</v>
      </c>
      <c r="I20" s="212" t="s">
        <v>202</v>
      </c>
      <c r="J20" s="419" t="s">
        <v>195</v>
      </c>
      <c r="K20" s="205"/>
      <c r="L20" s="206" t="s">
        <v>203</v>
      </c>
      <c r="M20" s="419" t="s">
        <v>204</v>
      </c>
      <c r="N20" s="519"/>
      <c r="Q20" s="496" t="s">
        <v>823</v>
      </c>
      <c r="R20" s="81">
        <v>13192.3</v>
      </c>
      <c r="S20" s="234"/>
      <c r="T20" s="331" t="s">
        <v>674</v>
      </c>
      <c r="U20" s="522">
        <v>27696.5</v>
      </c>
      <c r="V20" s="523">
        <v>42299</v>
      </c>
      <c r="W20" s="21">
        <v>42298</v>
      </c>
    </row>
    <row r="21" spans="1:23" ht="15.75" x14ac:dyDescent="0.25">
      <c r="A21" s="343">
        <v>42290</v>
      </c>
      <c r="B21" s="496" t="s">
        <v>785</v>
      </c>
      <c r="C21" s="450">
        <v>60165.29</v>
      </c>
      <c r="D21" s="534">
        <v>42296</v>
      </c>
      <c r="E21" s="450">
        <v>60165.29</v>
      </c>
      <c r="F21" s="297">
        <f t="shared" si="0"/>
        <v>0</v>
      </c>
      <c r="I21" s="496" t="s">
        <v>757</v>
      </c>
      <c r="J21" s="432">
        <v>2596.4699999999998</v>
      </c>
      <c r="K21" s="216"/>
      <c r="L21" s="331" t="s">
        <v>674</v>
      </c>
      <c r="M21" s="522">
        <v>54243</v>
      </c>
      <c r="N21" s="523">
        <v>42273</v>
      </c>
      <c r="O21" s="21">
        <v>42272</v>
      </c>
      <c r="Q21" s="496" t="s">
        <v>824</v>
      </c>
      <c r="R21" s="81">
        <v>79576.86</v>
      </c>
      <c r="S21" s="234"/>
      <c r="T21" s="331" t="s">
        <v>674</v>
      </c>
      <c r="U21" s="521">
        <v>54413.5</v>
      </c>
      <c r="V21" s="525">
        <v>42300</v>
      </c>
      <c r="W21" s="21">
        <v>42299</v>
      </c>
    </row>
    <row r="22" spans="1:23" ht="15.75" x14ac:dyDescent="0.25">
      <c r="A22" s="343">
        <v>42291</v>
      </c>
      <c r="B22" s="732" t="s">
        <v>802</v>
      </c>
      <c r="C22" s="733">
        <v>23088.3</v>
      </c>
      <c r="D22" s="534">
        <v>42296</v>
      </c>
      <c r="E22" s="450">
        <v>23088.3</v>
      </c>
      <c r="F22" s="297">
        <f t="shared" si="0"/>
        <v>0</v>
      </c>
      <c r="I22" s="483" t="s">
        <v>760</v>
      </c>
      <c r="J22" s="432">
        <v>114105.60000000001</v>
      </c>
      <c r="K22" s="234"/>
      <c r="L22" s="331" t="s">
        <v>674</v>
      </c>
      <c r="M22" s="522">
        <v>75547</v>
      </c>
      <c r="N22" s="523">
        <v>42278</v>
      </c>
      <c r="O22" s="21">
        <v>42273</v>
      </c>
      <c r="Q22" s="585" t="s">
        <v>825</v>
      </c>
      <c r="R22" s="450">
        <v>6781.28</v>
      </c>
      <c r="S22" s="713" t="s">
        <v>236</v>
      </c>
      <c r="T22" s="331" t="s">
        <v>674</v>
      </c>
      <c r="U22" s="522"/>
      <c r="V22" s="523"/>
      <c r="W22" s="21"/>
    </row>
    <row r="23" spans="1:23" ht="15.75" x14ac:dyDescent="0.25">
      <c r="A23" s="343">
        <v>42293</v>
      </c>
      <c r="B23" s="496" t="s">
        <v>803</v>
      </c>
      <c r="C23" s="450">
        <v>131548.79999999999</v>
      </c>
      <c r="D23" s="534">
        <v>42296</v>
      </c>
      <c r="E23" s="450">
        <v>131548.79999999999</v>
      </c>
      <c r="F23" s="297">
        <f t="shared" si="0"/>
        <v>0</v>
      </c>
      <c r="I23" s="483" t="s">
        <v>761</v>
      </c>
      <c r="J23" s="432">
        <v>906.08</v>
      </c>
      <c r="K23" s="234"/>
      <c r="L23" s="331" t="s">
        <v>674</v>
      </c>
      <c r="M23" s="521">
        <v>29040</v>
      </c>
      <c r="N23" s="525">
        <v>42275</v>
      </c>
      <c r="O23" s="21">
        <v>42274</v>
      </c>
      <c r="Q23" s="618"/>
      <c r="R23" s="81" t="s">
        <v>17</v>
      </c>
      <c r="S23" s="713"/>
      <c r="T23" s="331" t="s">
        <v>674</v>
      </c>
      <c r="U23" s="521"/>
      <c r="V23" s="525"/>
      <c r="W23" s="21"/>
    </row>
    <row r="24" spans="1:23" ht="15.75" x14ac:dyDescent="0.25">
      <c r="A24" s="343">
        <v>42294</v>
      </c>
      <c r="B24" s="732" t="s">
        <v>804</v>
      </c>
      <c r="C24" s="733">
        <v>3585.6</v>
      </c>
      <c r="D24" s="534">
        <v>42296</v>
      </c>
      <c r="E24" s="450">
        <v>3585.6</v>
      </c>
      <c r="F24" s="297">
        <f t="shared" si="0"/>
        <v>0</v>
      </c>
      <c r="I24" s="483" t="s">
        <v>762</v>
      </c>
      <c r="J24" s="432">
        <v>9490.14</v>
      </c>
      <c r="K24" s="234"/>
      <c r="L24" s="331" t="s">
        <v>674</v>
      </c>
      <c r="M24" s="522">
        <v>12512</v>
      </c>
      <c r="N24" s="523">
        <v>42277</v>
      </c>
      <c r="O24" s="21">
        <v>42276</v>
      </c>
      <c r="Q24" s="496"/>
      <c r="R24" s="450"/>
      <c r="S24" s="713"/>
      <c r="T24" s="331" t="s">
        <v>674</v>
      </c>
      <c r="U24" s="522"/>
      <c r="V24" s="523"/>
    </row>
    <row r="25" spans="1:23" ht="15.75" x14ac:dyDescent="0.25">
      <c r="A25" s="343">
        <v>42294</v>
      </c>
      <c r="B25" s="496" t="s">
        <v>805</v>
      </c>
      <c r="C25" s="450">
        <v>75202.600000000006</v>
      </c>
      <c r="D25" s="617" t="s">
        <v>820</v>
      </c>
      <c r="E25" s="450">
        <f>59767.12+15435.48</f>
        <v>75202.600000000006</v>
      </c>
      <c r="F25" s="297">
        <f t="shared" si="0"/>
        <v>0</v>
      </c>
      <c r="I25" s="483" t="s">
        <v>763</v>
      </c>
      <c r="J25" s="432">
        <v>11353.8</v>
      </c>
      <c r="K25" s="234"/>
      <c r="L25" s="331" t="s">
        <v>674</v>
      </c>
      <c r="M25" s="522">
        <v>29355.5</v>
      </c>
      <c r="N25" s="523">
        <v>42248</v>
      </c>
      <c r="O25" s="21">
        <v>42277</v>
      </c>
      <c r="Q25" s="496"/>
      <c r="R25" s="450"/>
      <c r="S25" s="713"/>
      <c r="T25" s="331" t="s">
        <v>674</v>
      </c>
      <c r="U25" s="528"/>
      <c r="V25" s="527"/>
    </row>
    <row r="26" spans="1:23" ht="15.75" x14ac:dyDescent="0.25">
      <c r="A26" s="343">
        <v>42295</v>
      </c>
      <c r="B26" s="496" t="s">
        <v>806</v>
      </c>
      <c r="C26" s="450">
        <v>12289.4</v>
      </c>
      <c r="D26" s="534">
        <v>42300</v>
      </c>
      <c r="E26" s="450">
        <v>12289.4</v>
      </c>
      <c r="F26" s="297">
        <f t="shared" si="0"/>
        <v>0</v>
      </c>
      <c r="I26" s="483" t="s">
        <v>765</v>
      </c>
      <c r="J26" s="432">
        <v>119457.28</v>
      </c>
      <c r="K26" s="235"/>
      <c r="L26" s="331" t="s">
        <v>674</v>
      </c>
      <c r="M26" s="521">
        <v>37966.5</v>
      </c>
      <c r="N26" s="525">
        <v>42279</v>
      </c>
      <c r="O26" s="21">
        <v>42278</v>
      </c>
      <c r="Q26" s="459"/>
      <c r="R26" s="494"/>
      <c r="S26" s="459"/>
      <c r="T26" s="331" t="s">
        <v>674</v>
      </c>
      <c r="U26" s="230"/>
      <c r="V26" s="230"/>
    </row>
    <row r="27" spans="1:23" ht="15.75" x14ac:dyDescent="0.25">
      <c r="A27" s="343">
        <v>42296</v>
      </c>
      <c r="B27" s="496" t="s">
        <v>810</v>
      </c>
      <c r="C27" s="450">
        <v>56456.4</v>
      </c>
      <c r="D27" s="617">
        <v>42300</v>
      </c>
      <c r="E27" s="450">
        <v>56456.4</v>
      </c>
      <c r="F27" s="297">
        <f t="shared" si="0"/>
        <v>0</v>
      </c>
      <c r="I27" s="483" t="s">
        <v>764</v>
      </c>
      <c r="J27" s="432">
        <v>10688.2</v>
      </c>
      <c r="K27" s="230"/>
      <c r="L27" s="331" t="s">
        <v>674</v>
      </c>
      <c r="M27" s="522">
        <v>62549</v>
      </c>
      <c r="N27" s="523">
        <v>42280</v>
      </c>
      <c r="O27" s="21">
        <v>42279</v>
      </c>
      <c r="Q27" s="230"/>
      <c r="R27" s="232">
        <v>0</v>
      </c>
      <c r="S27" s="230"/>
      <c r="T27" s="230"/>
      <c r="U27" s="230"/>
      <c r="V27" s="230"/>
    </row>
    <row r="28" spans="1:23" ht="15.75" x14ac:dyDescent="0.25">
      <c r="A28" s="343">
        <v>42298</v>
      </c>
      <c r="B28" s="496" t="s">
        <v>819</v>
      </c>
      <c r="C28" s="450">
        <v>70034.149999999994</v>
      </c>
      <c r="D28" s="617" t="s">
        <v>828</v>
      </c>
      <c r="E28" s="450">
        <f>48212.22+21821.93</f>
        <v>70034.149999999994</v>
      </c>
      <c r="F28" s="297">
        <f t="shared" si="0"/>
        <v>0</v>
      </c>
      <c r="I28" s="344" t="s">
        <v>766</v>
      </c>
      <c r="J28" s="432">
        <v>500</v>
      </c>
      <c r="K28" s="230"/>
      <c r="L28" s="331" t="s">
        <v>674</v>
      </c>
      <c r="M28" s="521">
        <v>50964</v>
      </c>
      <c r="N28" s="525">
        <v>42284</v>
      </c>
      <c r="O28" s="21">
        <v>42280</v>
      </c>
      <c r="R28" s="59">
        <f>SUM(R16:R27)</f>
        <v>304487</v>
      </c>
      <c r="S28" s="44"/>
      <c r="T28" s="44"/>
      <c r="U28" s="59">
        <f>SUM(U16:U27)</f>
        <v>304487</v>
      </c>
    </row>
    <row r="29" spans="1:23" ht="15.75" x14ac:dyDescent="0.25">
      <c r="A29" s="343">
        <v>42299</v>
      </c>
      <c r="B29" s="496" t="s">
        <v>821</v>
      </c>
      <c r="C29" s="81">
        <v>3768.4</v>
      </c>
      <c r="D29" s="465">
        <v>42306</v>
      </c>
      <c r="E29" s="429">
        <v>3768.4</v>
      </c>
      <c r="F29" s="297">
        <f t="shared" si="0"/>
        <v>0</v>
      </c>
      <c r="I29" s="344" t="s">
        <v>767</v>
      </c>
      <c r="J29" s="432">
        <v>3180.2</v>
      </c>
      <c r="K29" s="416"/>
      <c r="L29" s="331" t="s">
        <v>674</v>
      </c>
      <c r="M29" s="522">
        <v>29000</v>
      </c>
      <c r="N29" s="523">
        <v>42284</v>
      </c>
      <c r="O29" s="21">
        <v>42281</v>
      </c>
    </row>
    <row r="30" spans="1:23" ht="15.75" x14ac:dyDescent="0.25">
      <c r="A30" s="545">
        <v>42300</v>
      </c>
      <c r="B30" s="496" t="s">
        <v>822</v>
      </c>
      <c r="C30" s="81">
        <v>54376.480000000003</v>
      </c>
      <c r="D30" s="465">
        <v>42306</v>
      </c>
      <c r="E30" s="429">
        <v>54376.480000000003</v>
      </c>
      <c r="F30" s="297">
        <f>C30-E30</f>
        <v>0</v>
      </c>
      <c r="I30" s="344" t="s">
        <v>768</v>
      </c>
      <c r="J30" s="432">
        <v>38511.599999999999</v>
      </c>
      <c r="K30" s="459"/>
      <c r="L30" s="331" t="s">
        <v>674</v>
      </c>
      <c r="M30" s="528">
        <v>23015.5</v>
      </c>
      <c r="N30" s="527">
        <v>42282</v>
      </c>
      <c r="O30" s="21">
        <v>42281</v>
      </c>
    </row>
    <row r="31" spans="1:23" ht="15.75" x14ac:dyDescent="0.25">
      <c r="A31" s="343">
        <v>42301</v>
      </c>
      <c r="B31" s="496" t="s">
        <v>826</v>
      </c>
      <c r="C31" s="81">
        <v>124969.75</v>
      </c>
      <c r="D31" s="465">
        <v>42306</v>
      </c>
      <c r="E31" s="429">
        <v>124969.75</v>
      </c>
      <c r="F31" s="297">
        <f>C31-E31</f>
        <v>0</v>
      </c>
      <c r="I31" s="344" t="s">
        <v>769</v>
      </c>
      <c r="J31" s="432">
        <v>11032</v>
      </c>
      <c r="K31" s="230"/>
      <c r="L31" s="331" t="s">
        <v>674</v>
      </c>
      <c r="M31" s="522">
        <v>35810</v>
      </c>
      <c r="N31" s="527">
        <v>42285</v>
      </c>
      <c r="O31" s="21">
        <v>42284</v>
      </c>
    </row>
    <row r="32" spans="1:23" ht="15.75" x14ac:dyDescent="0.25">
      <c r="A32" s="343">
        <v>42302</v>
      </c>
      <c r="B32" s="496" t="s">
        <v>823</v>
      </c>
      <c r="C32" s="81">
        <v>13192.3</v>
      </c>
      <c r="D32" s="465">
        <v>42306</v>
      </c>
      <c r="E32" s="294">
        <v>13192.3</v>
      </c>
      <c r="F32" s="297">
        <f>C32-E32</f>
        <v>0</v>
      </c>
      <c r="I32" s="496" t="s">
        <v>770</v>
      </c>
      <c r="J32" s="432">
        <v>17035.2</v>
      </c>
      <c r="K32" s="220"/>
      <c r="L32" s="331" t="s">
        <v>674</v>
      </c>
      <c r="M32" s="522"/>
      <c r="N32" s="230"/>
    </row>
    <row r="33" spans="1:15" ht="15.75" x14ac:dyDescent="0.25">
      <c r="A33" s="343">
        <v>42303</v>
      </c>
      <c r="B33" s="496" t="s">
        <v>824</v>
      </c>
      <c r="C33" s="81">
        <v>79576.86</v>
      </c>
      <c r="D33" s="617">
        <v>42306</v>
      </c>
      <c r="E33" s="450">
        <v>79576.86</v>
      </c>
      <c r="F33" s="297">
        <f>C33-E33</f>
        <v>0</v>
      </c>
      <c r="I33" s="344" t="s">
        <v>771</v>
      </c>
      <c r="J33" s="432">
        <v>61015.22</v>
      </c>
      <c r="K33" s="230"/>
      <c r="L33" s="331" t="s">
        <v>674</v>
      </c>
      <c r="M33" s="707"/>
      <c r="N33" s="230"/>
    </row>
    <row r="34" spans="1:15" ht="15.75" x14ac:dyDescent="0.25">
      <c r="A34" s="724">
        <v>42304</v>
      </c>
      <c r="B34" s="585" t="s">
        <v>825</v>
      </c>
      <c r="C34" s="450">
        <v>8939.4</v>
      </c>
      <c r="D34" s="680" t="s">
        <v>836</v>
      </c>
      <c r="E34" s="366">
        <f>6781.28+2158.12</f>
        <v>8939.4</v>
      </c>
      <c r="F34" s="596">
        <f>C34-E34</f>
        <v>0</v>
      </c>
      <c r="I34" s="702" t="s">
        <v>772</v>
      </c>
      <c r="J34" s="450">
        <v>40130.71</v>
      </c>
      <c r="K34" s="230"/>
      <c r="L34" s="331" t="s">
        <v>674</v>
      </c>
      <c r="M34" s="707"/>
      <c r="N34" s="230"/>
    </row>
    <row r="35" spans="1:15" ht="15.75" x14ac:dyDescent="0.25">
      <c r="A35" s="602">
        <v>42305</v>
      </c>
      <c r="B35" s="618" t="s">
        <v>827</v>
      </c>
      <c r="C35" s="81">
        <v>14305.99</v>
      </c>
      <c r="D35" s="532">
        <v>42312</v>
      </c>
      <c r="E35" s="531">
        <v>14305.99</v>
      </c>
      <c r="F35" s="596">
        <f t="shared" si="0"/>
        <v>0</v>
      </c>
      <c r="I35" s="230"/>
      <c r="J35" s="232">
        <v>0</v>
      </c>
      <c r="K35" s="230"/>
      <c r="L35" s="331" t="s">
        <v>674</v>
      </c>
      <c r="M35" s="707"/>
      <c r="N35" s="230"/>
    </row>
    <row r="36" spans="1:15" x14ac:dyDescent="0.25">
      <c r="A36" s="249">
        <v>42306</v>
      </c>
      <c r="B36" s="731" t="s">
        <v>831</v>
      </c>
      <c r="C36" s="81">
        <v>117274.77</v>
      </c>
      <c r="D36" s="532">
        <v>42312</v>
      </c>
      <c r="E36" s="531">
        <v>117274.77</v>
      </c>
      <c r="F36" s="596">
        <f t="shared" si="0"/>
        <v>0</v>
      </c>
      <c r="I36" s="230"/>
      <c r="J36" s="232">
        <v>0</v>
      </c>
      <c r="K36" s="230"/>
      <c r="L36" s="230"/>
      <c r="M36" s="230"/>
      <c r="N36" s="230"/>
    </row>
    <row r="37" spans="1:15" x14ac:dyDescent="0.25">
      <c r="A37" s="249">
        <v>42306</v>
      </c>
      <c r="B37" s="731" t="s">
        <v>832</v>
      </c>
      <c r="C37" s="81">
        <v>12544</v>
      </c>
      <c r="D37" s="532">
        <v>42312</v>
      </c>
      <c r="E37" s="531">
        <v>12544</v>
      </c>
      <c r="F37" s="596">
        <f t="shared" si="0"/>
        <v>0</v>
      </c>
      <c r="J37" s="44">
        <f>SUM(J21:J36)</f>
        <v>440002.50000000006</v>
      </c>
      <c r="K37" s="44"/>
      <c r="L37" s="44"/>
      <c r="M37" s="59">
        <f t="shared" ref="M37" si="1">SUM(M21:M36)</f>
        <v>440002.5</v>
      </c>
    </row>
    <row r="38" spans="1:15" ht="15.75" x14ac:dyDescent="0.25">
      <c r="A38" s="602">
        <v>42307</v>
      </c>
      <c r="B38" s="618" t="s">
        <v>829</v>
      </c>
      <c r="C38" s="81">
        <v>5963</v>
      </c>
      <c r="D38" s="532">
        <v>42312</v>
      </c>
      <c r="E38" s="531">
        <v>5963</v>
      </c>
      <c r="F38" s="596">
        <f t="shared" si="0"/>
        <v>0</v>
      </c>
      <c r="J38" s="44"/>
    </row>
    <row r="39" spans="1:15" x14ac:dyDescent="0.25">
      <c r="A39" s="249">
        <v>42308</v>
      </c>
      <c r="B39" s="619" t="s">
        <v>830</v>
      </c>
      <c r="C39" s="81">
        <v>111329.38</v>
      </c>
      <c r="D39" s="532">
        <v>42312</v>
      </c>
      <c r="E39" s="531">
        <v>111329.38</v>
      </c>
      <c r="F39" s="596">
        <f t="shared" si="0"/>
        <v>0</v>
      </c>
      <c r="J39" s="44"/>
    </row>
    <row r="40" spans="1:15" ht="15.75" thickBot="1" x14ac:dyDescent="0.3">
      <c r="B40" s="263"/>
      <c r="C40" s="180">
        <v>0</v>
      </c>
      <c r="D40" s="467"/>
      <c r="E40" s="295">
        <v>0</v>
      </c>
      <c r="F40" s="596">
        <f t="shared" si="0"/>
        <v>0</v>
      </c>
    </row>
    <row r="41" spans="1:15" ht="20.25" thickTop="1" thickBot="1" x14ac:dyDescent="0.35">
      <c r="B41" s="614"/>
      <c r="C41" s="450">
        <f>SUM(C3:C40)</f>
        <v>1509397.4500000002</v>
      </c>
      <c r="D41" s="178"/>
      <c r="E41" s="336">
        <f>SUM(E3:E40)</f>
        <v>1509397.4500000002</v>
      </c>
      <c r="F41" s="336">
        <f>SUM(F3:F40)</f>
        <v>0</v>
      </c>
      <c r="J41" s="474" t="s">
        <v>205</v>
      </c>
      <c r="K41" s="204"/>
      <c r="L41" s="709"/>
      <c r="M41" s="601">
        <v>42296</v>
      </c>
      <c r="N41" s="276"/>
    </row>
    <row r="42" spans="1:15" ht="15.75" x14ac:dyDescent="0.25">
      <c r="C42" s="450"/>
      <c r="I42" s="205"/>
      <c r="J42" s="419"/>
      <c r="K42" s="205"/>
      <c r="L42" s="206"/>
      <c r="M42" s="419"/>
      <c r="N42" s="519"/>
    </row>
    <row r="43" spans="1:15" ht="15.75" x14ac:dyDescent="0.25">
      <c r="B43" s="25" t="s">
        <v>101</v>
      </c>
      <c r="E43" s="25"/>
      <c r="F43" s="25"/>
      <c r="I43" s="212" t="s">
        <v>202</v>
      </c>
      <c r="J43" s="419" t="s">
        <v>195</v>
      </c>
      <c r="K43" s="205"/>
      <c r="L43" s="206" t="s">
        <v>203</v>
      </c>
      <c r="M43" s="419" t="s">
        <v>204</v>
      </c>
      <c r="N43" s="519"/>
    </row>
    <row r="44" spans="1:15" ht="15.75" x14ac:dyDescent="0.25">
      <c r="B44" s="450"/>
      <c r="C44" s="534"/>
      <c r="D44" s="196"/>
      <c r="E44" s="25"/>
      <c r="F44" s="25"/>
      <c r="H44" s="5" t="s">
        <v>808</v>
      </c>
      <c r="I44" s="711" t="s">
        <v>801</v>
      </c>
      <c r="J44" s="712">
        <v>35204.400000000001</v>
      </c>
      <c r="K44" s="216"/>
      <c r="L44" s="331" t="s">
        <v>674</v>
      </c>
      <c r="M44" s="522">
        <v>39268</v>
      </c>
      <c r="N44" s="523">
        <v>42283</v>
      </c>
      <c r="O44" s="21">
        <v>42282</v>
      </c>
    </row>
    <row r="45" spans="1:15" ht="15.75" x14ac:dyDescent="0.25">
      <c r="E45" s="25"/>
      <c r="F45" s="25"/>
      <c r="I45" s="496" t="s">
        <v>772</v>
      </c>
      <c r="J45" s="81">
        <v>241.69</v>
      </c>
      <c r="K45" s="234"/>
      <c r="L45" s="331" t="s">
        <v>674</v>
      </c>
      <c r="M45" s="522">
        <v>33216</v>
      </c>
      <c r="N45" s="523">
        <v>42284</v>
      </c>
      <c r="O45" s="21">
        <v>42283</v>
      </c>
    </row>
    <row r="46" spans="1:15" ht="15.75" x14ac:dyDescent="0.25">
      <c r="A46" s="25"/>
      <c r="I46" s="496" t="s">
        <v>782</v>
      </c>
      <c r="J46" s="450">
        <v>2249.4</v>
      </c>
      <c r="K46" s="234"/>
      <c r="L46" s="331" t="s">
        <v>674</v>
      </c>
      <c r="M46" s="521">
        <v>40127</v>
      </c>
      <c r="N46" s="525">
        <v>42286</v>
      </c>
      <c r="O46" s="21">
        <v>42285</v>
      </c>
    </row>
    <row r="47" spans="1:15" ht="15.75" x14ac:dyDescent="0.25">
      <c r="A47" s="25"/>
      <c r="C47" s="25"/>
      <c r="E47" s="25"/>
      <c r="F47" s="25"/>
      <c r="I47" s="496" t="s">
        <v>783</v>
      </c>
      <c r="J47" s="450">
        <v>8630</v>
      </c>
      <c r="K47" s="234"/>
      <c r="L47" s="331" t="s">
        <v>674</v>
      </c>
      <c r="M47" s="522">
        <v>62903</v>
      </c>
      <c r="N47" s="523">
        <v>42287</v>
      </c>
      <c r="O47" s="21">
        <v>42286</v>
      </c>
    </row>
    <row r="48" spans="1:15" ht="15.75" x14ac:dyDescent="0.25">
      <c r="A48" s="25"/>
      <c r="C48" s="25"/>
      <c r="E48" s="25"/>
      <c r="F48" s="25"/>
      <c r="I48" s="496" t="s">
        <v>784</v>
      </c>
      <c r="J48" s="450">
        <v>13317.4</v>
      </c>
      <c r="K48" s="234"/>
      <c r="L48" s="331" t="s">
        <v>674</v>
      </c>
      <c r="M48" s="522">
        <v>57030</v>
      </c>
      <c r="N48" s="523">
        <v>42289</v>
      </c>
      <c r="O48" s="21">
        <v>42287</v>
      </c>
    </row>
    <row r="49" spans="1:15" ht="15.75" x14ac:dyDescent="0.25">
      <c r="A49" s="25"/>
      <c r="C49" s="25"/>
      <c r="E49" s="25"/>
      <c r="F49" s="25"/>
      <c r="I49" s="496" t="s">
        <v>785</v>
      </c>
      <c r="J49" s="450">
        <v>60165.29</v>
      </c>
      <c r="K49" s="235"/>
      <c r="L49" s="331" t="s">
        <v>674</v>
      </c>
      <c r="M49" s="521">
        <v>41740</v>
      </c>
      <c r="N49" s="525">
        <v>42289</v>
      </c>
      <c r="O49" s="21">
        <v>42288</v>
      </c>
    </row>
    <row r="50" spans="1:15" ht="15.75" x14ac:dyDescent="0.25">
      <c r="A50" s="25"/>
      <c r="C50" s="25"/>
      <c r="E50" s="25"/>
      <c r="F50" s="25"/>
      <c r="H50" s="59" t="s">
        <v>807</v>
      </c>
      <c r="I50" s="711" t="s">
        <v>802</v>
      </c>
      <c r="J50" s="565">
        <v>23088.3</v>
      </c>
      <c r="K50" s="230"/>
      <c r="L50" s="331" t="s">
        <v>674</v>
      </c>
      <c r="M50" s="522">
        <v>30113</v>
      </c>
      <c r="N50" s="523">
        <v>42290</v>
      </c>
      <c r="O50" s="21">
        <v>42289</v>
      </c>
    </row>
    <row r="51" spans="1:15" ht="15.75" x14ac:dyDescent="0.25">
      <c r="A51" s="25"/>
      <c r="C51" s="25"/>
      <c r="E51" s="25"/>
      <c r="F51" s="25"/>
      <c r="G51"/>
      <c r="I51" s="496" t="s">
        <v>803</v>
      </c>
      <c r="J51" s="450">
        <v>131548.79999999999</v>
      </c>
      <c r="K51" s="230"/>
      <c r="L51" s="331" t="s">
        <v>674</v>
      </c>
      <c r="M51" s="521">
        <v>33401</v>
      </c>
      <c r="N51" s="525">
        <v>42291</v>
      </c>
      <c r="O51" s="21">
        <v>42290</v>
      </c>
    </row>
    <row r="52" spans="1:15" ht="15.75" x14ac:dyDescent="0.25">
      <c r="A52" s="25"/>
      <c r="C52" s="25"/>
      <c r="E52" s="25"/>
      <c r="F52" s="25"/>
      <c r="G52"/>
      <c r="H52" s="5" t="s">
        <v>807</v>
      </c>
      <c r="I52" s="711" t="s">
        <v>804</v>
      </c>
      <c r="J52" s="565">
        <v>3585.6</v>
      </c>
      <c r="K52" s="416"/>
      <c r="L52" s="331" t="s">
        <v>674</v>
      </c>
      <c r="M52" s="522"/>
      <c r="N52" s="523"/>
    </row>
    <row r="53" spans="1:15" ht="15.75" x14ac:dyDescent="0.25">
      <c r="I53" s="496" t="s">
        <v>805</v>
      </c>
      <c r="J53" s="450">
        <v>59767.12</v>
      </c>
      <c r="K53" s="713" t="s">
        <v>325</v>
      </c>
      <c r="L53" s="331" t="s">
        <v>674</v>
      </c>
      <c r="M53" s="528"/>
      <c r="N53" s="527"/>
    </row>
    <row r="54" spans="1:15" ht="15.75" x14ac:dyDescent="0.25">
      <c r="I54" s="230"/>
      <c r="J54" s="232">
        <v>0</v>
      </c>
      <c r="K54" s="230"/>
      <c r="L54" s="331" t="s">
        <v>674</v>
      </c>
      <c r="M54" s="230"/>
      <c r="N54" s="230"/>
    </row>
    <row r="55" spans="1:15" x14ac:dyDescent="0.25">
      <c r="I55" s="230"/>
      <c r="J55" s="232">
        <v>0</v>
      </c>
      <c r="K55" s="230"/>
      <c r="L55" s="230"/>
      <c r="M55" s="230"/>
      <c r="N55" s="230"/>
    </row>
    <row r="56" spans="1:15" x14ac:dyDescent="0.25">
      <c r="J56" s="44">
        <f>SUM(J44:J55)</f>
        <v>337798</v>
      </c>
      <c r="K56" s="44"/>
      <c r="L56" s="44"/>
      <c r="M56" s="59">
        <f>SUM(M44:M55)</f>
        <v>337798</v>
      </c>
    </row>
  </sheetData>
  <sortState ref="A35:C39">
    <sortCondition ref="B35:B39"/>
  </sortState>
  <pageMargins left="0.9055118110236221" right="0.70866141732283472" top="0.74803149606299213" bottom="0.74803149606299213" header="0.31496062992125984" footer="0.31496062992125984"/>
  <pageSetup scale="85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39997558519241921"/>
  </sheetPr>
  <dimension ref="A1:S57"/>
  <sheetViews>
    <sheetView topLeftCell="A19" workbookViewId="0">
      <selection activeCell="P24" sqref="P24"/>
    </sheetView>
  </sheetViews>
  <sheetFormatPr baseColWidth="10" defaultRowHeight="15" x14ac:dyDescent="0.25"/>
  <cols>
    <col min="1" max="1" width="2.5703125" customWidth="1"/>
    <col min="2" max="2" width="12.42578125" style="38" customWidth="1"/>
    <col min="3" max="3" width="16.42578125" style="44" customWidth="1"/>
    <col min="4" max="4" width="9" style="155" customWidth="1"/>
    <col min="6" max="6" width="17.85546875" style="44" customWidth="1"/>
    <col min="7" max="7" width="2.85546875" customWidth="1"/>
    <col min="9" max="9" width="12.140625" style="44" customWidth="1"/>
    <col min="10" max="10" width="6.42578125" style="44" customWidth="1"/>
    <col min="11" max="11" width="13.7109375" customWidth="1"/>
    <col min="12" max="12" width="11.28515625" customWidth="1"/>
    <col min="13" max="13" width="16.7109375" style="44" customWidth="1"/>
    <col min="14" max="14" width="11.42578125" style="44"/>
  </cols>
  <sheetData>
    <row r="1" spans="1:19" ht="23.25" x14ac:dyDescent="0.35">
      <c r="C1" s="780" t="s">
        <v>858</v>
      </c>
      <c r="D1" s="780"/>
      <c r="E1" s="780"/>
      <c r="F1" s="780"/>
      <c r="G1" s="780"/>
      <c r="H1" s="780"/>
      <c r="I1" s="780"/>
      <c r="J1" s="780"/>
      <c r="K1" s="780"/>
      <c r="L1" s="133" t="s">
        <v>158</v>
      </c>
    </row>
    <row r="2" spans="1:19" ht="15.75" thickBot="1" x14ac:dyDescent="0.3">
      <c r="E2" s="727"/>
      <c r="F2" s="51"/>
    </row>
    <row r="3" spans="1:19" ht="15.75" thickBot="1" x14ac:dyDescent="0.3">
      <c r="C3" s="45" t="s">
        <v>0</v>
      </c>
      <c r="D3" s="3"/>
    </row>
    <row r="4" spans="1:19" ht="20.25" thickTop="1" thickBot="1" x14ac:dyDescent="0.35">
      <c r="A4" s="415" t="s">
        <v>2</v>
      </c>
      <c r="B4" s="414"/>
      <c r="C4" s="97">
        <v>168975.99</v>
      </c>
      <c r="D4" s="156"/>
      <c r="E4" s="797" t="s">
        <v>19</v>
      </c>
      <c r="F4" s="798"/>
      <c r="I4" s="783" t="s">
        <v>4</v>
      </c>
      <c r="J4" s="784"/>
      <c r="K4" s="784"/>
      <c r="L4" s="784"/>
      <c r="M4" s="112" t="s">
        <v>159</v>
      </c>
    </row>
    <row r="5" spans="1:19" ht="15.75" thickTop="1" x14ac:dyDescent="0.25">
      <c r="A5" s="21"/>
      <c r="B5" s="40">
        <v>42309</v>
      </c>
      <c r="C5" s="46">
        <v>0</v>
      </c>
      <c r="D5" s="30"/>
      <c r="E5" s="28">
        <v>42309</v>
      </c>
      <c r="F5" s="52">
        <v>55920</v>
      </c>
      <c r="G5" s="25"/>
      <c r="H5" s="26">
        <v>42309</v>
      </c>
      <c r="I5" s="61">
        <v>400</v>
      </c>
      <c r="J5" s="80"/>
      <c r="K5" s="122"/>
      <c r="L5" s="123"/>
      <c r="M5" s="151">
        <v>53550</v>
      </c>
      <c r="N5" s="450"/>
      <c r="O5" s="25"/>
      <c r="R5" t="s">
        <v>462</v>
      </c>
      <c r="S5">
        <v>1600</v>
      </c>
    </row>
    <row r="6" spans="1:19" x14ac:dyDescent="0.25">
      <c r="A6" s="21"/>
      <c r="B6" s="40">
        <v>42310</v>
      </c>
      <c r="C6" s="46">
        <v>622</v>
      </c>
      <c r="D6" s="70" t="s">
        <v>22</v>
      </c>
      <c r="E6" s="28">
        <v>42310</v>
      </c>
      <c r="F6" s="52">
        <v>25393.25</v>
      </c>
      <c r="G6" s="20"/>
      <c r="H6" s="29">
        <v>42310</v>
      </c>
      <c r="I6" s="62">
        <v>0</v>
      </c>
      <c r="J6" s="81"/>
      <c r="K6" s="73" t="s">
        <v>5</v>
      </c>
      <c r="L6" s="125">
        <v>537</v>
      </c>
      <c r="M6" s="116">
        <v>26983</v>
      </c>
      <c r="N6" s="336"/>
      <c r="O6" s="25"/>
    </row>
    <row r="7" spans="1:19" x14ac:dyDescent="0.25">
      <c r="A7" s="21"/>
      <c r="B7" s="40">
        <v>42311</v>
      </c>
      <c r="C7" s="46">
        <v>279</v>
      </c>
      <c r="D7" s="30" t="s">
        <v>411</v>
      </c>
      <c r="E7" s="28">
        <v>42311</v>
      </c>
      <c r="F7" s="52">
        <v>46202.13</v>
      </c>
      <c r="G7" s="25"/>
      <c r="H7" s="29">
        <v>42311</v>
      </c>
      <c r="I7" s="62">
        <v>1437.2</v>
      </c>
      <c r="J7" s="81"/>
      <c r="K7" s="693" t="s">
        <v>755</v>
      </c>
      <c r="L7" s="125">
        <v>12349</v>
      </c>
      <c r="M7" s="116">
        <v>41927</v>
      </c>
      <c r="N7" s="336"/>
      <c r="O7" s="25"/>
      <c r="R7" t="s">
        <v>464</v>
      </c>
      <c r="S7">
        <v>2500</v>
      </c>
    </row>
    <row r="8" spans="1:19" x14ac:dyDescent="0.25">
      <c r="A8" s="21"/>
      <c r="B8" s="40">
        <v>42312</v>
      </c>
      <c r="C8" s="46">
        <f>198+624+337</f>
        <v>1159</v>
      </c>
      <c r="D8" s="30" t="s">
        <v>865</v>
      </c>
      <c r="E8" s="28">
        <v>42312</v>
      </c>
      <c r="F8" s="52">
        <v>41714.089999999997</v>
      </c>
      <c r="G8" s="25"/>
      <c r="H8" s="29">
        <v>42312</v>
      </c>
      <c r="I8" s="62">
        <v>425</v>
      </c>
      <c r="J8" s="81"/>
      <c r="K8" s="73" t="s">
        <v>6</v>
      </c>
      <c r="L8" s="124">
        <v>28750</v>
      </c>
      <c r="M8" s="700">
        <v>46450</v>
      </c>
      <c r="N8" s="450"/>
      <c r="O8" s="25"/>
    </row>
    <row r="9" spans="1:19" x14ac:dyDescent="0.25">
      <c r="A9" s="21"/>
      <c r="B9" s="40">
        <v>42313</v>
      </c>
      <c r="C9" s="46">
        <v>19</v>
      </c>
      <c r="D9" s="96" t="s">
        <v>866</v>
      </c>
      <c r="E9" s="28">
        <v>42313</v>
      </c>
      <c r="F9" s="52">
        <v>39795.25</v>
      </c>
      <c r="G9" s="25"/>
      <c r="H9" s="29">
        <v>42313</v>
      </c>
      <c r="I9" s="62">
        <v>27</v>
      </c>
      <c r="J9" s="82"/>
      <c r="K9" s="73" t="s">
        <v>859</v>
      </c>
      <c r="L9" s="125">
        <f>6450+1600+2500</f>
        <v>10550</v>
      </c>
      <c r="M9" s="116">
        <v>39749</v>
      </c>
      <c r="N9" s="336"/>
      <c r="O9" s="25"/>
    </row>
    <row r="10" spans="1:19" x14ac:dyDescent="0.25">
      <c r="A10" s="21"/>
      <c r="B10" s="40">
        <v>42314</v>
      </c>
      <c r="C10" s="46">
        <v>720</v>
      </c>
      <c r="D10" s="96" t="s">
        <v>22</v>
      </c>
      <c r="E10" s="28">
        <v>42314</v>
      </c>
      <c r="F10" s="52">
        <v>63351.64</v>
      </c>
      <c r="G10" s="25"/>
      <c r="H10" s="29">
        <v>42314</v>
      </c>
      <c r="I10" s="62">
        <v>500</v>
      </c>
      <c r="J10" s="82"/>
      <c r="K10" s="73" t="s">
        <v>860</v>
      </c>
      <c r="L10" s="52">
        <v>9950</v>
      </c>
      <c r="M10" s="116">
        <v>61131.5</v>
      </c>
      <c r="N10" s="336"/>
      <c r="O10" s="25"/>
    </row>
    <row r="11" spans="1:19" x14ac:dyDescent="0.25">
      <c r="A11" s="21"/>
      <c r="B11" s="40">
        <v>42315</v>
      </c>
      <c r="C11" s="46">
        <v>180</v>
      </c>
      <c r="D11" s="96" t="s">
        <v>875</v>
      </c>
      <c r="E11" s="28">
        <v>42315</v>
      </c>
      <c r="F11" s="52">
        <v>86121.05</v>
      </c>
      <c r="G11" s="25"/>
      <c r="H11" s="29">
        <v>42315</v>
      </c>
      <c r="I11" s="62">
        <v>840</v>
      </c>
      <c r="J11" s="82"/>
      <c r="K11" s="73" t="s">
        <v>861</v>
      </c>
      <c r="L11" s="52">
        <v>9950</v>
      </c>
      <c r="M11" s="116">
        <v>85100</v>
      </c>
      <c r="N11" s="369" t="s">
        <v>877</v>
      </c>
      <c r="O11" s="25"/>
    </row>
    <row r="12" spans="1:19" x14ac:dyDescent="0.25">
      <c r="A12" s="21"/>
      <c r="B12" s="40">
        <v>42316</v>
      </c>
      <c r="C12" s="46"/>
      <c r="D12" s="30"/>
      <c r="E12" s="28">
        <v>42316</v>
      </c>
      <c r="F12" s="52">
        <v>49618.01</v>
      </c>
      <c r="G12" s="25"/>
      <c r="H12" s="29">
        <v>42316</v>
      </c>
      <c r="I12" s="62">
        <v>0</v>
      </c>
      <c r="J12" s="82"/>
      <c r="K12" s="73" t="s">
        <v>862</v>
      </c>
      <c r="L12" s="52">
        <v>10523</v>
      </c>
      <c r="M12" s="116">
        <v>40268</v>
      </c>
      <c r="N12" s="565">
        <v>1000</v>
      </c>
      <c r="O12" s="692" t="s">
        <v>863</v>
      </c>
      <c r="P12" s="6" t="s">
        <v>877</v>
      </c>
    </row>
    <row r="13" spans="1:19" x14ac:dyDescent="0.25">
      <c r="A13" s="21"/>
      <c r="B13" s="40">
        <v>42317</v>
      </c>
      <c r="C13" s="46">
        <v>20</v>
      </c>
      <c r="D13" s="96" t="s">
        <v>672</v>
      </c>
      <c r="E13" s="28">
        <v>42317</v>
      </c>
      <c r="F13" s="52">
        <v>38670.639999999999</v>
      </c>
      <c r="G13" s="25"/>
      <c r="H13" s="29">
        <v>42317</v>
      </c>
      <c r="I13" s="62">
        <v>0</v>
      </c>
      <c r="J13" s="82"/>
      <c r="K13" s="73" t="s">
        <v>926</v>
      </c>
      <c r="L13" s="52">
        <v>9950</v>
      </c>
      <c r="M13" s="116">
        <v>40882</v>
      </c>
      <c r="N13" s="450"/>
      <c r="O13" s="25"/>
    </row>
    <row r="14" spans="1:19" x14ac:dyDescent="0.25">
      <c r="A14" s="21"/>
      <c r="B14" s="40">
        <v>42318</v>
      </c>
      <c r="C14" s="46">
        <v>947</v>
      </c>
      <c r="D14" s="30" t="s">
        <v>524</v>
      </c>
      <c r="E14" s="28">
        <v>42318</v>
      </c>
      <c r="F14" s="52">
        <v>50576.87</v>
      </c>
      <c r="G14" s="25"/>
      <c r="H14" s="29">
        <v>42318</v>
      </c>
      <c r="I14" s="62">
        <v>97.5</v>
      </c>
      <c r="J14" s="82"/>
      <c r="K14" s="165"/>
      <c r="L14" s="52">
        <v>0</v>
      </c>
      <c r="M14" s="116">
        <v>49532</v>
      </c>
      <c r="N14" s="450"/>
      <c r="O14" s="25"/>
    </row>
    <row r="15" spans="1:19" x14ac:dyDescent="0.25">
      <c r="A15" s="21"/>
      <c r="B15" s="40">
        <v>42319</v>
      </c>
      <c r="C15" s="46">
        <v>0</v>
      </c>
      <c r="D15" s="30"/>
      <c r="E15" s="28">
        <v>42319</v>
      </c>
      <c r="F15" s="52">
        <v>37798.29</v>
      </c>
      <c r="G15" s="25"/>
      <c r="H15" s="29">
        <v>42319</v>
      </c>
      <c r="I15" s="62">
        <v>420</v>
      </c>
      <c r="J15" s="82"/>
      <c r="K15" s="744" t="s">
        <v>870</v>
      </c>
      <c r="L15" s="52">
        <v>13653</v>
      </c>
      <c r="M15" s="116">
        <v>34725</v>
      </c>
      <c r="N15" s="336"/>
      <c r="O15" s="25"/>
    </row>
    <row r="16" spans="1:19" x14ac:dyDescent="0.25">
      <c r="A16" s="21"/>
      <c r="B16" s="40">
        <v>42320</v>
      </c>
      <c r="C16" s="46">
        <v>0</v>
      </c>
      <c r="D16" s="96"/>
      <c r="E16" s="28">
        <v>42320</v>
      </c>
      <c r="F16" s="52">
        <v>52184.88</v>
      </c>
      <c r="G16" s="25"/>
      <c r="H16" s="29">
        <v>42320</v>
      </c>
      <c r="I16" s="62">
        <v>983.95</v>
      </c>
      <c r="J16" s="82"/>
      <c r="K16" s="192" t="s">
        <v>61</v>
      </c>
      <c r="L16" s="490">
        <v>6</v>
      </c>
      <c r="M16" s="116">
        <v>37548</v>
      </c>
      <c r="N16" s="336"/>
      <c r="O16" s="25"/>
    </row>
    <row r="17" spans="1:18" x14ac:dyDescent="0.25">
      <c r="A17" s="21"/>
      <c r="B17" s="40">
        <v>42321</v>
      </c>
      <c r="C17" s="46">
        <v>0</v>
      </c>
      <c r="D17" s="30"/>
      <c r="E17" s="28">
        <v>42321</v>
      </c>
      <c r="F17" s="52">
        <v>85692.76</v>
      </c>
      <c r="G17" s="25"/>
      <c r="H17" s="29">
        <v>42321</v>
      </c>
      <c r="I17" s="62">
        <v>0</v>
      </c>
      <c r="J17" s="82"/>
      <c r="K17" s="73" t="s">
        <v>815</v>
      </c>
      <c r="L17" s="52">
        <v>0</v>
      </c>
      <c r="M17" s="116">
        <v>85156</v>
      </c>
      <c r="N17" s="336"/>
      <c r="O17" s="25"/>
    </row>
    <row r="18" spans="1:18" x14ac:dyDescent="0.25">
      <c r="A18" s="21"/>
      <c r="B18" s="40">
        <v>42322</v>
      </c>
      <c r="C18" s="46">
        <v>1040</v>
      </c>
      <c r="D18" s="30" t="s">
        <v>865</v>
      </c>
      <c r="E18" s="28">
        <v>42322</v>
      </c>
      <c r="F18" s="52">
        <v>108409.91</v>
      </c>
      <c r="G18" s="25"/>
      <c r="H18" s="29">
        <v>42322</v>
      </c>
      <c r="I18" s="62">
        <v>320</v>
      </c>
      <c r="J18" s="82"/>
      <c r="K18" s="192" t="s">
        <v>818</v>
      </c>
      <c r="L18" s="52">
        <v>0</v>
      </c>
      <c r="M18" s="116">
        <f>89027+34440.5</f>
        <v>123467.5</v>
      </c>
      <c r="N18" s="450"/>
      <c r="O18" s="614"/>
      <c r="P18" s="25"/>
    </row>
    <row r="19" spans="1:18" x14ac:dyDescent="0.25">
      <c r="A19" s="21"/>
      <c r="B19" s="40">
        <v>42323</v>
      </c>
      <c r="C19" s="46">
        <v>0</v>
      </c>
      <c r="D19" s="96"/>
      <c r="E19" s="28">
        <v>42323</v>
      </c>
      <c r="F19" s="52">
        <v>61564.25</v>
      </c>
      <c r="G19" s="25"/>
      <c r="H19" s="29">
        <v>42323</v>
      </c>
      <c r="I19" s="62">
        <v>0</v>
      </c>
      <c r="J19" s="82"/>
      <c r="K19" s="286" t="s">
        <v>109</v>
      </c>
      <c r="L19" s="538">
        <v>0</v>
      </c>
      <c r="M19" s="116">
        <v>55759</v>
      </c>
      <c r="N19" s="733" t="s">
        <v>879</v>
      </c>
      <c r="O19" s="748"/>
      <c r="P19" s="25"/>
    </row>
    <row r="20" spans="1:18" x14ac:dyDescent="0.25">
      <c r="A20" s="21"/>
      <c r="B20" s="40">
        <v>42324</v>
      </c>
      <c r="C20" s="46">
        <v>9</v>
      </c>
      <c r="D20" s="70" t="s">
        <v>672</v>
      </c>
      <c r="E20" s="28">
        <v>42324</v>
      </c>
      <c r="F20" s="52">
        <v>43180.14</v>
      </c>
      <c r="G20" s="25"/>
      <c r="H20" s="29">
        <v>42324</v>
      </c>
      <c r="I20" s="63">
        <v>259</v>
      </c>
      <c r="J20" s="82"/>
      <c r="K20" s="486" t="s">
        <v>111</v>
      </c>
      <c r="L20" s="490">
        <v>0</v>
      </c>
      <c r="M20" s="116">
        <v>42921</v>
      </c>
      <c r="N20" s="336"/>
      <c r="O20" s="25"/>
    </row>
    <row r="21" spans="1:18" x14ac:dyDescent="0.25">
      <c r="A21" s="21"/>
      <c r="B21" s="40">
        <v>42325</v>
      </c>
      <c r="C21" s="46">
        <v>522</v>
      </c>
      <c r="D21" s="30" t="s">
        <v>22</v>
      </c>
      <c r="E21" s="28">
        <v>42325</v>
      </c>
      <c r="F21" s="52">
        <v>51295.09</v>
      </c>
      <c r="G21" s="25"/>
      <c r="H21" s="29">
        <v>42325</v>
      </c>
      <c r="I21" s="63">
        <v>0</v>
      </c>
      <c r="J21" s="82"/>
      <c r="K21" s="644" t="s">
        <v>868</v>
      </c>
      <c r="L21" s="490">
        <v>1853</v>
      </c>
      <c r="M21" s="116">
        <v>44773</v>
      </c>
      <c r="N21" s="336"/>
      <c r="O21" s="749" t="s">
        <v>893</v>
      </c>
      <c r="P21" s="749"/>
      <c r="Q21" s="749"/>
      <c r="R21" s="749"/>
    </row>
    <row r="22" spans="1:18" x14ac:dyDescent="0.25">
      <c r="A22" s="21"/>
      <c r="B22" s="40">
        <v>42326</v>
      </c>
      <c r="C22" s="46">
        <v>726</v>
      </c>
      <c r="D22" s="96" t="s">
        <v>883</v>
      </c>
      <c r="E22" s="28">
        <v>42326</v>
      </c>
      <c r="F22" s="52">
        <v>48527.42</v>
      </c>
      <c r="G22" s="25"/>
      <c r="H22" s="29">
        <v>42326</v>
      </c>
      <c r="I22" s="63">
        <v>462</v>
      </c>
      <c r="J22" s="149"/>
      <c r="K22" s="491" t="s">
        <v>869</v>
      </c>
      <c r="L22" s="490">
        <v>800</v>
      </c>
      <c r="M22" s="116">
        <v>47339.5</v>
      </c>
      <c r="N22" s="336"/>
      <c r="O22" s="25"/>
    </row>
    <row r="23" spans="1:18" x14ac:dyDescent="0.25">
      <c r="A23" s="21"/>
      <c r="B23" s="40">
        <v>42327</v>
      </c>
      <c r="C23" s="46">
        <v>564</v>
      </c>
      <c r="D23" s="96" t="s">
        <v>83</v>
      </c>
      <c r="E23" s="28">
        <v>42327</v>
      </c>
      <c r="F23" s="52">
        <v>43658.879999999997</v>
      </c>
      <c r="G23" s="25"/>
      <c r="H23" s="29">
        <v>42327</v>
      </c>
      <c r="I23" s="63">
        <v>0</v>
      </c>
      <c r="J23" s="81"/>
      <c r="K23" s="674" t="s">
        <v>864</v>
      </c>
      <c r="L23" s="490">
        <v>5000</v>
      </c>
      <c r="M23" s="700">
        <v>43095</v>
      </c>
      <c r="N23" s="336"/>
      <c r="O23" s="25"/>
      <c r="P23" s="25"/>
    </row>
    <row r="24" spans="1:18" x14ac:dyDescent="0.25">
      <c r="A24" s="21"/>
      <c r="B24" s="40">
        <v>42328</v>
      </c>
      <c r="C24" s="46">
        <v>880</v>
      </c>
      <c r="D24" s="96" t="s">
        <v>44</v>
      </c>
      <c r="E24" s="28">
        <v>42328</v>
      </c>
      <c r="F24" s="52">
        <v>100658.41</v>
      </c>
      <c r="G24" s="25"/>
      <c r="H24" s="29">
        <v>42328</v>
      </c>
      <c r="I24" s="63">
        <v>426.88</v>
      </c>
      <c r="J24" s="82"/>
      <c r="K24" s="706" t="s">
        <v>867</v>
      </c>
      <c r="L24" s="490">
        <v>1000</v>
      </c>
      <c r="M24" s="700">
        <v>99351.5</v>
      </c>
      <c r="N24" s="336"/>
      <c r="O24" s="25"/>
      <c r="P24" s="25"/>
    </row>
    <row r="25" spans="1:18" x14ac:dyDescent="0.25">
      <c r="A25" s="21"/>
      <c r="B25" s="40">
        <v>42329</v>
      </c>
      <c r="C25" s="46">
        <v>1393</v>
      </c>
      <c r="D25" s="30" t="s">
        <v>931</v>
      </c>
      <c r="E25" s="28">
        <v>42329</v>
      </c>
      <c r="F25" s="52">
        <v>65780.5</v>
      </c>
      <c r="G25" s="25"/>
      <c r="H25" s="29">
        <v>42329</v>
      </c>
      <c r="I25" s="63">
        <v>676.5</v>
      </c>
      <c r="J25" s="81"/>
      <c r="K25" s="706" t="s">
        <v>878</v>
      </c>
      <c r="L25" s="490">
        <v>2500</v>
      </c>
      <c r="M25" s="116">
        <v>63840</v>
      </c>
      <c r="N25" s="450"/>
      <c r="O25" s="25"/>
      <c r="P25" s="25"/>
    </row>
    <row r="26" spans="1:18" x14ac:dyDescent="0.25">
      <c r="A26" s="21"/>
      <c r="B26" s="40">
        <v>42330</v>
      </c>
      <c r="C26" s="46">
        <v>15</v>
      </c>
      <c r="D26" s="30" t="s">
        <v>934</v>
      </c>
      <c r="E26" s="28">
        <v>42330</v>
      </c>
      <c r="F26" s="52">
        <v>66311.67</v>
      </c>
      <c r="G26" s="25"/>
      <c r="H26" s="29">
        <v>42330</v>
      </c>
      <c r="I26" s="63">
        <v>0</v>
      </c>
      <c r="J26" s="98"/>
      <c r="K26" s="674" t="s">
        <v>880</v>
      </c>
      <c r="L26" s="490">
        <v>600</v>
      </c>
      <c r="M26" s="116">
        <v>55267</v>
      </c>
      <c r="N26" s="565">
        <v>4500</v>
      </c>
      <c r="O26" s="692" t="s">
        <v>935</v>
      </c>
      <c r="P26" s="555"/>
    </row>
    <row r="27" spans="1:18" x14ac:dyDescent="0.25">
      <c r="A27" s="21"/>
      <c r="B27" s="40">
        <v>42331</v>
      </c>
      <c r="C27" s="46">
        <v>0</v>
      </c>
      <c r="D27" s="30"/>
      <c r="E27" s="28">
        <v>42331</v>
      </c>
      <c r="F27" s="52">
        <v>44162.45</v>
      </c>
      <c r="G27" s="25"/>
      <c r="H27" s="29">
        <v>42331</v>
      </c>
      <c r="I27" s="63">
        <v>0</v>
      </c>
      <c r="J27" s="81"/>
      <c r="K27" s="489" t="s">
        <v>882</v>
      </c>
      <c r="L27" s="490">
        <v>3500</v>
      </c>
      <c r="M27" s="116">
        <v>44162.5</v>
      </c>
      <c r="N27" s="450"/>
      <c r="O27" s="25"/>
      <c r="P27" s="25"/>
    </row>
    <row r="28" spans="1:18" x14ac:dyDescent="0.25">
      <c r="A28" s="21"/>
      <c r="B28" s="40">
        <v>42332</v>
      </c>
      <c r="C28" s="46">
        <v>856</v>
      </c>
      <c r="D28" s="30" t="s">
        <v>891</v>
      </c>
      <c r="E28" s="28">
        <v>42332</v>
      </c>
      <c r="F28" s="52">
        <v>45092.52</v>
      </c>
      <c r="G28" s="25"/>
      <c r="H28" s="29">
        <v>42332</v>
      </c>
      <c r="I28" s="63">
        <v>0</v>
      </c>
      <c r="J28" s="81"/>
      <c r="K28" s="131" t="s">
        <v>892</v>
      </c>
      <c r="L28" s="490">
        <v>3000</v>
      </c>
      <c r="M28" s="116">
        <v>44236.5</v>
      </c>
      <c r="N28" s="336"/>
      <c r="O28" s="25"/>
      <c r="P28" s="25"/>
    </row>
    <row r="29" spans="1:18" x14ac:dyDescent="0.25">
      <c r="A29" s="21"/>
      <c r="B29" s="40">
        <v>42333</v>
      </c>
      <c r="C29" s="46">
        <v>0</v>
      </c>
      <c r="D29" s="30"/>
      <c r="E29" s="28">
        <v>42333</v>
      </c>
      <c r="F29" s="52">
        <v>38261.67</v>
      </c>
      <c r="G29" s="25"/>
      <c r="H29" s="29">
        <v>42333</v>
      </c>
      <c r="I29" s="63">
        <v>627.35</v>
      </c>
      <c r="J29" s="81"/>
      <c r="K29" s="132" t="s">
        <v>932</v>
      </c>
      <c r="L29" s="539">
        <v>4500</v>
      </c>
      <c r="M29" s="116">
        <v>34634</v>
      </c>
      <c r="N29" s="336"/>
      <c r="O29" s="25"/>
      <c r="P29" s="25"/>
    </row>
    <row r="30" spans="1:18" ht="15.75" thickBot="1" x14ac:dyDescent="0.3">
      <c r="A30" s="21"/>
      <c r="B30" s="40">
        <v>42334</v>
      </c>
      <c r="C30" s="46">
        <v>562</v>
      </c>
      <c r="D30" s="30" t="s">
        <v>83</v>
      </c>
      <c r="E30" s="28">
        <v>42334</v>
      </c>
      <c r="F30" s="52">
        <v>44223.57</v>
      </c>
      <c r="G30" s="25"/>
      <c r="H30" s="29">
        <v>42334</v>
      </c>
      <c r="I30" s="63">
        <v>0</v>
      </c>
      <c r="J30" s="98"/>
      <c r="K30" s="131" t="s">
        <v>936</v>
      </c>
      <c r="L30" s="539">
        <v>2500</v>
      </c>
      <c r="M30" s="116">
        <v>31312.5</v>
      </c>
      <c r="N30" s="336"/>
      <c r="O30" s="25"/>
      <c r="P30" s="25"/>
    </row>
    <row r="31" spans="1:18" x14ac:dyDescent="0.25">
      <c r="A31" s="21"/>
      <c r="B31" s="40">
        <v>42335</v>
      </c>
      <c r="C31" s="46">
        <v>0</v>
      </c>
      <c r="D31" s="30"/>
      <c r="E31" s="28">
        <v>42335</v>
      </c>
      <c r="F31" s="52">
        <v>75722.820000000007</v>
      </c>
      <c r="G31" s="25"/>
      <c r="H31" s="29">
        <v>42335</v>
      </c>
      <c r="I31" s="63">
        <v>300</v>
      </c>
      <c r="J31" s="82"/>
      <c r="K31" s="552"/>
      <c r="L31" s="822">
        <v>0</v>
      </c>
      <c r="M31" s="116">
        <v>75423</v>
      </c>
      <c r="N31" s="450"/>
      <c r="O31" s="25"/>
      <c r="P31" s="25"/>
      <c r="Q31" s="25"/>
    </row>
    <row r="32" spans="1:18" ht="15.75" thickBot="1" x14ac:dyDescent="0.3">
      <c r="A32" s="21"/>
      <c r="B32" s="40">
        <v>42336</v>
      </c>
      <c r="C32" s="46">
        <v>0</v>
      </c>
      <c r="D32" s="30"/>
      <c r="E32" s="28">
        <v>42336</v>
      </c>
      <c r="F32" s="52">
        <v>83230.97</v>
      </c>
      <c r="G32" s="25"/>
      <c r="H32" s="29">
        <v>42336</v>
      </c>
      <c r="I32" s="63">
        <v>20</v>
      </c>
      <c r="J32" s="81"/>
      <c r="K32" s="489"/>
      <c r="L32" s="823"/>
      <c r="M32" s="116">
        <v>83211</v>
      </c>
      <c r="N32" s="336"/>
      <c r="O32" s="25"/>
    </row>
    <row r="33" spans="1:17" ht="15" customHeight="1" x14ac:dyDescent="0.25">
      <c r="A33" s="21"/>
      <c r="B33" s="40">
        <v>42337</v>
      </c>
      <c r="C33" s="46"/>
      <c r="D33" s="96"/>
      <c r="E33" s="28">
        <v>42337</v>
      </c>
      <c r="F33" s="52">
        <v>60769.55</v>
      </c>
      <c r="G33" s="25"/>
      <c r="H33" s="29">
        <v>42337</v>
      </c>
      <c r="I33" s="63">
        <v>80</v>
      </c>
      <c r="J33" s="81"/>
      <c r="K33" s="553" t="s">
        <v>933</v>
      </c>
      <c r="L33" s="761">
        <v>107</v>
      </c>
      <c r="M33" s="116">
        <v>47839</v>
      </c>
      <c r="N33" s="450"/>
      <c r="O33" s="25"/>
    </row>
    <row r="34" spans="1:17" ht="15.75" customHeight="1" thickBot="1" x14ac:dyDescent="0.3">
      <c r="A34" s="21"/>
      <c r="B34" s="40">
        <v>42338</v>
      </c>
      <c r="C34" s="46">
        <v>590</v>
      </c>
      <c r="D34" s="30" t="s">
        <v>83</v>
      </c>
      <c r="E34" s="28">
        <v>42338</v>
      </c>
      <c r="F34" s="52">
        <v>43494.5</v>
      </c>
      <c r="G34" s="25"/>
      <c r="H34" s="29">
        <v>42338</v>
      </c>
      <c r="I34" s="63">
        <v>1400</v>
      </c>
      <c r="J34" s="81"/>
      <c r="K34" s="554"/>
      <c r="L34" s="762"/>
      <c r="M34" s="116">
        <v>41504.5</v>
      </c>
      <c r="N34" s="450"/>
      <c r="O34" s="25"/>
    </row>
    <row r="35" spans="1:17" ht="15.75" thickBot="1" x14ac:dyDescent="0.3">
      <c r="A35" s="21"/>
      <c r="B35" s="40"/>
      <c r="C35" s="46"/>
      <c r="D35" s="96"/>
      <c r="E35" s="28"/>
      <c r="F35" s="52"/>
      <c r="G35" s="25"/>
      <c r="H35" s="29"/>
      <c r="I35" s="63"/>
      <c r="J35" s="81"/>
      <c r="K35" s="488"/>
      <c r="L35" s="68">
        <v>0</v>
      </c>
      <c r="M35" s="116"/>
    </row>
    <row r="36" spans="1:17" ht="15.75" thickBot="1" x14ac:dyDescent="0.3">
      <c r="A36" s="15"/>
      <c r="B36" s="145"/>
      <c r="C36" s="146">
        <v>0</v>
      </c>
      <c r="D36" s="156"/>
      <c r="E36" s="28"/>
      <c r="F36" s="52">
        <v>0</v>
      </c>
      <c r="G36" s="25"/>
      <c r="H36" s="147"/>
      <c r="I36" s="148">
        <v>0</v>
      </c>
      <c r="J36" s="56"/>
      <c r="K36" s="11"/>
      <c r="L36" s="7"/>
      <c r="M36" s="115">
        <v>0</v>
      </c>
      <c r="P36" s="612"/>
      <c r="Q36" s="612"/>
    </row>
    <row r="37" spans="1:17" ht="16.5" thickBot="1" x14ac:dyDescent="0.3">
      <c r="A37" s="99"/>
      <c r="B37" s="42"/>
      <c r="C37" s="48">
        <v>0</v>
      </c>
      <c r="D37" s="156"/>
      <c r="E37" s="9"/>
      <c r="F37" s="54">
        <v>0</v>
      </c>
      <c r="H37" s="32"/>
      <c r="I37" s="65">
        <v>0</v>
      </c>
      <c r="J37" s="56"/>
      <c r="K37" s="17"/>
      <c r="L37" s="117"/>
      <c r="M37" s="729">
        <f>SUM(M5:M36)</f>
        <v>1621138</v>
      </c>
    </row>
    <row r="38" spans="1:17" x14ac:dyDescent="0.25">
      <c r="B38" s="43" t="s">
        <v>1</v>
      </c>
      <c r="C38" s="49">
        <f>SUM(C5:C37)</f>
        <v>11103</v>
      </c>
      <c r="E38" s="725" t="s">
        <v>1</v>
      </c>
      <c r="F38" s="55">
        <f>SUM(F5:F37)</f>
        <v>1697383.18</v>
      </c>
      <c r="H38" s="727" t="s">
        <v>1</v>
      </c>
      <c r="I38" s="59">
        <f>SUM(I5:I37)</f>
        <v>9702.380000000001</v>
      </c>
      <c r="J38" s="59"/>
      <c r="K38" s="18" t="s">
        <v>1</v>
      </c>
      <c r="L38" s="4">
        <f>SUM(L5:L37)</f>
        <v>131578</v>
      </c>
    </row>
    <row r="40" spans="1:17" ht="15.75" x14ac:dyDescent="0.25">
      <c r="A40" s="5"/>
      <c r="B40" s="280"/>
      <c r="C40" s="81"/>
      <c r="D40" s="157"/>
      <c r="E40" s="13"/>
      <c r="F40" s="56"/>
      <c r="H40" s="785" t="s">
        <v>11</v>
      </c>
      <c r="I40" s="786"/>
      <c r="J40" s="726"/>
      <c r="K40" s="787">
        <f>I38+L38</f>
        <v>141280.38</v>
      </c>
      <c r="L40" s="788"/>
    </row>
    <row r="41" spans="1:17" ht="15.75" x14ac:dyDescent="0.25">
      <c r="B41" s="281"/>
      <c r="C41" s="56"/>
      <c r="D41" s="779" t="s">
        <v>12</v>
      </c>
      <c r="E41" s="779"/>
      <c r="F41" s="57">
        <f>F38-K40</f>
        <v>1556102.7999999998</v>
      </c>
      <c r="I41" s="66"/>
      <c r="J41" s="66"/>
    </row>
    <row r="42" spans="1:17" ht="15.75" x14ac:dyDescent="0.25">
      <c r="D42" s="805" t="s">
        <v>246</v>
      </c>
      <c r="E42" s="805"/>
      <c r="F42" s="57">
        <v>0</v>
      </c>
      <c r="I42" s="66"/>
      <c r="J42" s="66" t="s">
        <v>17</v>
      </c>
    </row>
    <row r="43" spans="1:17" ht="15.75" thickBot="1" x14ac:dyDescent="0.3">
      <c r="D43" s="159"/>
      <c r="E43" s="120" t="s">
        <v>0</v>
      </c>
      <c r="F43" s="121">
        <v>-1503898.52</v>
      </c>
    </row>
    <row r="44" spans="1:17" ht="15.75" thickTop="1" x14ac:dyDescent="0.25">
      <c r="C44" s="44" t="s">
        <v>17</v>
      </c>
      <c r="E44" s="5" t="s">
        <v>15</v>
      </c>
      <c r="F44" s="59">
        <f>SUM(F41:F43)</f>
        <v>52204.279999999795</v>
      </c>
      <c r="I44" s="813" t="s">
        <v>248</v>
      </c>
      <c r="J44" s="814"/>
      <c r="K44" s="803">
        <f>F48+L46</f>
        <v>209538.01999999979</v>
      </c>
      <c r="L44" s="795"/>
    </row>
    <row r="45" spans="1:17" ht="15.75" thickBot="1" x14ac:dyDescent="0.3">
      <c r="D45" s="265" t="s">
        <v>253</v>
      </c>
      <c r="E45" s="5" t="s">
        <v>247</v>
      </c>
      <c r="F45" s="59">
        <v>46382.19</v>
      </c>
      <c r="I45" s="815"/>
      <c r="J45" s="816"/>
      <c r="K45" s="804"/>
      <c r="L45" s="796"/>
    </row>
    <row r="46" spans="1:17" ht="17.25" thickTop="1" thickBot="1" x14ac:dyDescent="0.3">
      <c r="C46" s="55"/>
      <c r="D46" s="778" t="s">
        <v>13</v>
      </c>
      <c r="E46" s="778"/>
      <c r="F46" s="60">
        <v>110951.55</v>
      </c>
      <c r="I46" s="790"/>
      <c r="J46" s="790"/>
      <c r="K46" s="812"/>
      <c r="L46" s="34"/>
    </row>
    <row r="47" spans="1:17" ht="19.5" thickBot="1" x14ac:dyDescent="0.35">
      <c r="C47" s="55"/>
      <c r="D47" s="725"/>
      <c r="E47" s="725"/>
      <c r="F47" s="139"/>
      <c r="H47" s="19"/>
      <c r="I47" s="728" t="s">
        <v>254</v>
      </c>
      <c r="J47" s="728"/>
      <c r="K47" s="806">
        <v>-168975.09</v>
      </c>
      <c r="L47" s="807"/>
    </row>
    <row r="48" spans="1:17" ht="17.25" thickTop="1" thickBot="1" x14ac:dyDescent="0.3">
      <c r="E48" s="6" t="s">
        <v>16</v>
      </c>
      <c r="F48" s="264">
        <f>F44+F45+F46</f>
        <v>209538.01999999979</v>
      </c>
    </row>
    <row r="49" spans="2:14" ht="19.5" thickBot="1" x14ac:dyDescent="0.35">
      <c r="B49"/>
      <c r="C49"/>
      <c r="D49" s="777"/>
      <c r="E49" s="777"/>
      <c r="F49" s="56"/>
      <c r="I49" s="810" t="s">
        <v>249</v>
      </c>
      <c r="J49" s="811"/>
      <c r="K49" s="808">
        <f>K44+K47</f>
        <v>40562.929999999789</v>
      </c>
      <c r="L49" s="809"/>
      <c r="M49" s="113"/>
      <c r="N49"/>
    </row>
    <row r="50" spans="2:14" x14ac:dyDescent="0.25">
      <c r="B50"/>
      <c r="C50"/>
      <c r="M50" s="113"/>
      <c r="N50"/>
    </row>
    <row r="51" spans="2:14" x14ac:dyDescent="0.25">
      <c r="B51"/>
      <c r="C51"/>
      <c r="N51"/>
    </row>
    <row r="52" spans="2:14" x14ac:dyDescent="0.25">
      <c r="B52"/>
      <c r="C52"/>
      <c r="F52"/>
      <c r="I52"/>
      <c r="J52"/>
      <c r="M52"/>
      <c r="N52"/>
    </row>
    <row r="53" spans="2:14" x14ac:dyDescent="0.25">
      <c r="B53"/>
      <c r="C53"/>
      <c r="N53"/>
    </row>
    <row r="54" spans="2:14" x14ac:dyDescent="0.25">
      <c r="M54" s="56"/>
      <c r="N54"/>
    </row>
    <row r="55" spans="2:14" x14ac:dyDescent="0.25">
      <c r="M55" s="56"/>
      <c r="N55"/>
    </row>
    <row r="56" spans="2:14" x14ac:dyDescent="0.25">
      <c r="M56" s="56"/>
      <c r="N56"/>
    </row>
    <row r="57" spans="2:14" x14ac:dyDescent="0.25">
      <c r="M57" s="56"/>
      <c r="N57"/>
    </row>
  </sheetData>
  <mergeCells count="16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H40:I40"/>
    <mergeCell ref="K40:L40"/>
    <mergeCell ref="C1:K1"/>
    <mergeCell ref="E4:F4"/>
    <mergeCell ref="I4:L4"/>
    <mergeCell ref="L31:L32"/>
  </mergeCells>
  <pageMargins left="0.70866141732283472" right="0.70866141732283472" top="0.35433070866141736" bottom="0.15748031496062992" header="0.31496062992125984" footer="0.31496062992125984"/>
  <pageSetup scale="75" orientation="landscape" horizontalDpi="0" verticalDpi="0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X49"/>
  <sheetViews>
    <sheetView workbookViewId="0">
      <selection activeCell="C34" sqref="C34"/>
    </sheetView>
  </sheetViews>
  <sheetFormatPr baseColWidth="10" defaultRowHeight="15" x14ac:dyDescent="0.25"/>
  <cols>
    <col min="1" max="1" width="12.5703125" style="614" bestFit="1" customWidth="1"/>
    <col min="2" max="2" width="12.85546875" style="25" bestFit="1" customWidth="1"/>
    <col min="3" max="3" width="15.85546875" style="336" bestFit="1" customWidth="1"/>
    <col min="4" max="4" width="12.42578125" style="25" bestFit="1" customWidth="1"/>
    <col min="5" max="5" width="15.140625" style="336" bestFit="1" customWidth="1"/>
    <col min="6" max="6" width="18.5703125" style="336" bestFit="1" customWidth="1"/>
    <col min="7" max="7" width="11.42578125" style="25"/>
    <col min="8" max="8" width="12.5703125" bestFit="1" customWidth="1"/>
    <col min="9" max="9" width="9.85546875" bestFit="1" customWidth="1"/>
    <col min="10" max="10" width="18.42578125" customWidth="1"/>
    <col min="11" max="11" width="6.5703125" bestFit="1" customWidth="1"/>
    <col min="12" max="12" width="11.140625" bestFit="1" customWidth="1"/>
    <col min="13" max="13" width="20.140625" bestFit="1" customWidth="1"/>
    <col min="14" max="14" width="11.7109375" bestFit="1" customWidth="1"/>
    <col min="19" max="19" width="14.42578125" customWidth="1"/>
    <col min="22" max="22" width="20.140625" bestFit="1" customWidth="1"/>
    <col min="23" max="23" width="11.7109375" bestFit="1" customWidth="1"/>
  </cols>
  <sheetData>
    <row r="1" spans="1:24" ht="19.5" thickBot="1" x14ac:dyDescent="0.35">
      <c r="B1" s="621" t="s">
        <v>833</v>
      </c>
      <c r="C1" s="622"/>
      <c r="D1" s="584"/>
      <c r="E1" s="622"/>
      <c r="J1" s="474" t="s">
        <v>205</v>
      </c>
      <c r="K1" s="204"/>
      <c r="L1" s="730"/>
      <c r="M1" s="734">
        <v>42312</v>
      </c>
      <c r="N1" s="276"/>
      <c r="S1" s="474" t="s">
        <v>205</v>
      </c>
      <c r="T1" s="204"/>
      <c r="U1" s="743"/>
      <c r="V1" s="425">
        <v>42321</v>
      </c>
      <c r="W1" s="276"/>
    </row>
    <row r="2" spans="1:24" ht="16.5" thickBot="1" x14ac:dyDescent="0.3">
      <c r="A2" s="615"/>
      <c r="B2" s="616"/>
      <c r="C2" s="513"/>
      <c r="D2" s="616"/>
      <c r="E2" s="513"/>
      <c r="F2" s="513"/>
      <c r="I2" s="205"/>
      <c r="J2" s="419"/>
      <c r="K2" s="205"/>
      <c r="L2" s="206"/>
      <c r="M2" s="419"/>
      <c r="N2" s="519"/>
      <c r="R2" s="205"/>
      <c r="S2" s="419"/>
      <c r="T2" s="205"/>
      <c r="U2" s="206"/>
      <c r="V2" s="419"/>
      <c r="W2" s="519"/>
    </row>
    <row r="3" spans="1:24" ht="15.75" x14ac:dyDescent="0.25">
      <c r="A3" s="411">
        <v>42310</v>
      </c>
      <c r="B3" s="412" t="s">
        <v>834</v>
      </c>
      <c r="C3" s="450">
        <v>29049.599999999999</v>
      </c>
      <c r="D3" s="534">
        <v>42312</v>
      </c>
      <c r="E3" s="450">
        <v>29049.599999999999</v>
      </c>
      <c r="F3" s="413">
        <f t="shared" ref="F3:F10" si="0">C3-E3</f>
        <v>0</v>
      </c>
      <c r="I3" s="212" t="s">
        <v>202</v>
      </c>
      <c r="J3" s="419" t="s">
        <v>195</v>
      </c>
      <c r="K3" s="205"/>
      <c r="L3" s="206" t="s">
        <v>203</v>
      </c>
      <c r="M3" s="419" t="s">
        <v>204</v>
      </c>
      <c r="N3" s="519"/>
      <c r="R3" s="212" t="s">
        <v>202</v>
      </c>
      <c r="S3" s="419" t="s">
        <v>195</v>
      </c>
      <c r="T3" s="205"/>
      <c r="U3" s="206" t="s">
        <v>203</v>
      </c>
      <c r="V3" s="419" t="s">
        <v>204</v>
      </c>
      <c r="W3" s="519"/>
    </row>
    <row r="4" spans="1:24" ht="15.75" x14ac:dyDescent="0.25">
      <c r="A4" s="249">
        <v>42310</v>
      </c>
      <c r="B4" s="483" t="s">
        <v>835</v>
      </c>
      <c r="C4" s="450">
        <v>28170</v>
      </c>
      <c r="D4" s="617" t="s">
        <v>846</v>
      </c>
      <c r="E4" s="450">
        <f>27515.14+654.86</f>
        <v>28170</v>
      </c>
      <c r="F4" s="296">
        <f t="shared" si="0"/>
        <v>0</v>
      </c>
      <c r="I4" s="496" t="s">
        <v>825</v>
      </c>
      <c r="J4" s="432">
        <v>2158.12</v>
      </c>
      <c r="K4" s="216"/>
      <c r="L4" s="331" t="s">
        <v>674</v>
      </c>
      <c r="M4" s="522">
        <v>61215</v>
      </c>
      <c r="N4" s="523">
        <v>42301</v>
      </c>
      <c r="O4" s="21">
        <v>42300</v>
      </c>
      <c r="R4" s="496" t="s">
        <v>850</v>
      </c>
      <c r="S4" s="432">
        <v>14617.36</v>
      </c>
      <c r="T4" s="216" t="s">
        <v>856</v>
      </c>
      <c r="U4" s="331" t="s">
        <v>674</v>
      </c>
      <c r="V4" s="522">
        <v>39750</v>
      </c>
      <c r="W4" s="523">
        <v>42314</v>
      </c>
      <c r="X4" s="21">
        <v>42313</v>
      </c>
    </row>
    <row r="5" spans="1:24" ht="15.75" x14ac:dyDescent="0.25">
      <c r="A5" s="249">
        <v>42311</v>
      </c>
      <c r="B5" s="483" t="s">
        <v>837</v>
      </c>
      <c r="C5" s="450">
        <v>567</v>
      </c>
      <c r="D5" s="534">
        <v>42318</v>
      </c>
      <c r="E5" s="450">
        <v>567</v>
      </c>
      <c r="F5" s="296">
        <f t="shared" si="0"/>
        <v>0</v>
      </c>
      <c r="H5" s="336"/>
      <c r="I5" s="618" t="s">
        <v>827</v>
      </c>
      <c r="J5" s="432">
        <v>14305.99</v>
      </c>
      <c r="K5" s="234"/>
      <c r="L5" s="331">
        <v>32580658</v>
      </c>
      <c r="M5" s="522">
        <v>33533</v>
      </c>
      <c r="N5" s="523">
        <v>42300</v>
      </c>
      <c r="R5" s="496" t="s">
        <v>852</v>
      </c>
      <c r="S5" s="450">
        <v>14880.5</v>
      </c>
      <c r="T5" s="234"/>
      <c r="U5" s="331" t="s">
        <v>674</v>
      </c>
      <c r="V5" s="521">
        <v>40882</v>
      </c>
      <c r="W5" s="525">
        <v>42318</v>
      </c>
      <c r="X5" s="21">
        <v>42317</v>
      </c>
    </row>
    <row r="6" spans="1:24" ht="15.75" x14ac:dyDescent="0.25">
      <c r="A6" s="249">
        <v>42313</v>
      </c>
      <c r="B6" s="483" t="s">
        <v>838</v>
      </c>
      <c r="C6" s="450">
        <v>68142.02</v>
      </c>
      <c r="D6" s="534">
        <v>42318</v>
      </c>
      <c r="E6" s="450">
        <v>68142.02</v>
      </c>
      <c r="F6" s="296">
        <f t="shared" si="0"/>
        <v>0</v>
      </c>
      <c r="I6" s="618" t="s">
        <v>831</v>
      </c>
      <c r="J6" s="432">
        <v>117274.77</v>
      </c>
      <c r="K6" s="234"/>
      <c r="L6" s="331" t="s">
        <v>674</v>
      </c>
      <c r="M6" s="521">
        <v>65763</v>
      </c>
      <c r="N6" s="525">
        <v>42303</v>
      </c>
      <c r="O6" s="21">
        <v>42301</v>
      </c>
      <c r="R6" s="496" t="s">
        <v>853</v>
      </c>
      <c r="S6" s="450">
        <v>19829.759999999998</v>
      </c>
      <c r="T6" s="234"/>
      <c r="U6" s="331" t="s">
        <v>674</v>
      </c>
      <c r="V6" s="522">
        <v>34725</v>
      </c>
      <c r="W6" s="523">
        <v>42320</v>
      </c>
      <c r="X6" s="21">
        <v>42319</v>
      </c>
    </row>
    <row r="7" spans="1:24" ht="15.75" x14ac:dyDescent="0.25">
      <c r="A7" s="249">
        <v>42313</v>
      </c>
      <c r="B7" s="483" t="s">
        <v>839</v>
      </c>
      <c r="C7" s="81">
        <v>104913.33</v>
      </c>
      <c r="D7" s="703" t="s">
        <v>851</v>
      </c>
      <c r="E7" s="81">
        <f>104354.15+559.18</f>
        <v>104913.32999999999</v>
      </c>
      <c r="F7" s="296">
        <f t="shared" si="0"/>
        <v>0</v>
      </c>
      <c r="I7" s="618" t="s">
        <v>832</v>
      </c>
      <c r="J7" s="432">
        <v>12544</v>
      </c>
      <c r="K7" s="234"/>
      <c r="L7" s="331" t="s">
        <v>674</v>
      </c>
      <c r="M7" s="522">
        <v>54502</v>
      </c>
      <c r="N7" s="523">
        <v>42303</v>
      </c>
      <c r="O7" s="21">
        <v>42302</v>
      </c>
      <c r="R7" s="496" t="s">
        <v>854</v>
      </c>
      <c r="S7" s="450">
        <v>102882.64</v>
      </c>
      <c r="T7" s="234" t="s">
        <v>236</v>
      </c>
      <c r="U7" s="331" t="s">
        <v>674</v>
      </c>
      <c r="V7" s="522">
        <v>37548</v>
      </c>
      <c r="W7" s="523">
        <v>42321</v>
      </c>
      <c r="X7" s="21">
        <v>42320</v>
      </c>
    </row>
    <row r="8" spans="1:24" ht="15.75" x14ac:dyDescent="0.25">
      <c r="A8" s="249">
        <v>42314</v>
      </c>
      <c r="B8" s="483" t="s">
        <v>840</v>
      </c>
      <c r="C8" s="450">
        <v>11140</v>
      </c>
      <c r="D8" s="534">
        <v>42320</v>
      </c>
      <c r="E8" s="450">
        <v>11140</v>
      </c>
      <c r="F8" s="296">
        <f t="shared" si="0"/>
        <v>0</v>
      </c>
      <c r="I8" s="618" t="s">
        <v>829</v>
      </c>
      <c r="J8" s="432">
        <v>5963</v>
      </c>
      <c r="K8" s="234"/>
      <c r="L8" s="331" t="s">
        <v>674</v>
      </c>
      <c r="M8" s="522">
        <v>42653</v>
      </c>
      <c r="N8" s="523">
        <v>42304</v>
      </c>
      <c r="O8" s="21">
        <v>42303</v>
      </c>
      <c r="R8" s="496" t="s">
        <v>855</v>
      </c>
      <c r="S8" s="450">
        <v>694.74</v>
      </c>
      <c r="T8" s="234"/>
      <c r="U8" s="331" t="s">
        <v>674</v>
      </c>
      <c r="V8" s="522"/>
      <c r="W8" s="523"/>
    </row>
    <row r="9" spans="1:24" ht="15.75" x14ac:dyDescent="0.25">
      <c r="A9" s="249">
        <v>42314</v>
      </c>
      <c r="B9" s="483" t="s">
        <v>841</v>
      </c>
      <c r="C9" s="450">
        <v>5200.2</v>
      </c>
      <c r="D9" s="534">
        <v>42320</v>
      </c>
      <c r="E9" s="450">
        <v>5200.2</v>
      </c>
      <c r="F9" s="296">
        <f t="shared" si="0"/>
        <v>0</v>
      </c>
      <c r="I9" s="618" t="s">
        <v>830</v>
      </c>
      <c r="J9" s="432">
        <v>111329.38</v>
      </c>
      <c r="K9" s="234"/>
      <c r="L9" s="331" t="s">
        <v>674</v>
      </c>
      <c r="M9" s="521">
        <v>26905</v>
      </c>
      <c r="N9" s="525">
        <v>42305</v>
      </c>
      <c r="O9" s="21">
        <v>42304</v>
      </c>
      <c r="R9" s="344"/>
      <c r="S9" s="81"/>
      <c r="T9" s="234"/>
      <c r="U9" s="331" t="s">
        <v>674</v>
      </c>
      <c r="V9" s="521"/>
      <c r="W9" s="525"/>
    </row>
    <row r="10" spans="1:24" ht="15.75" x14ac:dyDescent="0.25">
      <c r="A10" s="343">
        <v>42315</v>
      </c>
      <c r="B10" s="344" t="s">
        <v>849</v>
      </c>
      <c r="C10" s="81">
        <v>104261.15</v>
      </c>
      <c r="D10" s="534">
        <v>42320</v>
      </c>
      <c r="E10" s="81">
        <v>104261.15</v>
      </c>
      <c r="F10" s="296">
        <f t="shared" si="0"/>
        <v>0</v>
      </c>
      <c r="I10" s="735" t="s">
        <v>834</v>
      </c>
      <c r="J10" s="432">
        <v>29049.599999999999</v>
      </c>
      <c r="K10" s="713"/>
      <c r="L10" s="331" t="s">
        <v>674</v>
      </c>
      <c r="M10" s="522">
        <v>35569</v>
      </c>
      <c r="N10" s="523">
        <v>42307</v>
      </c>
      <c r="O10" s="21">
        <v>42306</v>
      </c>
      <c r="R10" s="344"/>
      <c r="S10" s="81"/>
      <c r="T10" s="713"/>
      <c r="U10" s="331" t="s">
        <v>674</v>
      </c>
      <c r="V10" s="522"/>
      <c r="W10" s="523"/>
    </row>
    <row r="11" spans="1:24" ht="15.75" x14ac:dyDescent="0.25">
      <c r="A11" s="249">
        <v>42316</v>
      </c>
      <c r="B11" s="344" t="s">
        <v>848</v>
      </c>
      <c r="C11" s="81">
        <v>7531.4</v>
      </c>
      <c r="D11" s="534">
        <v>42320</v>
      </c>
      <c r="E11" s="81">
        <v>7531.4</v>
      </c>
      <c r="F11" s="297">
        <f t="shared" ref="F11:F37" si="1">C11-E11</f>
        <v>0</v>
      </c>
      <c r="I11" s="736" t="s">
        <v>835</v>
      </c>
      <c r="J11" s="432">
        <v>27515.14</v>
      </c>
      <c r="K11" s="713" t="s">
        <v>236</v>
      </c>
      <c r="L11" s="331" t="s">
        <v>674</v>
      </c>
      <c r="M11" s="521">
        <v>0</v>
      </c>
      <c r="N11" s="525"/>
      <c r="R11" s="736"/>
      <c r="S11" s="432"/>
      <c r="T11" s="713"/>
      <c r="U11" s="331" t="s">
        <v>674</v>
      </c>
      <c r="V11" s="521">
        <v>0</v>
      </c>
      <c r="W11" s="525"/>
    </row>
    <row r="12" spans="1:24" ht="15.75" x14ac:dyDescent="0.25">
      <c r="A12" s="249">
        <v>42317</v>
      </c>
      <c r="B12" s="344" t="s">
        <v>847</v>
      </c>
      <c r="C12" s="81">
        <v>24071.599999999999</v>
      </c>
      <c r="D12" s="534">
        <v>42320</v>
      </c>
      <c r="E12" s="81">
        <v>24071.599999999999</v>
      </c>
      <c r="F12" s="297">
        <f t="shared" si="1"/>
        <v>0</v>
      </c>
      <c r="I12" s="230"/>
      <c r="J12" s="232">
        <v>0</v>
      </c>
      <c r="K12" s="230"/>
      <c r="L12" s="230"/>
      <c r="M12" s="232">
        <v>0</v>
      </c>
      <c r="N12" s="230"/>
      <c r="R12" s="230"/>
      <c r="S12" s="232">
        <v>0</v>
      </c>
      <c r="T12" s="230"/>
      <c r="U12" s="230"/>
      <c r="V12" s="232">
        <v>0</v>
      </c>
      <c r="W12" s="230"/>
    </row>
    <row r="13" spans="1:24" x14ac:dyDescent="0.25">
      <c r="A13" s="343">
        <v>42318</v>
      </c>
      <c r="B13" s="496" t="s">
        <v>850</v>
      </c>
      <c r="C13" s="450">
        <v>82783.83</v>
      </c>
      <c r="D13" s="534" t="s">
        <v>857</v>
      </c>
      <c r="E13" s="450">
        <f>68166.47+14617.36</f>
        <v>82783.83</v>
      </c>
      <c r="F13" s="297">
        <f t="shared" si="1"/>
        <v>0</v>
      </c>
      <c r="J13" s="59">
        <f>SUM(J4:J12)</f>
        <v>320140</v>
      </c>
      <c r="K13" s="44"/>
      <c r="L13" s="44"/>
      <c r="M13" s="59">
        <f>SUM(M4:M12)</f>
        <v>320140</v>
      </c>
      <c r="S13" s="59">
        <f>SUM(S4:S12)</f>
        <v>152905</v>
      </c>
      <c r="T13" s="44"/>
      <c r="U13" s="44"/>
      <c r="V13" s="59">
        <f>SUM(V4:V12)</f>
        <v>152905</v>
      </c>
    </row>
    <row r="14" spans="1:24" x14ac:dyDescent="0.25">
      <c r="A14" s="343">
        <v>42319</v>
      </c>
      <c r="B14" s="496" t="s">
        <v>852</v>
      </c>
      <c r="C14" s="450">
        <v>14880.5</v>
      </c>
      <c r="D14" s="534">
        <v>42321</v>
      </c>
      <c r="E14" s="450">
        <v>14880.5</v>
      </c>
      <c r="F14" s="297">
        <f t="shared" si="1"/>
        <v>0</v>
      </c>
    </row>
    <row r="15" spans="1:24" ht="15.75" thickBot="1" x14ac:dyDescent="0.3">
      <c r="A15" s="343">
        <v>42320</v>
      </c>
      <c r="B15" s="496" t="s">
        <v>853</v>
      </c>
      <c r="C15" s="450">
        <v>19829.759999999998</v>
      </c>
      <c r="D15" s="534">
        <v>42321</v>
      </c>
      <c r="E15" s="450">
        <v>19829.759999999998</v>
      </c>
      <c r="F15" s="297">
        <f t="shared" si="1"/>
        <v>0</v>
      </c>
    </row>
    <row r="16" spans="1:24" ht="19.5" thickBot="1" x14ac:dyDescent="0.35">
      <c r="A16" s="343">
        <v>42321</v>
      </c>
      <c r="B16" s="496" t="s">
        <v>854</v>
      </c>
      <c r="C16" s="450">
        <v>107343.4</v>
      </c>
      <c r="D16" s="534" t="s">
        <v>876</v>
      </c>
      <c r="E16" s="450">
        <f>102882.64+4460.76</f>
        <v>107343.4</v>
      </c>
      <c r="F16" s="297">
        <f t="shared" si="1"/>
        <v>0</v>
      </c>
      <c r="J16" s="474" t="s">
        <v>205</v>
      </c>
      <c r="K16" s="204"/>
      <c r="L16" s="737"/>
      <c r="M16" s="425">
        <v>42318</v>
      </c>
      <c r="N16" s="276"/>
      <c r="R16">
        <v>4</v>
      </c>
      <c r="S16" s="474" t="s">
        <v>205</v>
      </c>
      <c r="T16" s="204"/>
      <c r="U16" s="745"/>
      <c r="V16" s="601">
        <v>42327</v>
      </c>
      <c r="W16" s="276"/>
    </row>
    <row r="17" spans="1:24" ht="15.75" x14ac:dyDescent="0.25">
      <c r="A17" s="343">
        <v>42321</v>
      </c>
      <c r="B17" s="496" t="s">
        <v>855</v>
      </c>
      <c r="C17" s="450">
        <v>694.74</v>
      </c>
      <c r="D17" s="534">
        <v>42321</v>
      </c>
      <c r="E17" s="450">
        <v>694.74</v>
      </c>
      <c r="F17" s="297">
        <f t="shared" si="1"/>
        <v>0</v>
      </c>
      <c r="I17" s="205"/>
      <c r="J17" s="419"/>
      <c r="K17" s="205"/>
      <c r="L17" s="206"/>
      <c r="M17" s="419"/>
      <c r="N17" s="519"/>
      <c r="R17" s="205"/>
      <c r="S17" s="419"/>
      <c r="T17" s="205"/>
      <c r="U17" s="206"/>
      <c r="V17" s="419"/>
      <c r="W17" s="519"/>
    </row>
    <row r="18" spans="1:24" ht="15.75" x14ac:dyDescent="0.25">
      <c r="A18" s="343">
        <v>42320</v>
      </c>
      <c r="B18" s="496" t="s">
        <v>871</v>
      </c>
      <c r="C18" s="450">
        <v>7368.9</v>
      </c>
      <c r="D18" s="534">
        <v>42327</v>
      </c>
      <c r="E18" s="450">
        <v>7368.9</v>
      </c>
      <c r="F18" s="297">
        <f t="shared" si="1"/>
        <v>0</v>
      </c>
      <c r="I18" s="212" t="s">
        <v>202</v>
      </c>
      <c r="J18" s="419" t="s">
        <v>195</v>
      </c>
      <c r="K18" s="205"/>
      <c r="L18" s="206" t="s">
        <v>203</v>
      </c>
      <c r="M18" s="419" t="s">
        <v>204</v>
      </c>
      <c r="N18" s="519"/>
      <c r="R18" s="212" t="s">
        <v>202</v>
      </c>
      <c r="S18" s="419" t="s">
        <v>195</v>
      </c>
      <c r="T18" s="205"/>
      <c r="U18" s="206" t="s">
        <v>203</v>
      </c>
      <c r="V18" s="419" t="s">
        <v>204</v>
      </c>
      <c r="W18" s="519"/>
    </row>
    <row r="19" spans="1:24" ht="15.75" x14ac:dyDescent="0.25">
      <c r="A19" s="343">
        <v>42322</v>
      </c>
      <c r="B19" s="496" t="s">
        <v>872</v>
      </c>
      <c r="C19" s="450">
        <v>88371.07</v>
      </c>
      <c r="D19" s="534">
        <v>42327</v>
      </c>
      <c r="E19" s="450">
        <v>88371.07</v>
      </c>
      <c r="F19" s="297">
        <f t="shared" si="1"/>
        <v>0</v>
      </c>
      <c r="I19" s="496" t="s">
        <v>835</v>
      </c>
      <c r="J19" s="432">
        <v>654.86</v>
      </c>
      <c r="K19" s="216"/>
      <c r="L19" s="331" t="s">
        <v>674</v>
      </c>
      <c r="M19" s="522">
        <v>92813.03</v>
      </c>
      <c r="N19" s="523">
        <v>42311</v>
      </c>
      <c r="O19" s="21">
        <v>42308</v>
      </c>
      <c r="R19" s="496" t="s">
        <v>854</v>
      </c>
      <c r="S19" s="432">
        <v>4460.76</v>
      </c>
      <c r="T19" s="746" t="s">
        <v>856</v>
      </c>
      <c r="U19" s="331" t="s">
        <v>674</v>
      </c>
      <c r="V19" s="522">
        <v>46450</v>
      </c>
      <c r="W19" s="523">
        <v>42313</v>
      </c>
      <c r="X19" s="21">
        <v>42312</v>
      </c>
    </row>
    <row r="20" spans="1:24" ht="15.75" x14ac:dyDescent="0.25">
      <c r="A20" s="343">
        <v>42324</v>
      </c>
      <c r="B20" s="496" t="s">
        <v>873</v>
      </c>
      <c r="C20" s="450">
        <v>120151.81</v>
      </c>
      <c r="D20" s="534">
        <v>42327</v>
      </c>
      <c r="E20" s="450">
        <v>120151.81</v>
      </c>
      <c r="F20" s="297">
        <f t="shared" si="1"/>
        <v>0</v>
      </c>
      <c r="I20" s="483" t="s">
        <v>837</v>
      </c>
      <c r="J20" s="450">
        <v>567</v>
      </c>
      <c r="K20" s="234"/>
      <c r="L20" s="331" t="s">
        <v>674</v>
      </c>
      <c r="M20" s="521">
        <v>80905</v>
      </c>
      <c r="N20" s="525">
        <v>42308</v>
      </c>
      <c r="O20" s="21">
        <v>42307</v>
      </c>
      <c r="R20" s="496" t="s">
        <v>871</v>
      </c>
      <c r="S20" s="450">
        <v>7368.9</v>
      </c>
      <c r="T20" s="234"/>
      <c r="U20" s="331" t="s">
        <v>674</v>
      </c>
      <c r="V20" s="521">
        <v>49532</v>
      </c>
      <c r="W20" s="525">
        <v>42319</v>
      </c>
      <c r="X20" s="21">
        <v>42318</v>
      </c>
    </row>
    <row r="21" spans="1:24" ht="15.75" x14ac:dyDescent="0.25">
      <c r="A21" s="343">
        <v>42325</v>
      </c>
      <c r="B21" s="496" t="s">
        <v>874</v>
      </c>
      <c r="C21" s="450">
        <v>22993</v>
      </c>
      <c r="D21" s="703" t="s">
        <v>888</v>
      </c>
      <c r="E21" s="450">
        <f>575.04+14785.46+7632.5</f>
        <v>22993</v>
      </c>
      <c r="F21" s="297">
        <f t="shared" si="1"/>
        <v>0</v>
      </c>
      <c r="I21" s="483" t="s">
        <v>838</v>
      </c>
      <c r="J21" s="450">
        <v>68142.02</v>
      </c>
      <c r="K21" s="234"/>
      <c r="L21" s="331" t="s">
        <v>674</v>
      </c>
      <c r="M21" s="522"/>
      <c r="N21" s="523"/>
      <c r="O21" s="21"/>
      <c r="R21" s="496" t="s">
        <v>872</v>
      </c>
      <c r="S21" s="450">
        <v>88371.07</v>
      </c>
      <c r="T21" s="234"/>
      <c r="U21" s="331" t="s">
        <v>674</v>
      </c>
      <c r="V21" s="522">
        <v>85156</v>
      </c>
      <c r="W21" s="523">
        <v>42325</v>
      </c>
      <c r="X21" s="21">
        <v>42321</v>
      </c>
    </row>
    <row r="22" spans="1:24" ht="15.75" x14ac:dyDescent="0.25">
      <c r="A22" s="343">
        <v>42327</v>
      </c>
      <c r="B22" s="496" t="s">
        <v>885</v>
      </c>
      <c r="C22" s="450">
        <v>134216.51999999999</v>
      </c>
      <c r="D22" s="617">
        <v>42332</v>
      </c>
      <c r="E22" s="450">
        <v>134216.51999999999</v>
      </c>
      <c r="F22" s="297">
        <f t="shared" si="1"/>
        <v>0</v>
      </c>
      <c r="I22" s="483" t="s">
        <v>839</v>
      </c>
      <c r="J22" s="81">
        <v>104354.15</v>
      </c>
      <c r="K22" s="234" t="s">
        <v>236</v>
      </c>
      <c r="L22" s="331" t="s">
        <v>674</v>
      </c>
      <c r="M22" s="522"/>
      <c r="N22" s="523"/>
      <c r="O22" s="21"/>
      <c r="R22" s="496" t="s">
        <v>873</v>
      </c>
      <c r="S22" s="450">
        <v>120151.81</v>
      </c>
      <c r="T22" s="234"/>
      <c r="U22" s="331" t="s">
        <v>674</v>
      </c>
      <c r="V22" s="522">
        <v>54000</v>
      </c>
      <c r="W22" s="523">
        <v>42325</v>
      </c>
      <c r="X22" s="21">
        <v>42323</v>
      </c>
    </row>
    <row r="23" spans="1:24" ht="15.75" x14ac:dyDescent="0.25">
      <c r="A23" s="343">
        <v>42328</v>
      </c>
      <c r="B23" s="496" t="s">
        <v>884</v>
      </c>
      <c r="C23" s="450">
        <v>4925.5</v>
      </c>
      <c r="D23" s="534">
        <v>42332</v>
      </c>
      <c r="E23" s="450">
        <v>4925.5</v>
      </c>
      <c r="F23" s="297">
        <f t="shared" si="1"/>
        <v>0</v>
      </c>
      <c r="I23" s="483"/>
      <c r="J23" s="450">
        <v>0</v>
      </c>
      <c r="K23" s="234"/>
      <c r="L23" s="331" t="s">
        <v>674</v>
      </c>
      <c r="M23" s="522"/>
      <c r="N23" s="523"/>
      <c r="R23" s="496" t="s">
        <v>874</v>
      </c>
      <c r="S23" s="450">
        <v>14785.46</v>
      </c>
      <c r="T23" s="747" t="s">
        <v>236</v>
      </c>
      <c r="U23" s="331" t="s">
        <v>674</v>
      </c>
      <c r="V23" s="522"/>
      <c r="W23" s="523"/>
    </row>
    <row r="24" spans="1:24" ht="15.75" x14ac:dyDescent="0.25">
      <c r="A24" s="343">
        <v>42329</v>
      </c>
      <c r="B24" s="496" t="s">
        <v>886</v>
      </c>
      <c r="C24" s="450">
        <v>154867.35</v>
      </c>
      <c r="D24" s="617">
        <v>42332</v>
      </c>
      <c r="E24" s="369">
        <v>154867.35</v>
      </c>
      <c r="F24" s="297">
        <f t="shared" si="1"/>
        <v>0</v>
      </c>
      <c r="I24" s="483"/>
      <c r="J24" s="450"/>
      <c r="K24" s="234"/>
      <c r="L24" s="331" t="s">
        <v>674</v>
      </c>
      <c r="M24" s="521"/>
      <c r="N24" s="525"/>
      <c r="R24" s="496"/>
      <c r="S24" s="450"/>
      <c r="T24" s="234"/>
      <c r="U24" s="331" t="s">
        <v>674</v>
      </c>
      <c r="V24" s="521"/>
      <c r="W24" s="525"/>
    </row>
    <row r="25" spans="1:24" ht="15.75" x14ac:dyDescent="0.25">
      <c r="A25" s="343">
        <v>42330</v>
      </c>
      <c r="B25" s="496" t="s">
        <v>887</v>
      </c>
      <c r="C25" s="450">
        <v>5252.8</v>
      </c>
      <c r="D25" s="564" t="s">
        <v>903</v>
      </c>
      <c r="E25" s="369">
        <f>1206.13+4046.67</f>
        <v>5252.8</v>
      </c>
      <c r="F25" s="297">
        <f t="shared" si="1"/>
        <v>0</v>
      </c>
      <c r="I25" s="344"/>
      <c r="J25" s="81"/>
      <c r="K25" s="713"/>
      <c r="L25" s="331" t="s">
        <v>674</v>
      </c>
      <c r="M25" s="522"/>
      <c r="N25" s="523"/>
      <c r="R25" s="496"/>
      <c r="S25" s="450"/>
      <c r="T25" s="713"/>
      <c r="U25" s="331" t="s">
        <v>674</v>
      </c>
      <c r="V25" s="522"/>
      <c r="W25" s="523"/>
    </row>
    <row r="26" spans="1:24" ht="15.75" x14ac:dyDescent="0.25">
      <c r="A26" s="343">
        <v>42332</v>
      </c>
      <c r="B26" s="496" t="s">
        <v>894</v>
      </c>
      <c r="C26" s="81">
        <v>23149.8</v>
      </c>
      <c r="D26" s="480">
        <v>42340</v>
      </c>
      <c r="E26" s="366">
        <v>23149.8</v>
      </c>
      <c r="F26" s="297">
        <f t="shared" si="1"/>
        <v>0</v>
      </c>
      <c r="I26" s="736"/>
      <c r="J26" s="432"/>
      <c r="K26" s="713"/>
      <c r="L26" s="331" t="s">
        <v>674</v>
      </c>
      <c r="M26" s="521">
        <v>0</v>
      </c>
      <c r="N26" s="525"/>
      <c r="R26" s="496"/>
      <c r="S26" s="450"/>
      <c r="T26" s="713"/>
      <c r="U26" s="331" t="s">
        <v>674</v>
      </c>
      <c r="V26" s="521">
        <v>0</v>
      </c>
      <c r="W26" s="525"/>
    </row>
    <row r="27" spans="1:24" x14ac:dyDescent="0.25">
      <c r="A27" s="343">
        <v>42333</v>
      </c>
      <c r="B27" s="496" t="s">
        <v>889</v>
      </c>
      <c r="C27" s="81">
        <v>138609.54</v>
      </c>
      <c r="D27" s="480">
        <v>42340</v>
      </c>
      <c r="E27" s="366">
        <v>138609.54</v>
      </c>
      <c r="F27" s="297">
        <f>C27-E27</f>
        <v>0</v>
      </c>
      <c r="I27" s="230"/>
      <c r="J27" s="232">
        <v>0</v>
      </c>
      <c r="K27" s="230"/>
      <c r="L27" s="230"/>
      <c r="M27" s="232">
        <v>0</v>
      </c>
      <c r="N27" s="230"/>
      <c r="R27" s="230"/>
      <c r="S27" s="232">
        <v>0</v>
      </c>
      <c r="T27" s="230"/>
      <c r="U27" s="230"/>
      <c r="V27" s="232">
        <v>0</v>
      </c>
      <c r="W27" s="230"/>
    </row>
    <row r="28" spans="1:24" x14ac:dyDescent="0.25">
      <c r="A28" s="343">
        <v>42334</v>
      </c>
      <c r="B28" s="496" t="s">
        <v>895</v>
      </c>
      <c r="C28" s="81">
        <v>25351.7</v>
      </c>
      <c r="D28" s="480">
        <v>42340</v>
      </c>
      <c r="E28" s="366">
        <v>25351.7</v>
      </c>
      <c r="F28" s="297">
        <f>C28-E28</f>
        <v>0</v>
      </c>
      <c r="J28" s="59">
        <f>SUM(J19:J27)</f>
        <v>173718.03</v>
      </c>
      <c r="K28" s="44"/>
      <c r="L28" s="44"/>
      <c r="M28" s="59">
        <f>SUM(M19:M27)</f>
        <v>173718.03</v>
      </c>
      <c r="S28" s="59">
        <f>SUM(S19:S27)</f>
        <v>235138</v>
      </c>
      <c r="T28" s="44"/>
      <c r="U28" s="44"/>
      <c r="V28" s="59">
        <f>SUM(V19:V27)</f>
        <v>235138</v>
      </c>
    </row>
    <row r="29" spans="1:24" x14ac:dyDescent="0.25">
      <c r="A29" s="545">
        <v>42335</v>
      </c>
      <c r="B29" s="496" t="s">
        <v>890</v>
      </c>
      <c r="C29" s="81">
        <v>88799.2</v>
      </c>
      <c r="D29" s="480">
        <v>42340</v>
      </c>
      <c r="E29" s="366">
        <v>88799.2</v>
      </c>
      <c r="F29" s="297">
        <f>C29-E29</f>
        <v>0</v>
      </c>
    </row>
    <row r="30" spans="1:24" ht="15.75" thickBot="1" x14ac:dyDescent="0.3">
      <c r="A30" s="343">
        <v>42336</v>
      </c>
      <c r="B30" s="496" t="s">
        <v>896</v>
      </c>
      <c r="C30" s="81">
        <v>37854.400000000001</v>
      </c>
      <c r="D30" s="480">
        <v>42340</v>
      </c>
      <c r="E30" s="369">
        <v>37854.400000000001</v>
      </c>
      <c r="F30" s="297">
        <f>C30-E30</f>
        <v>0</v>
      </c>
    </row>
    <row r="31" spans="1:24" ht="19.5" thickBot="1" x14ac:dyDescent="0.35">
      <c r="A31" s="724">
        <v>42336</v>
      </c>
      <c r="B31" s="585" t="s">
        <v>897</v>
      </c>
      <c r="C31" s="450">
        <v>40198.400000000001</v>
      </c>
      <c r="D31" s="480">
        <v>42340</v>
      </c>
      <c r="E31" s="366">
        <v>40198.400000000001</v>
      </c>
      <c r="F31" s="596">
        <f>C31-E31</f>
        <v>0</v>
      </c>
      <c r="J31" s="474" t="s">
        <v>205</v>
      </c>
      <c r="K31" s="204"/>
      <c r="L31" s="742"/>
      <c r="M31" s="544">
        <v>42320</v>
      </c>
      <c r="N31" s="276"/>
      <c r="S31" s="474" t="s">
        <v>205</v>
      </c>
      <c r="T31" s="204"/>
      <c r="U31" s="750"/>
      <c r="V31" s="734">
        <v>42332</v>
      </c>
      <c r="W31" s="276"/>
    </row>
    <row r="32" spans="1:24" ht="15.75" x14ac:dyDescent="0.25">
      <c r="A32" s="602">
        <v>42338</v>
      </c>
      <c r="B32" s="618" t="s">
        <v>898</v>
      </c>
      <c r="C32" s="81">
        <v>3210</v>
      </c>
      <c r="D32" s="480" t="s">
        <v>910</v>
      </c>
      <c r="E32" s="531">
        <f>2739.88+470.12</f>
        <v>3210</v>
      </c>
      <c r="F32" s="596">
        <f t="shared" si="1"/>
        <v>0</v>
      </c>
      <c r="I32" s="205"/>
      <c r="J32" s="419"/>
      <c r="K32" s="205"/>
      <c r="L32" s="206"/>
      <c r="M32" s="419"/>
      <c r="N32" s="519"/>
      <c r="R32" s="205"/>
      <c r="S32" s="419"/>
      <c r="T32" s="205"/>
      <c r="U32" s="206"/>
      <c r="V32" s="419"/>
      <c r="W32" s="519"/>
    </row>
    <row r="33" spans="1:24" ht="15.75" x14ac:dyDescent="0.25">
      <c r="A33" s="602"/>
      <c r="B33" s="618"/>
      <c r="C33" s="81"/>
      <c r="D33" s="287"/>
      <c r="E33" s="81"/>
      <c r="F33" s="596">
        <f t="shared" si="1"/>
        <v>0</v>
      </c>
      <c r="I33" s="212" t="s">
        <v>202</v>
      </c>
      <c r="J33" s="419" t="s">
        <v>195</v>
      </c>
      <c r="K33" s="205"/>
      <c r="L33" s="206" t="s">
        <v>203</v>
      </c>
      <c r="M33" s="419" t="s">
        <v>204</v>
      </c>
      <c r="N33" s="519"/>
      <c r="R33" s="212" t="s">
        <v>202</v>
      </c>
      <c r="S33" s="419" t="s">
        <v>195</v>
      </c>
      <c r="T33" s="205"/>
      <c r="U33" s="206" t="s">
        <v>203</v>
      </c>
      <c r="V33" s="419" t="s">
        <v>204</v>
      </c>
      <c r="W33" s="519"/>
    </row>
    <row r="34" spans="1:24" ht="15.75" x14ac:dyDescent="0.25">
      <c r="A34" s="249"/>
      <c r="B34" s="619"/>
      <c r="C34" s="81"/>
      <c r="D34" s="287"/>
      <c r="E34" s="81"/>
      <c r="F34" s="596">
        <f t="shared" si="1"/>
        <v>0</v>
      </c>
      <c r="I34" s="496" t="s">
        <v>839</v>
      </c>
      <c r="J34" s="432">
        <v>559.17999999999995</v>
      </c>
      <c r="K34" s="216"/>
      <c r="L34" s="331" t="s">
        <v>674</v>
      </c>
      <c r="M34" s="522">
        <v>37338.5</v>
      </c>
      <c r="N34" s="523">
        <v>42306</v>
      </c>
      <c r="O34" s="21">
        <v>42305</v>
      </c>
      <c r="R34" s="496" t="s">
        <v>874</v>
      </c>
      <c r="S34" s="432">
        <v>7632.5</v>
      </c>
      <c r="T34" s="746" t="s">
        <v>856</v>
      </c>
      <c r="U34" s="331">
        <v>3359226</v>
      </c>
      <c r="V34" s="522">
        <v>85100</v>
      </c>
      <c r="W34" s="523">
        <v>42326</v>
      </c>
      <c r="X34" s="21">
        <v>42315</v>
      </c>
    </row>
    <row r="35" spans="1:24" ht="15.75" x14ac:dyDescent="0.25">
      <c r="A35" s="249"/>
      <c r="B35" s="731"/>
      <c r="C35" s="81"/>
      <c r="D35" s="286"/>
      <c r="E35" s="81"/>
      <c r="F35" s="596">
        <f t="shared" si="1"/>
        <v>0</v>
      </c>
      <c r="I35" s="483" t="s">
        <v>840</v>
      </c>
      <c r="J35" s="450">
        <v>11140</v>
      </c>
      <c r="K35" s="234"/>
      <c r="L35" s="331" t="s">
        <v>674</v>
      </c>
      <c r="M35" s="521">
        <v>26983</v>
      </c>
      <c r="N35" s="525">
        <v>42311</v>
      </c>
      <c r="O35" s="21">
        <v>42310</v>
      </c>
      <c r="R35" s="496" t="s">
        <v>885</v>
      </c>
      <c r="S35" s="450">
        <v>134216.51999999999</v>
      </c>
      <c r="T35" s="234"/>
      <c r="U35" s="331">
        <v>3359228</v>
      </c>
      <c r="V35" s="521">
        <v>40268</v>
      </c>
      <c r="W35" s="525">
        <v>42326</v>
      </c>
      <c r="X35" s="21">
        <v>42316</v>
      </c>
    </row>
    <row r="36" spans="1:24" ht="15.75" x14ac:dyDescent="0.25">
      <c r="A36" s="249"/>
      <c r="B36" s="731"/>
      <c r="C36" s="81"/>
      <c r="D36" s="286"/>
      <c r="E36" s="81"/>
      <c r="F36" s="596">
        <f t="shared" si="1"/>
        <v>0</v>
      </c>
      <c r="I36" s="483" t="s">
        <v>841</v>
      </c>
      <c r="J36" s="450">
        <v>5200.2</v>
      </c>
      <c r="K36" s="234"/>
      <c r="L36" s="331" t="s">
        <v>674</v>
      </c>
      <c r="M36" s="522">
        <v>53550</v>
      </c>
      <c r="N36" s="523">
        <v>42311</v>
      </c>
      <c r="O36" s="21">
        <v>42309</v>
      </c>
      <c r="R36" s="496" t="s">
        <v>884</v>
      </c>
      <c r="S36" s="450">
        <v>4925.5</v>
      </c>
      <c r="T36" s="234"/>
      <c r="U36" s="331">
        <v>3359227</v>
      </c>
      <c r="V36" s="522">
        <v>89027</v>
      </c>
      <c r="W36" s="523">
        <v>42326</v>
      </c>
      <c r="X36" s="21">
        <v>42322</v>
      </c>
    </row>
    <row r="37" spans="1:24" ht="16.5" thickBot="1" x14ac:dyDescent="0.3">
      <c r="B37" s="263"/>
      <c r="C37" s="180">
        <v>0</v>
      </c>
      <c r="D37" s="467"/>
      <c r="E37" s="295">
        <v>0</v>
      </c>
      <c r="F37" s="596">
        <f t="shared" si="1"/>
        <v>0</v>
      </c>
      <c r="I37" s="344" t="s">
        <v>849</v>
      </c>
      <c r="J37" s="81">
        <v>104261.15</v>
      </c>
      <c r="K37" s="234"/>
      <c r="L37" s="331" t="s">
        <v>674</v>
      </c>
      <c r="M37" s="522">
        <v>41927</v>
      </c>
      <c r="N37" s="523">
        <v>42312</v>
      </c>
      <c r="O37" s="21">
        <v>42311</v>
      </c>
      <c r="R37" s="496" t="s">
        <v>886</v>
      </c>
      <c r="S37" s="450">
        <v>154867.35</v>
      </c>
      <c r="T37" s="234"/>
      <c r="U37" s="331" t="s">
        <v>674</v>
      </c>
      <c r="V37" s="522">
        <v>1759</v>
      </c>
      <c r="W37" s="523">
        <v>42325</v>
      </c>
      <c r="X37" s="21">
        <v>42323</v>
      </c>
    </row>
    <row r="38" spans="1:24" ht="16.5" thickTop="1" x14ac:dyDescent="0.25">
      <c r="B38" s="614"/>
      <c r="C38" s="450">
        <f>SUM(C3:C37)</f>
        <v>1503898.52</v>
      </c>
      <c r="D38" s="178"/>
      <c r="E38" s="336">
        <f>SUM(E3:E37)</f>
        <v>1503898.52</v>
      </c>
      <c r="F38" s="336">
        <f>SUM(F3:F37)</f>
        <v>0</v>
      </c>
      <c r="I38" s="344" t="s">
        <v>848</v>
      </c>
      <c r="J38" s="81">
        <v>7531.4</v>
      </c>
      <c r="K38" s="234"/>
      <c r="L38" s="331" t="s">
        <v>674</v>
      </c>
      <c r="M38" s="522">
        <v>61131.5</v>
      </c>
      <c r="N38" s="523">
        <v>42315</v>
      </c>
      <c r="O38" s="21">
        <v>42314</v>
      </c>
      <c r="R38" s="496" t="s">
        <v>887</v>
      </c>
      <c r="S38" s="450">
        <v>1206.1300000000001</v>
      </c>
      <c r="T38" s="747" t="s">
        <v>236</v>
      </c>
      <c r="U38" s="331" t="s">
        <v>674</v>
      </c>
      <c r="V38" s="522">
        <v>42921</v>
      </c>
      <c r="W38" s="523">
        <v>42325</v>
      </c>
      <c r="X38" s="21">
        <v>42324</v>
      </c>
    </row>
    <row r="39" spans="1:24" ht="15.75" x14ac:dyDescent="0.25">
      <c r="C39" s="450"/>
      <c r="I39" s="344" t="s">
        <v>847</v>
      </c>
      <c r="J39" s="81">
        <v>24071.599999999999</v>
      </c>
      <c r="K39" s="234"/>
      <c r="L39" s="331" t="s">
        <v>674</v>
      </c>
      <c r="M39" s="521"/>
      <c r="N39" s="525"/>
      <c r="R39" s="496"/>
      <c r="S39" s="450"/>
      <c r="T39" s="234"/>
      <c r="U39" s="331" t="s">
        <v>674</v>
      </c>
      <c r="V39" s="521">
        <v>43773</v>
      </c>
      <c r="W39" s="525">
        <v>42326</v>
      </c>
      <c r="X39" s="21">
        <v>42325</v>
      </c>
    </row>
    <row r="40" spans="1:24" ht="15.75" x14ac:dyDescent="0.25">
      <c r="B40" s="25" t="s">
        <v>101</v>
      </c>
      <c r="E40" s="25"/>
      <c r="F40" s="25"/>
      <c r="I40" s="344" t="s">
        <v>850</v>
      </c>
      <c r="J40" s="81">
        <v>68166.47</v>
      </c>
      <c r="K40" s="713" t="s">
        <v>236</v>
      </c>
      <c r="L40" s="331" t="s">
        <v>674</v>
      </c>
      <c r="M40" s="522"/>
      <c r="N40" s="523"/>
      <c r="R40" s="496"/>
      <c r="S40" s="450"/>
      <c r="T40" s="713"/>
      <c r="U40" s="331" t="s">
        <v>674</v>
      </c>
      <c r="V40" s="522"/>
      <c r="W40" s="523"/>
    </row>
    <row r="41" spans="1:24" ht="15.75" x14ac:dyDescent="0.25">
      <c r="B41" s="450"/>
      <c r="C41" s="534"/>
      <c r="D41" s="196"/>
      <c r="E41" s="25"/>
      <c r="F41" s="25"/>
      <c r="H41" s="5"/>
      <c r="I41" s="736"/>
      <c r="J41" s="432"/>
      <c r="K41" s="713"/>
      <c r="L41" s="331" t="s">
        <v>674</v>
      </c>
      <c r="M41" s="521">
        <v>0</v>
      </c>
      <c r="N41" s="525"/>
      <c r="R41" s="496"/>
      <c r="S41" s="450"/>
      <c r="T41" s="713"/>
      <c r="U41" s="331" t="s">
        <v>674</v>
      </c>
      <c r="V41" s="521">
        <v>0</v>
      </c>
      <c r="W41" s="525"/>
    </row>
    <row r="42" spans="1:24" x14ac:dyDescent="0.25">
      <c r="E42" s="25"/>
      <c r="F42" s="25"/>
      <c r="I42" s="230"/>
      <c r="J42" s="232">
        <v>0</v>
      </c>
      <c r="K42" s="230"/>
      <c r="L42" s="230"/>
      <c r="M42" s="232">
        <v>0</v>
      </c>
      <c r="N42" s="230"/>
      <c r="R42" s="230"/>
      <c r="S42" s="232">
        <v>0</v>
      </c>
      <c r="T42" s="230"/>
      <c r="U42" s="230"/>
      <c r="V42" s="232">
        <v>0</v>
      </c>
      <c r="W42" s="230"/>
    </row>
    <row r="43" spans="1:24" x14ac:dyDescent="0.25">
      <c r="A43" s="25"/>
      <c r="J43" s="59">
        <f>SUM(J34:J42)</f>
        <v>220930</v>
      </c>
      <c r="K43" s="44"/>
      <c r="L43" s="44"/>
      <c r="M43" s="59">
        <f>SUM(M34:M42)</f>
        <v>220930</v>
      </c>
      <c r="S43" s="59">
        <f>SUM(S34:S42)</f>
        <v>302848</v>
      </c>
      <c r="T43" s="44"/>
      <c r="U43" s="44"/>
      <c r="V43" s="59">
        <f>SUM(V34:V42)</f>
        <v>302848</v>
      </c>
    </row>
    <row r="44" spans="1:24" x14ac:dyDescent="0.25">
      <c r="A44" s="25"/>
      <c r="C44" s="25"/>
      <c r="E44" s="25"/>
      <c r="F44" s="25"/>
    </row>
    <row r="45" spans="1:24" x14ac:dyDescent="0.25">
      <c r="A45" s="25"/>
      <c r="C45" s="25"/>
      <c r="E45" s="25"/>
      <c r="F45" s="25"/>
    </row>
    <row r="46" spans="1:24" x14ac:dyDescent="0.25">
      <c r="A46" s="25"/>
      <c r="C46" s="25"/>
      <c r="E46" s="25"/>
      <c r="F46" s="25"/>
    </row>
    <row r="47" spans="1:24" x14ac:dyDescent="0.25">
      <c r="A47" s="25"/>
      <c r="C47" s="25"/>
      <c r="E47" s="25"/>
      <c r="F47" s="25"/>
      <c r="H47" s="59"/>
    </row>
    <row r="48" spans="1:24" x14ac:dyDescent="0.25">
      <c r="A48" s="25"/>
      <c r="C48" s="25"/>
      <c r="E48" s="25"/>
      <c r="F48" s="25"/>
      <c r="G48"/>
    </row>
    <row r="49" spans="1:8" x14ac:dyDescent="0.25">
      <c r="A49" s="25"/>
      <c r="C49" s="25"/>
      <c r="E49" s="25"/>
      <c r="F49" s="25"/>
      <c r="G49"/>
      <c r="H49" s="5"/>
    </row>
  </sheetData>
  <sortState ref="A26:C32">
    <sortCondition ref="B26:B32"/>
  </sortState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-0.249977111117893"/>
  </sheetPr>
  <dimension ref="A1:S57"/>
  <sheetViews>
    <sheetView topLeftCell="A25" workbookViewId="0">
      <selection activeCell="M44" sqref="M44"/>
    </sheetView>
  </sheetViews>
  <sheetFormatPr baseColWidth="10" defaultRowHeight="15" x14ac:dyDescent="0.25"/>
  <cols>
    <col min="1" max="1" width="2.5703125" customWidth="1"/>
    <col min="2" max="2" width="12.42578125" style="38" customWidth="1"/>
    <col min="3" max="3" width="16.42578125" style="44" customWidth="1"/>
    <col min="4" max="4" width="9" style="155" customWidth="1"/>
    <col min="6" max="6" width="17.85546875" style="44" customWidth="1"/>
    <col min="7" max="7" width="2.85546875" customWidth="1"/>
    <col min="9" max="9" width="12.140625" style="44" customWidth="1"/>
    <col min="10" max="10" width="6.42578125" style="44" customWidth="1"/>
    <col min="11" max="11" width="13.7109375" customWidth="1"/>
    <col min="12" max="12" width="11.28515625" customWidth="1"/>
    <col min="13" max="13" width="16.7109375" style="44" customWidth="1"/>
    <col min="14" max="14" width="11.42578125" style="44"/>
  </cols>
  <sheetData>
    <row r="1" spans="1:19" ht="23.25" x14ac:dyDescent="0.35">
      <c r="C1" s="780" t="s">
        <v>923</v>
      </c>
      <c r="D1" s="780"/>
      <c r="E1" s="780"/>
      <c r="F1" s="780"/>
      <c r="G1" s="780"/>
      <c r="H1" s="780"/>
      <c r="I1" s="780"/>
      <c r="J1" s="780"/>
      <c r="K1" s="780"/>
      <c r="L1" s="133" t="s">
        <v>158</v>
      </c>
    </row>
    <row r="2" spans="1:19" ht="15.75" thickBot="1" x14ac:dyDescent="0.3">
      <c r="E2" s="757"/>
      <c r="F2" s="51"/>
    </row>
    <row r="3" spans="1:19" ht="15.75" thickBot="1" x14ac:dyDescent="0.3">
      <c r="C3" s="45" t="s">
        <v>0</v>
      </c>
      <c r="D3" s="3"/>
    </row>
    <row r="4" spans="1:19" ht="20.25" thickTop="1" thickBot="1" x14ac:dyDescent="0.35">
      <c r="A4" s="415" t="s">
        <v>2</v>
      </c>
      <c r="B4" s="414"/>
      <c r="C4" s="97">
        <v>110951.55</v>
      </c>
      <c r="D4" s="156"/>
      <c r="E4" s="797" t="s">
        <v>19</v>
      </c>
      <c r="F4" s="798"/>
      <c r="I4" s="783" t="s">
        <v>4</v>
      </c>
      <c r="J4" s="784"/>
      <c r="K4" s="784"/>
      <c r="L4" s="784"/>
      <c r="M4" s="112" t="s">
        <v>159</v>
      </c>
    </row>
    <row r="5" spans="1:19" ht="15.75" thickTop="1" x14ac:dyDescent="0.25">
      <c r="A5" s="21"/>
      <c r="B5" s="40">
        <v>42339</v>
      </c>
      <c r="C5" s="46">
        <v>338.5</v>
      </c>
      <c r="D5" s="30" t="s">
        <v>938</v>
      </c>
      <c r="E5" s="28">
        <v>42339</v>
      </c>
      <c r="F5" s="52">
        <v>44963.54</v>
      </c>
      <c r="G5" s="25"/>
      <c r="H5" s="26">
        <v>42339</v>
      </c>
      <c r="I5" s="61">
        <v>400</v>
      </c>
      <c r="J5" s="80"/>
      <c r="K5" s="122"/>
      <c r="L5" s="123"/>
      <c r="M5" s="151">
        <v>44661.5</v>
      </c>
      <c r="N5" s="450"/>
      <c r="O5" s="25"/>
      <c r="P5" s="25"/>
      <c r="Q5" s="25"/>
      <c r="R5" t="s">
        <v>462</v>
      </c>
      <c r="S5">
        <v>1600</v>
      </c>
    </row>
    <row r="6" spans="1:19" x14ac:dyDescent="0.25">
      <c r="A6" s="21"/>
      <c r="B6" s="40">
        <v>42340</v>
      </c>
      <c r="C6" s="46">
        <v>1019</v>
      </c>
      <c r="D6" s="70" t="s">
        <v>939</v>
      </c>
      <c r="E6" s="28">
        <v>42340</v>
      </c>
      <c r="F6" s="52">
        <v>45654.96</v>
      </c>
      <c r="G6" s="20"/>
      <c r="H6" s="29">
        <v>42340</v>
      </c>
      <c r="I6" s="62">
        <v>509.88</v>
      </c>
      <c r="J6" s="81"/>
      <c r="K6" s="73" t="s">
        <v>5</v>
      </c>
      <c r="L6" s="125">
        <v>0</v>
      </c>
      <c r="M6" s="116">
        <v>44757</v>
      </c>
      <c r="N6" s="336"/>
      <c r="O6" s="25"/>
      <c r="P6" s="25"/>
      <c r="Q6" s="25"/>
    </row>
    <row r="7" spans="1:19" x14ac:dyDescent="0.25">
      <c r="A7" s="21"/>
      <c r="B7" s="40">
        <v>42341</v>
      </c>
      <c r="C7" s="46">
        <v>0</v>
      </c>
      <c r="D7" s="30"/>
      <c r="E7" s="28">
        <v>42341</v>
      </c>
      <c r="F7" s="52">
        <v>55771.1</v>
      </c>
      <c r="G7" s="25"/>
      <c r="H7" s="29">
        <v>42341</v>
      </c>
      <c r="I7" s="62">
        <v>350</v>
      </c>
      <c r="J7" s="81"/>
      <c r="K7" s="693" t="s">
        <v>755</v>
      </c>
      <c r="L7" s="125">
        <v>12349</v>
      </c>
      <c r="M7" s="116">
        <v>56025</v>
      </c>
      <c r="N7" s="336"/>
      <c r="O7" s="25"/>
      <c r="P7" s="25"/>
      <c r="Q7" s="25"/>
      <c r="R7" t="s">
        <v>464</v>
      </c>
      <c r="S7">
        <v>2500</v>
      </c>
    </row>
    <row r="8" spans="1:19" x14ac:dyDescent="0.25">
      <c r="A8" s="21"/>
      <c r="B8" s="40">
        <v>42342</v>
      </c>
      <c r="C8" s="46">
        <v>392</v>
      </c>
      <c r="D8" s="30" t="s">
        <v>22</v>
      </c>
      <c r="E8" s="28">
        <v>42342</v>
      </c>
      <c r="F8" s="52">
        <v>75992.72</v>
      </c>
      <c r="G8" s="25"/>
      <c r="H8" s="29">
        <v>42342</v>
      </c>
      <c r="I8" s="62">
        <v>0</v>
      </c>
      <c r="J8" s="81"/>
      <c r="K8" s="73" t="s">
        <v>6</v>
      </c>
      <c r="L8" s="124">
        <v>28750</v>
      </c>
      <c r="M8" s="700">
        <v>81480</v>
      </c>
      <c r="N8" s="450"/>
      <c r="O8" s="25"/>
      <c r="P8" s="25"/>
      <c r="Q8" s="25"/>
    </row>
    <row r="9" spans="1:19" x14ac:dyDescent="0.25">
      <c r="A9" s="21"/>
      <c r="B9" s="40">
        <v>42343</v>
      </c>
      <c r="C9" s="46">
        <v>0</v>
      </c>
      <c r="D9" s="96"/>
      <c r="E9" s="28">
        <v>42343</v>
      </c>
      <c r="F9" s="52">
        <v>66519.490000000005</v>
      </c>
      <c r="G9" s="25"/>
      <c r="H9" s="29">
        <v>42343</v>
      </c>
      <c r="I9" s="62">
        <v>392</v>
      </c>
      <c r="J9" s="82"/>
      <c r="K9" s="73" t="s">
        <v>927</v>
      </c>
      <c r="L9" s="125">
        <v>9950</v>
      </c>
      <c r="M9" s="116">
        <v>68063.5</v>
      </c>
      <c r="N9" s="565">
        <v>500</v>
      </c>
      <c r="O9" s="692" t="s">
        <v>940</v>
      </c>
      <c r="P9" s="25"/>
      <c r="Q9" s="25"/>
    </row>
    <row r="10" spans="1:19" x14ac:dyDescent="0.25">
      <c r="A10" s="21"/>
      <c r="B10" s="40">
        <v>42344</v>
      </c>
      <c r="C10" s="46">
        <v>0</v>
      </c>
      <c r="D10" s="96"/>
      <c r="E10" s="28">
        <v>42344</v>
      </c>
      <c r="F10" s="52">
        <v>62748.14</v>
      </c>
      <c r="G10" s="25"/>
      <c r="H10" s="29">
        <v>42344</v>
      </c>
      <c r="I10" s="62">
        <v>0</v>
      </c>
      <c r="J10" s="82"/>
      <c r="K10" s="73" t="s">
        <v>928</v>
      </c>
      <c r="L10" s="52">
        <v>10658</v>
      </c>
      <c r="M10" s="116">
        <v>57885</v>
      </c>
      <c r="N10" s="336"/>
      <c r="O10" s="25"/>
      <c r="P10" s="25"/>
      <c r="Q10" s="25"/>
    </row>
    <row r="11" spans="1:19" x14ac:dyDescent="0.25">
      <c r="A11" s="21"/>
      <c r="B11" s="40">
        <v>42345</v>
      </c>
      <c r="C11" s="46">
        <v>0</v>
      </c>
      <c r="D11" s="96"/>
      <c r="E11" s="28">
        <v>42345</v>
      </c>
      <c r="F11" s="52">
        <v>40595.699999999997</v>
      </c>
      <c r="G11" s="25"/>
      <c r="H11" s="29">
        <v>42345</v>
      </c>
      <c r="I11" s="62">
        <v>130</v>
      </c>
      <c r="J11" s="82"/>
      <c r="K11" s="73" t="s">
        <v>929</v>
      </c>
      <c r="L11" s="52">
        <v>10924.67</v>
      </c>
      <c r="M11" s="116">
        <v>44939</v>
      </c>
      <c r="N11" s="369"/>
      <c r="O11" s="25"/>
      <c r="P11" s="25"/>
      <c r="Q11" s="25"/>
    </row>
    <row r="12" spans="1:19" x14ac:dyDescent="0.25">
      <c r="A12" s="21"/>
      <c r="B12" s="40">
        <v>42346</v>
      </c>
      <c r="C12" s="46">
        <v>590</v>
      </c>
      <c r="D12" s="30" t="s">
        <v>22</v>
      </c>
      <c r="E12" s="28">
        <v>42346</v>
      </c>
      <c r="F12" s="52">
        <v>45319.360000000001</v>
      </c>
      <c r="G12" s="25"/>
      <c r="H12" s="29">
        <v>42346</v>
      </c>
      <c r="I12" s="62">
        <v>203</v>
      </c>
      <c r="J12" s="82"/>
      <c r="K12" s="73" t="s">
        <v>930</v>
      </c>
      <c r="L12" s="52">
        <v>10924</v>
      </c>
      <c r="M12" s="116">
        <v>44526</v>
      </c>
      <c r="N12" s="450"/>
      <c r="O12" s="614"/>
      <c r="P12" s="555"/>
      <c r="Q12" s="25"/>
    </row>
    <row r="13" spans="1:19" x14ac:dyDescent="0.25">
      <c r="A13" s="21"/>
      <c r="B13" s="40">
        <v>42347</v>
      </c>
      <c r="C13" s="46">
        <v>0</v>
      </c>
      <c r="D13" s="96"/>
      <c r="E13" s="28">
        <v>42347</v>
      </c>
      <c r="F13" s="52">
        <v>55297.26</v>
      </c>
      <c r="G13" s="25"/>
      <c r="H13" s="29">
        <v>42347</v>
      </c>
      <c r="I13" s="62">
        <v>583.51</v>
      </c>
      <c r="J13" s="82"/>
      <c r="K13" s="73"/>
      <c r="L13" s="52">
        <v>0</v>
      </c>
      <c r="M13" s="116">
        <v>53914</v>
      </c>
      <c r="N13" s="450"/>
      <c r="O13" s="25"/>
      <c r="P13" s="25"/>
      <c r="Q13" s="25"/>
    </row>
    <row r="14" spans="1:19" x14ac:dyDescent="0.25">
      <c r="A14" s="21"/>
      <c r="B14" s="40">
        <v>42348</v>
      </c>
      <c r="C14" s="46">
        <v>0</v>
      </c>
      <c r="D14" s="30"/>
      <c r="E14" s="28">
        <v>42348</v>
      </c>
      <c r="F14" s="52">
        <v>54387.27</v>
      </c>
      <c r="G14" s="25"/>
      <c r="H14" s="29">
        <v>42348</v>
      </c>
      <c r="I14" s="62">
        <v>0</v>
      </c>
      <c r="J14" s="82"/>
      <c r="K14" s="165"/>
      <c r="L14" s="52">
        <v>0</v>
      </c>
      <c r="M14" s="116">
        <v>54387</v>
      </c>
      <c r="N14" s="450"/>
      <c r="O14" s="25"/>
      <c r="P14" s="25"/>
      <c r="Q14" s="25"/>
    </row>
    <row r="15" spans="1:19" x14ac:dyDescent="0.25">
      <c r="A15" s="21"/>
      <c r="B15" s="40">
        <v>42349</v>
      </c>
      <c r="C15" s="46">
        <v>581</v>
      </c>
      <c r="D15" s="30" t="s">
        <v>22</v>
      </c>
      <c r="E15" s="28">
        <v>42349</v>
      </c>
      <c r="F15" s="52">
        <v>106084.49</v>
      </c>
      <c r="G15" s="25"/>
      <c r="H15" s="29">
        <v>42349</v>
      </c>
      <c r="I15" s="62">
        <v>200</v>
      </c>
      <c r="J15" s="82"/>
      <c r="K15" s="744" t="s">
        <v>924</v>
      </c>
      <c r="L15" s="52">
        <v>0</v>
      </c>
      <c r="M15" s="116">
        <v>125878.26</v>
      </c>
      <c r="N15" s="336"/>
      <c r="O15" s="25"/>
      <c r="P15" s="25"/>
      <c r="Q15" s="25"/>
    </row>
    <row r="16" spans="1:19" x14ac:dyDescent="0.25">
      <c r="A16" s="21"/>
      <c r="B16" s="40">
        <v>42350</v>
      </c>
      <c r="C16" s="46">
        <v>408</v>
      </c>
      <c r="D16" s="96"/>
      <c r="E16" s="28">
        <v>42350</v>
      </c>
      <c r="F16" s="52">
        <v>90851.56</v>
      </c>
      <c r="G16" s="25"/>
      <c r="H16" s="29">
        <v>42350</v>
      </c>
      <c r="I16" s="62">
        <v>508</v>
      </c>
      <c r="J16" s="82"/>
      <c r="K16" s="192" t="s">
        <v>61</v>
      </c>
      <c r="L16" s="490">
        <v>0</v>
      </c>
      <c r="M16" s="116">
        <v>89863.5</v>
      </c>
      <c r="N16" s="336"/>
      <c r="O16" s="25"/>
      <c r="P16" s="25"/>
      <c r="Q16" s="25"/>
    </row>
    <row r="17" spans="1:18" x14ac:dyDescent="0.25">
      <c r="A17" s="21"/>
      <c r="B17" s="40">
        <v>42351</v>
      </c>
      <c r="C17" s="46">
        <v>0</v>
      </c>
      <c r="D17" s="30"/>
      <c r="E17" s="28">
        <v>42351</v>
      </c>
      <c r="F17" s="52">
        <v>69228.41</v>
      </c>
      <c r="G17" s="25"/>
      <c r="H17" s="29">
        <v>42351</v>
      </c>
      <c r="I17" s="62">
        <v>0</v>
      </c>
      <c r="J17" s="82"/>
      <c r="K17" s="165" t="s">
        <v>972</v>
      </c>
      <c r="L17" s="52">
        <v>4000</v>
      </c>
      <c r="M17" s="116">
        <v>60170</v>
      </c>
      <c r="N17" s="336"/>
      <c r="O17" s="25"/>
      <c r="P17" s="25"/>
      <c r="Q17" s="25"/>
    </row>
    <row r="18" spans="1:18" x14ac:dyDescent="0.25">
      <c r="A18" s="21"/>
      <c r="B18" s="40">
        <v>42352</v>
      </c>
      <c r="C18" s="46">
        <v>454</v>
      </c>
      <c r="D18" s="30" t="s">
        <v>945</v>
      </c>
      <c r="E18" s="28">
        <v>42352</v>
      </c>
      <c r="F18" s="52">
        <v>48697.07</v>
      </c>
      <c r="G18" s="25"/>
      <c r="H18" s="29">
        <v>42352</v>
      </c>
      <c r="I18" s="62">
        <v>0</v>
      </c>
      <c r="J18" s="82"/>
      <c r="K18" s="192" t="s">
        <v>818</v>
      </c>
      <c r="L18" s="52">
        <v>0</v>
      </c>
      <c r="M18" s="116">
        <v>43243</v>
      </c>
      <c r="N18" s="450"/>
      <c r="O18" s="614"/>
      <c r="P18" s="25"/>
      <c r="Q18" s="25"/>
    </row>
    <row r="19" spans="1:18" x14ac:dyDescent="0.25">
      <c r="A19" s="21"/>
      <c r="B19" s="40">
        <v>42353</v>
      </c>
      <c r="C19" s="46">
        <v>0</v>
      </c>
      <c r="D19" s="96"/>
      <c r="E19" s="28">
        <v>42353</v>
      </c>
      <c r="F19" s="52">
        <v>48123.75</v>
      </c>
      <c r="G19" s="25"/>
      <c r="H19" s="29">
        <v>42353</v>
      </c>
      <c r="I19" s="62">
        <v>237.5</v>
      </c>
      <c r="J19" s="82"/>
      <c r="K19" s="286" t="s">
        <v>109</v>
      </c>
      <c r="L19" s="538">
        <v>0</v>
      </c>
      <c r="M19" s="116">
        <v>47886</v>
      </c>
      <c r="N19" s="450"/>
      <c r="O19" s="25"/>
      <c r="P19" s="25"/>
      <c r="Q19" s="25"/>
    </row>
    <row r="20" spans="1:18" x14ac:dyDescent="0.25">
      <c r="A20" s="21"/>
      <c r="B20" s="40">
        <v>42354</v>
      </c>
      <c r="C20" s="46">
        <v>535</v>
      </c>
      <c r="D20" s="70" t="s">
        <v>947</v>
      </c>
      <c r="E20" s="28">
        <v>42354</v>
      </c>
      <c r="F20" s="52">
        <v>71150.67</v>
      </c>
      <c r="G20" s="25"/>
      <c r="H20" s="29">
        <v>42354</v>
      </c>
      <c r="I20" s="63">
        <v>556.04999999999995</v>
      </c>
      <c r="J20" s="82"/>
      <c r="K20" s="486" t="s">
        <v>111</v>
      </c>
      <c r="L20" s="490">
        <v>0</v>
      </c>
      <c r="M20" s="116">
        <v>68060</v>
      </c>
      <c r="N20" s="336"/>
      <c r="O20" s="25"/>
      <c r="P20" s="25"/>
      <c r="Q20" s="25"/>
    </row>
    <row r="21" spans="1:18" x14ac:dyDescent="0.25">
      <c r="A21" s="21"/>
      <c r="B21" s="40">
        <v>42355</v>
      </c>
      <c r="C21" s="46">
        <v>52</v>
      </c>
      <c r="D21" s="30"/>
      <c r="E21" s="28">
        <v>42355</v>
      </c>
      <c r="F21" s="52">
        <v>66910.47</v>
      </c>
      <c r="G21" s="25"/>
      <c r="H21" s="29">
        <v>42355</v>
      </c>
      <c r="I21" s="63">
        <v>0</v>
      </c>
      <c r="J21" s="82"/>
      <c r="K21" s="644" t="s">
        <v>925</v>
      </c>
      <c r="L21" s="490">
        <v>0</v>
      </c>
      <c r="M21" s="116">
        <v>67358.5</v>
      </c>
      <c r="N21" s="336"/>
      <c r="O21" s="614"/>
      <c r="P21" s="614"/>
      <c r="Q21" s="614"/>
      <c r="R21" s="614"/>
    </row>
    <row r="22" spans="1:18" x14ac:dyDescent="0.25">
      <c r="A22" s="21"/>
      <c r="B22" s="40">
        <v>42356</v>
      </c>
      <c r="C22" s="46">
        <v>591</v>
      </c>
      <c r="D22" s="96" t="s">
        <v>969</v>
      </c>
      <c r="E22" s="28">
        <v>42356</v>
      </c>
      <c r="F22" s="52">
        <v>101760.19</v>
      </c>
      <c r="G22" s="25"/>
      <c r="H22" s="29">
        <v>42356</v>
      </c>
      <c r="I22" s="63">
        <v>0</v>
      </c>
      <c r="J22" s="149"/>
      <c r="K22" s="491" t="s">
        <v>942</v>
      </c>
      <c r="L22" s="490">
        <v>800</v>
      </c>
      <c r="M22" s="116">
        <v>101169</v>
      </c>
      <c r="N22" s="336"/>
      <c r="O22" s="25"/>
      <c r="P22" s="25"/>
      <c r="Q22" s="25"/>
    </row>
    <row r="23" spans="1:18" x14ac:dyDescent="0.25">
      <c r="A23" s="21"/>
      <c r="B23" s="40">
        <v>42357</v>
      </c>
      <c r="C23" s="46">
        <v>480</v>
      </c>
      <c r="D23" s="96" t="s">
        <v>970</v>
      </c>
      <c r="E23" s="28">
        <v>42357</v>
      </c>
      <c r="F23" s="52">
        <v>81383.44</v>
      </c>
      <c r="G23" s="25"/>
      <c r="H23" s="29">
        <v>42357</v>
      </c>
      <c r="I23" s="63">
        <v>20</v>
      </c>
      <c r="J23" s="81"/>
      <c r="K23" s="674" t="s">
        <v>941</v>
      </c>
      <c r="L23" s="490">
        <v>5000</v>
      </c>
      <c r="M23" s="700">
        <v>80883.5</v>
      </c>
      <c r="N23" s="336"/>
      <c r="O23" s="25"/>
      <c r="P23" s="25"/>
      <c r="Q23" s="25"/>
    </row>
    <row r="24" spans="1:18" x14ac:dyDescent="0.25">
      <c r="A24" s="21"/>
      <c r="B24" s="40">
        <v>42358</v>
      </c>
      <c r="C24" s="46">
        <v>0</v>
      </c>
      <c r="D24" s="96"/>
      <c r="E24" s="28">
        <v>42358</v>
      </c>
      <c r="F24" s="52">
        <v>52265.7</v>
      </c>
      <c r="G24" s="25"/>
      <c r="H24" s="29">
        <v>42358</v>
      </c>
      <c r="I24" s="63">
        <v>300</v>
      </c>
      <c r="J24" s="82"/>
      <c r="K24" s="706" t="s">
        <v>943</v>
      </c>
      <c r="L24" s="490">
        <v>2500</v>
      </c>
      <c r="M24" s="700">
        <v>42641</v>
      </c>
      <c r="N24" s="336"/>
      <c r="O24" s="25"/>
      <c r="P24" s="25"/>
      <c r="Q24" s="25"/>
    </row>
    <row r="25" spans="1:18" x14ac:dyDescent="0.25">
      <c r="A25" s="21"/>
      <c r="B25" s="40">
        <v>42359</v>
      </c>
      <c r="C25" s="46">
        <v>0</v>
      </c>
      <c r="D25" s="30"/>
      <c r="E25" s="28">
        <v>42359</v>
      </c>
      <c r="F25" s="52">
        <v>50594.8</v>
      </c>
      <c r="G25" s="25"/>
      <c r="H25" s="29">
        <v>42359</v>
      </c>
      <c r="I25" s="63">
        <v>0</v>
      </c>
      <c r="J25" s="81"/>
      <c r="K25" s="706" t="s">
        <v>944</v>
      </c>
      <c r="L25" s="490">
        <v>5000</v>
      </c>
      <c r="M25" s="116">
        <v>50595</v>
      </c>
      <c r="N25" s="450"/>
      <c r="O25" s="25"/>
      <c r="P25" s="25"/>
      <c r="Q25" s="25"/>
    </row>
    <row r="26" spans="1:18" x14ac:dyDescent="0.25">
      <c r="A26" s="21"/>
      <c r="B26" s="40">
        <v>42360</v>
      </c>
      <c r="C26" s="46">
        <v>537</v>
      </c>
      <c r="D26" s="30" t="s">
        <v>971</v>
      </c>
      <c r="E26" s="28">
        <v>42360</v>
      </c>
      <c r="F26" s="52">
        <v>81974.289999999994</v>
      </c>
      <c r="G26" s="25"/>
      <c r="H26" s="29">
        <v>42360</v>
      </c>
      <c r="I26" s="63">
        <v>120</v>
      </c>
      <c r="J26" s="98"/>
      <c r="K26" s="674" t="s">
        <v>946</v>
      </c>
      <c r="L26" s="490">
        <v>2000</v>
      </c>
      <c r="M26" s="116">
        <v>81317</v>
      </c>
      <c r="N26" s="450"/>
      <c r="O26" s="614"/>
      <c r="P26" s="555"/>
      <c r="Q26" s="25"/>
    </row>
    <row r="27" spans="1:18" x14ac:dyDescent="0.25">
      <c r="A27" s="21"/>
      <c r="B27" s="40">
        <v>42361</v>
      </c>
      <c r="C27" s="46">
        <v>672</v>
      </c>
      <c r="D27" s="30" t="s">
        <v>402</v>
      </c>
      <c r="E27" s="28">
        <v>42361</v>
      </c>
      <c r="F27" s="52">
        <v>157837.26999999999</v>
      </c>
      <c r="G27" s="25"/>
      <c r="H27" s="29">
        <v>42361</v>
      </c>
      <c r="I27" s="63">
        <v>494</v>
      </c>
      <c r="J27" s="81"/>
      <c r="K27" s="489" t="s">
        <v>977</v>
      </c>
      <c r="L27" s="490">
        <v>2500</v>
      </c>
      <c r="M27" s="116">
        <v>152671</v>
      </c>
      <c r="N27" s="450"/>
      <c r="O27" s="25"/>
      <c r="P27" s="25"/>
      <c r="Q27" s="25"/>
    </row>
    <row r="28" spans="1:18" x14ac:dyDescent="0.25">
      <c r="A28" s="21"/>
      <c r="B28" s="40">
        <v>42362</v>
      </c>
      <c r="C28" s="46">
        <v>0</v>
      </c>
      <c r="D28" s="30"/>
      <c r="E28" s="28">
        <v>42362</v>
      </c>
      <c r="F28" s="52">
        <v>144707.06</v>
      </c>
      <c r="G28" s="25"/>
      <c r="H28" s="29">
        <v>42362</v>
      </c>
      <c r="I28" s="63">
        <v>60</v>
      </c>
      <c r="J28" s="81"/>
      <c r="K28" s="131" t="s">
        <v>976</v>
      </c>
      <c r="L28" s="490">
        <v>3000</v>
      </c>
      <c r="M28" s="116">
        <v>144647</v>
      </c>
      <c r="N28" s="336"/>
      <c r="O28" s="25"/>
      <c r="P28" s="25"/>
      <c r="Q28" s="25"/>
    </row>
    <row r="29" spans="1:18" x14ac:dyDescent="0.25">
      <c r="A29" s="21"/>
      <c r="B29" s="40">
        <v>42363</v>
      </c>
      <c r="C29" s="93">
        <v>0</v>
      </c>
      <c r="D29" s="771"/>
      <c r="E29" s="772">
        <v>42363</v>
      </c>
      <c r="F29" s="92">
        <v>0</v>
      </c>
      <c r="G29" s="773"/>
      <c r="H29" s="774">
        <v>42363</v>
      </c>
      <c r="I29" s="94">
        <v>0</v>
      </c>
      <c r="J29" s="81"/>
      <c r="K29" s="132"/>
      <c r="L29" s="539">
        <v>0</v>
      </c>
      <c r="M29" s="775">
        <v>0</v>
      </c>
      <c r="N29" s="336"/>
      <c r="O29" s="25"/>
      <c r="P29" s="25"/>
      <c r="Q29" s="25"/>
    </row>
    <row r="30" spans="1:18" ht="15.75" thickBot="1" x14ac:dyDescent="0.3">
      <c r="A30" s="21"/>
      <c r="B30" s="40">
        <v>42364</v>
      </c>
      <c r="C30" s="46">
        <v>985</v>
      </c>
      <c r="D30" s="30" t="s">
        <v>973</v>
      </c>
      <c r="E30" s="28">
        <v>42364</v>
      </c>
      <c r="F30" s="52">
        <v>85871.62</v>
      </c>
      <c r="G30" s="25"/>
      <c r="H30" s="29">
        <v>42364</v>
      </c>
      <c r="I30" s="63">
        <v>20</v>
      </c>
      <c r="J30" s="98"/>
      <c r="K30" s="131"/>
      <c r="L30" s="539">
        <v>0</v>
      </c>
      <c r="M30" s="116">
        <v>84566</v>
      </c>
      <c r="N30" s="336"/>
      <c r="O30" s="25"/>
      <c r="P30" s="25"/>
      <c r="Q30" s="25"/>
    </row>
    <row r="31" spans="1:18" x14ac:dyDescent="0.25">
      <c r="A31" s="21"/>
      <c r="B31" s="40">
        <v>42365</v>
      </c>
      <c r="C31" s="46">
        <v>330.5</v>
      </c>
      <c r="D31" s="30" t="s">
        <v>974</v>
      </c>
      <c r="E31" s="28">
        <v>42365</v>
      </c>
      <c r="F31" s="52">
        <v>60025.5</v>
      </c>
      <c r="G31" s="25"/>
      <c r="H31" s="29">
        <v>42365</v>
      </c>
      <c r="I31" s="63">
        <v>70</v>
      </c>
      <c r="J31" s="82"/>
      <c r="K31" s="552"/>
      <c r="L31" s="822">
        <v>0</v>
      </c>
      <c r="M31" s="116">
        <v>52800</v>
      </c>
      <c r="N31" s="450"/>
      <c r="O31" s="25"/>
      <c r="P31" s="25"/>
      <c r="Q31" s="25"/>
    </row>
    <row r="32" spans="1:18" ht="15.75" thickBot="1" x14ac:dyDescent="0.3">
      <c r="A32" s="21"/>
      <c r="B32" s="40">
        <v>42366</v>
      </c>
      <c r="C32" s="46">
        <v>0</v>
      </c>
      <c r="D32" s="30"/>
      <c r="E32" s="28">
        <v>42366</v>
      </c>
      <c r="F32" s="52">
        <v>45146.54</v>
      </c>
      <c r="G32" s="25"/>
      <c r="H32" s="29">
        <v>42366</v>
      </c>
      <c r="I32" s="63">
        <v>0</v>
      </c>
      <c r="J32" s="81"/>
      <c r="K32" s="489"/>
      <c r="L32" s="823"/>
      <c r="M32" s="116">
        <v>45146.5</v>
      </c>
      <c r="N32" s="336"/>
      <c r="O32" s="25"/>
      <c r="P32" s="25"/>
      <c r="Q32" s="25"/>
    </row>
    <row r="33" spans="1:17" x14ac:dyDescent="0.25">
      <c r="A33" s="21"/>
      <c r="B33" s="40">
        <v>42367</v>
      </c>
      <c r="C33" s="46">
        <v>0</v>
      </c>
      <c r="D33" s="96"/>
      <c r="E33" s="28">
        <v>42367</v>
      </c>
      <c r="F33" s="52">
        <v>85894.77</v>
      </c>
      <c r="G33" s="25"/>
      <c r="H33" s="29">
        <v>42367</v>
      </c>
      <c r="I33" s="63">
        <v>150.30000000000001</v>
      </c>
      <c r="J33" s="81"/>
      <c r="K33" s="553"/>
      <c r="L33" s="824">
        <v>0</v>
      </c>
      <c r="M33" s="116">
        <v>85744.5</v>
      </c>
      <c r="N33" s="450"/>
      <c r="O33" s="25"/>
      <c r="P33" s="25"/>
      <c r="Q33" s="25"/>
    </row>
    <row r="34" spans="1:17" ht="15.75" thickBot="1" x14ac:dyDescent="0.3">
      <c r="A34" s="21"/>
      <c r="B34" s="40">
        <v>42368</v>
      </c>
      <c r="C34" s="46">
        <v>663</v>
      </c>
      <c r="D34" s="30" t="s">
        <v>22</v>
      </c>
      <c r="E34" s="28">
        <v>42368</v>
      </c>
      <c r="F34" s="52">
        <v>187691.1</v>
      </c>
      <c r="G34" s="25"/>
      <c r="H34" s="29">
        <v>42368</v>
      </c>
      <c r="I34" s="63">
        <v>458.62</v>
      </c>
      <c r="J34" s="81"/>
      <c r="K34" s="554"/>
      <c r="L34" s="825"/>
      <c r="M34" s="116">
        <v>186569.5</v>
      </c>
      <c r="N34" s="450"/>
      <c r="O34" s="25"/>
    </row>
    <row r="35" spans="1:17" ht="15.75" thickBot="1" x14ac:dyDescent="0.3">
      <c r="A35" s="21"/>
      <c r="B35" s="40">
        <v>42369</v>
      </c>
      <c r="C35" s="46">
        <v>0</v>
      </c>
      <c r="D35" s="96" t="s">
        <v>17</v>
      </c>
      <c r="E35" s="28">
        <v>42369</v>
      </c>
      <c r="F35" s="52">
        <v>156624.51999999999</v>
      </c>
      <c r="G35" s="25"/>
      <c r="H35" s="29">
        <v>42369</v>
      </c>
      <c r="I35" s="63">
        <v>0</v>
      </c>
      <c r="J35" s="81"/>
      <c r="K35" s="488"/>
      <c r="L35" s="68">
        <v>0</v>
      </c>
      <c r="M35" s="116">
        <v>153624.51999999999</v>
      </c>
    </row>
    <row r="36" spans="1:17" ht="15.75" thickBot="1" x14ac:dyDescent="0.3">
      <c r="A36" s="15"/>
      <c r="B36" s="145"/>
      <c r="C36" s="146">
        <v>0</v>
      </c>
      <c r="D36" s="156"/>
      <c r="E36" s="28"/>
      <c r="F36" s="52">
        <v>0</v>
      </c>
      <c r="G36" s="25"/>
      <c r="H36" s="147"/>
      <c r="I36" s="148">
        <v>0</v>
      </c>
      <c r="J36" s="56"/>
      <c r="K36" s="11"/>
      <c r="L36" s="7"/>
      <c r="M36" s="115">
        <v>0</v>
      </c>
      <c r="P36" s="612"/>
      <c r="Q36" s="612"/>
    </row>
    <row r="37" spans="1:17" ht="16.5" thickBot="1" x14ac:dyDescent="0.3">
      <c r="A37" s="99"/>
      <c r="B37" s="42"/>
      <c r="C37" s="48">
        <v>0</v>
      </c>
      <c r="D37" s="156"/>
      <c r="E37" s="9"/>
      <c r="F37" s="54">
        <v>0</v>
      </c>
      <c r="H37" s="32"/>
      <c r="I37" s="65">
        <v>0</v>
      </c>
      <c r="J37" s="56"/>
      <c r="K37" s="17"/>
      <c r="L37" s="117"/>
      <c r="M37" s="759">
        <f>SUM(M5:M36)</f>
        <v>2315471.7799999998</v>
      </c>
    </row>
    <row r="38" spans="1:17" x14ac:dyDescent="0.25">
      <c r="B38" s="43" t="s">
        <v>1</v>
      </c>
      <c r="C38" s="49">
        <f>SUM(C5:C37)</f>
        <v>8628</v>
      </c>
      <c r="E38" s="755" t="s">
        <v>1</v>
      </c>
      <c r="F38" s="55">
        <f>SUM(F5:F37)</f>
        <v>2340072.7600000002</v>
      </c>
      <c r="H38" s="757" t="s">
        <v>1</v>
      </c>
      <c r="I38" s="59">
        <f>SUM(I5:I37)</f>
        <v>5762.8600000000006</v>
      </c>
      <c r="J38" s="59"/>
      <c r="K38" s="18" t="s">
        <v>1</v>
      </c>
      <c r="L38" s="4">
        <f>SUM(L5:L37)</f>
        <v>108355.67</v>
      </c>
    </row>
    <row r="40" spans="1:17" ht="15.75" x14ac:dyDescent="0.25">
      <c r="A40" s="5"/>
      <c r="B40" s="280"/>
      <c r="C40" s="81"/>
      <c r="D40" s="157"/>
      <c r="E40" s="13"/>
      <c r="F40" s="56"/>
      <c r="H40" s="785" t="s">
        <v>11</v>
      </c>
      <c r="I40" s="786"/>
      <c r="J40" s="756"/>
      <c r="K40" s="787">
        <f>I38+L38</f>
        <v>114118.53</v>
      </c>
      <c r="L40" s="788"/>
    </row>
    <row r="41" spans="1:17" ht="15.75" x14ac:dyDescent="0.25">
      <c r="B41" s="281"/>
      <c r="C41" s="56"/>
      <c r="D41" s="779" t="s">
        <v>12</v>
      </c>
      <c r="E41" s="779"/>
      <c r="F41" s="57">
        <f>F38-K40</f>
        <v>2225954.2300000004</v>
      </c>
      <c r="I41" s="66"/>
      <c r="J41" s="66"/>
    </row>
    <row r="42" spans="1:17" ht="15.75" x14ac:dyDescent="0.25">
      <c r="D42" s="805" t="s">
        <v>246</v>
      </c>
      <c r="E42" s="805"/>
      <c r="F42" s="57">
        <v>0</v>
      </c>
      <c r="I42" s="66"/>
      <c r="J42" s="66" t="s">
        <v>17</v>
      </c>
    </row>
    <row r="43" spans="1:17" ht="15.75" thickBot="1" x14ac:dyDescent="0.3">
      <c r="D43" s="159"/>
      <c r="E43" s="120" t="s">
        <v>0</v>
      </c>
      <c r="F43" s="121">
        <v>-2299390.7599999998</v>
      </c>
    </row>
    <row r="44" spans="1:17" ht="15.75" thickTop="1" x14ac:dyDescent="0.25">
      <c r="C44" s="44" t="s">
        <v>17</v>
      </c>
      <c r="E44" s="5" t="s">
        <v>15</v>
      </c>
      <c r="F44" s="59">
        <f>SUM(F41:F43)</f>
        <v>-73436.529999999329</v>
      </c>
      <c r="I44" s="813" t="s">
        <v>248</v>
      </c>
      <c r="J44" s="814"/>
      <c r="K44" s="803">
        <f>F48+L46</f>
        <v>53464.520000000666</v>
      </c>
      <c r="L44" s="795"/>
    </row>
    <row r="45" spans="1:17" ht="15.75" thickBot="1" x14ac:dyDescent="0.3">
      <c r="D45" s="265" t="s">
        <v>253</v>
      </c>
      <c r="E45" s="5" t="s">
        <v>247</v>
      </c>
      <c r="F45" s="59">
        <v>78770.95</v>
      </c>
      <c r="I45" s="815"/>
      <c r="J45" s="816"/>
      <c r="K45" s="804"/>
      <c r="L45" s="796"/>
    </row>
    <row r="46" spans="1:17" ht="17.25" thickTop="1" thickBot="1" x14ac:dyDescent="0.3">
      <c r="C46" s="55"/>
      <c r="D46" s="778" t="s">
        <v>13</v>
      </c>
      <c r="E46" s="778"/>
      <c r="F46" s="60">
        <v>48130.1</v>
      </c>
      <c r="I46" s="790"/>
      <c r="J46" s="790"/>
      <c r="K46" s="812"/>
      <c r="L46" s="34"/>
    </row>
    <row r="47" spans="1:17" ht="19.5" thickBot="1" x14ac:dyDescent="0.35">
      <c r="C47" s="55"/>
      <c r="D47" s="755"/>
      <c r="E47" s="755"/>
      <c r="F47" s="139"/>
      <c r="H47" s="19"/>
      <c r="I47" s="758" t="s">
        <v>254</v>
      </c>
      <c r="J47" s="758"/>
      <c r="K47" s="806">
        <f>-C4</f>
        <v>-110951.55</v>
      </c>
      <c r="L47" s="807"/>
    </row>
    <row r="48" spans="1:17" ht="17.25" thickTop="1" thickBot="1" x14ac:dyDescent="0.3">
      <c r="E48" s="6" t="s">
        <v>16</v>
      </c>
      <c r="F48" s="264">
        <f>F44+F45+F46</f>
        <v>53464.520000000666</v>
      </c>
    </row>
    <row r="49" spans="2:14" ht="19.5" thickBot="1" x14ac:dyDescent="0.35">
      <c r="B49"/>
      <c r="C49"/>
      <c r="D49" s="777"/>
      <c r="E49" s="777"/>
      <c r="F49" s="56"/>
      <c r="I49" s="838" t="s">
        <v>603</v>
      </c>
      <c r="J49" s="839"/>
      <c r="K49" s="840">
        <f>K44+K47</f>
        <v>-57487.029999999337</v>
      </c>
      <c r="L49" s="841"/>
      <c r="M49" s="113"/>
      <c r="N49"/>
    </row>
    <row r="50" spans="2:14" x14ac:dyDescent="0.25">
      <c r="B50"/>
      <c r="C50"/>
      <c r="M50" s="113"/>
      <c r="N50"/>
    </row>
    <row r="51" spans="2:14" x14ac:dyDescent="0.25">
      <c r="B51"/>
      <c r="C51"/>
      <c r="N51"/>
    </row>
    <row r="52" spans="2:14" x14ac:dyDescent="0.25">
      <c r="B52"/>
      <c r="C52"/>
      <c r="F52"/>
      <c r="I52"/>
      <c r="J52"/>
      <c r="M52"/>
      <c r="N52"/>
    </row>
    <row r="53" spans="2:14" x14ac:dyDescent="0.25">
      <c r="B53"/>
      <c r="C53"/>
      <c r="N53"/>
    </row>
    <row r="54" spans="2:14" x14ac:dyDescent="0.25">
      <c r="M54" s="56"/>
      <c r="N54"/>
    </row>
    <row r="55" spans="2:14" x14ac:dyDescent="0.25">
      <c r="M55" s="56"/>
      <c r="N55"/>
    </row>
    <row r="56" spans="2:14" x14ac:dyDescent="0.25">
      <c r="M56" s="56"/>
      <c r="N56"/>
    </row>
    <row r="57" spans="2:14" x14ac:dyDescent="0.25">
      <c r="M57" s="56"/>
      <c r="N57"/>
    </row>
  </sheetData>
  <mergeCells count="17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H40:I40"/>
    <mergeCell ref="K40:L40"/>
    <mergeCell ref="C1:K1"/>
    <mergeCell ref="E4:F4"/>
    <mergeCell ref="I4:L4"/>
    <mergeCell ref="L31:L32"/>
    <mergeCell ref="L33:L34"/>
  </mergeCells>
  <pageMargins left="0.7" right="0.7" top="0.75" bottom="0.75" header="0.3" footer="0.3"/>
  <drawing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X59"/>
  <sheetViews>
    <sheetView topLeftCell="A37" workbookViewId="0">
      <selection activeCell="E31" sqref="E31"/>
    </sheetView>
  </sheetViews>
  <sheetFormatPr baseColWidth="10" defaultRowHeight="15" x14ac:dyDescent="0.25"/>
  <cols>
    <col min="1" max="1" width="12.5703125" style="614" bestFit="1" customWidth="1"/>
    <col min="2" max="2" width="12.85546875" style="25" bestFit="1" customWidth="1"/>
    <col min="3" max="3" width="15.85546875" style="336" bestFit="1" customWidth="1"/>
    <col min="4" max="4" width="12.42578125" style="25" bestFit="1" customWidth="1"/>
    <col min="5" max="5" width="15.140625" style="336" bestFit="1" customWidth="1"/>
    <col min="6" max="6" width="18.5703125" style="336" bestFit="1" customWidth="1"/>
    <col min="7" max="7" width="11.42578125" style="25"/>
    <col min="8" max="8" width="12.5703125" bestFit="1" customWidth="1"/>
    <col min="9" max="9" width="9.85546875" bestFit="1" customWidth="1"/>
    <col min="10" max="10" width="13.42578125" customWidth="1"/>
    <col min="13" max="13" width="20.140625" bestFit="1" customWidth="1"/>
    <col min="14" max="14" width="11.7109375" bestFit="1" customWidth="1"/>
    <col min="19" max="19" width="16.42578125" customWidth="1"/>
    <col min="21" max="21" width="13.7109375" customWidth="1"/>
    <col min="22" max="22" width="15.42578125" bestFit="1" customWidth="1"/>
    <col min="23" max="23" width="11.7109375" bestFit="1" customWidth="1"/>
  </cols>
  <sheetData>
    <row r="1" spans="1:24" ht="19.5" thickBot="1" x14ac:dyDescent="0.35">
      <c r="B1" s="621" t="s">
        <v>899</v>
      </c>
      <c r="C1" s="622"/>
      <c r="D1" s="584"/>
      <c r="E1" s="622"/>
      <c r="J1" s="474" t="s">
        <v>205</v>
      </c>
      <c r="K1" s="204"/>
      <c r="L1" s="751"/>
      <c r="M1" s="479">
        <v>42340</v>
      </c>
      <c r="N1" s="276"/>
      <c r="S1" s="474" t="s">
        <v>205</v>
      </c>
      <c r="T1" s="204"/>
      <c r="U1" s="770"/>
      <c r="V1" s="760">
        <v>42368</v>
      </c>
      <c r="W1" s="276"/>
    </row>
    <row r="2" spans="1:24" ht="16.5" thickBot="1" x14ac:dyDescent="0.3">
      <c r="A2" s="615"/>
      <c r="B2" s="616"/>
      <c r="C2" s="513"/>
      <c r="D2" s="616"/>
      <c r="E2" s="513"/>
      <c r="F2" s="513"/>
      <c r="I2" s="205"/>
      <c r="J2" s="419"/>
      <c r="K2" s="205"/>
      <c r="L2" s="206"/>
      <c r="M2" s="419"/>
      <c r="N2" s="519"/>
      <c r="R2" s="205"/>
      <c r="S2" s="419"/>
      <c r="T2" s="205"/>
      <c r="U2" s="206"/>
      <c r="V2" s="419"/>
      <c r="W2" s="519"/>
    </row>
    <row r="3" spans="1:24" ht="15.75" x14ac:dyDescent="0.25">
      <c r="A3" s="411">
        <v>42339</v>
      </c>
      <c r="B3" s="412" t="s">
        <v>900</v>
      </c>
      <c r="C3" s="450">
        <v>99308.41</v>
      </c>
      <c r="D3" s="534">
        <v>42340</v>
      </c>
      <c r="E3" s="450">
        <v>99308.41</v>
      </c>
      <c r="F3" s="413">
        <f t="shared" ref="F3:F40" si="0">C3-E3</f>
        <v>0</v>
      </c>
      <c r="I3" s="212" t="s">
        <v>202</v>
      </c>
      <c r="J3" s="419" t="s">
        <v>195</v>
      </c>
      <c r="K3" s="205"/>
      <c r="L3" s="206" t="s">
        <v>203</v>
      </c>
      <c r="M3" s="419" t="s">
        <v>204</v>
      </c>
      <c r="N3" s="519"/>
      <c r="R3" s="212" t="s">
        <v>202</v>
      </c>
      <c r="S3" s="419" t="s">
        <v>195</v>
      </c>
      <c r="T3" s="205"/>
      <c r="U3" s="206" t="s">
        <v>203</v>
      </c>
      <c r="V3" s="419" t="s">
        <v>204</v>
      </c>
      <c r="W3" s="519"/>
    </row>
    <row r="4" spans="1:24" ht="15.75" x14ac:dyDescent="0.25">
      <c r="A4" s="249">
        <v>42340</v>
      </c>
      <c r="B4" s="483" t="s">
        <v>905</v>
      </c>
      <c r="C4" s="450">
        <v>17390.400000000001</v>
      </c>
      <c r="D4" s="617">
        <v>42343</v>
      </c>
      <c r="E4" s="450">
        <v>17390.400000000001</v>
      </c>
      <c r="F4" s="296">
        <f t="shared" si="0"/>
        <v>0</v>
      </c>
      <c r="I4" s="496" t="s">
        <v>887</v>
      </c>
      <c r="J4" s="450">
        <v>4046.67</v>
      </c>
      <c r="K4" s="746" t="s">
        <v>901</v>
      </c>
      <c r="L4" s="331">
        <v>3359236</v>
      </c>
      <c r="M4" s="522">
        <v>47339.5</v>
      </c>
      <c r="N4" s="523">
        <v>42327</v>
      </c>
      <c r="O4" s="21">
        <v>42326</v>
      </c>
      <c r="R4" s="483" t="s">
        <v>962</v>
      </c>
      <c r="S4" s="450">
        <v>3479.18</v>
      </c>
      <c r="T4" s="746" t="s">
        <v>908</v>
      </c>
      <c r="U4" s="331" t="s">
        <v>674</v>
      </c>
      <c r="V4" s="522">
        <v>34440.5</v>
      </c>
      <c r="W4" s="523">
        <v>42322</v>
      </c>
    </row>
    <row r="5" spans="1:24" ht="15.75" x14ac:dyDescent="0.25">
      <c r="A5" s="249">
        <v>42341</v>
      </c>
      <c r="B5" s="483" t="s">
        <v>906</v>
      </c>
      <c r="C5" s="450">
        <v>116994.74</v>
      </c>
      <c r="D5" s="534">
        <v>42343</v>
      </c>
      <c r="E5" s="450">
        <v>116994.74</v>
      </c>
      <c r="F5" s="296">
        <f t="shared" si="0"/>
        <v>0</v>
      </c>
      <c r="H5" s="336"/>
      <c r="I5" s="496" t="s">
        <v>894</v>
      </c>
      <c r="J5" s="81">
        <v>23149.8</v>
      </c>
      <c r="K5" s="234"/>
      <c r="L5" s="331" t="s">
        <v>674</v>
      </c>
      <c r="M5" s="522">
        <v>99351</v>
      </c>
      <c r="N5" s="523">
        <v>42328</v>
      </c>
      <c r="R5" s="496" t="s">
        <v>949</v>
      </c>
      <c r="S5" s="450">
        <v>155904.1</v>
      </c>
      <c r="T5" s="234"/>
      <c r="U5" s="331">
        <v>3358199</v>
      </c>
      <c r="V5" s="522">
        <v>94376</v>
      </c>
      <c r="W5" s="523">
        <v>42349</v>
      </c>
    </row>
    <row r="6" spans="1:24" ht="15.75" x14ac:dyDescent="0.25">
      <c r="A6" s="249">
        <v>42342</v>
      </c>
      <c r="B6" s="483" t="s">
        <v>907</v>
      </c>
      <c r="C6" s="450">
        <v>17761.34</v>
      </c>
      <c r="D6" s="617" t="s">
        <v>922</v>
      </c>
      <c r="E6" s="450">
        <f>10163.24+425+7173.1</f>
        <v>17761.34</v>
      </c>
      <c r="F6" s="296">
        <f t="shared" si="0"/>
        <v>0</v>
      </c>
      <c r="I6" s="496" t="s">
        <v>889</v>
      </c>
      <c r="J6" s="81">
        <v>138609.54</v>
      </c>
      <c r="K6" s="234"/>
      <c r="L6" s="331" t="s">
        <v>674</v>
      </c>
      <c r="M6" s="522">
        <v>43095</v>
      </c>
      <c r="N6" s="523">
        <v>42328</v>
      </c>
      <c r="O6" s="21">
        <v>42327</v>
      </c>
      <c r="R6" s="496" t="s">
        <v>963</v>
      </c>
      <c r="S6" s="450">
        <v>72221.56</v>
      </c>
      <c r="T6" s="234"/>
      <c r="U6" s="331">
        <v>3358213</v>
      </c>
      <c r="V6" s="522">
        <v>89863.5</v>
      </c>
      <c r="W6" s="523">
        <v>42350</v>
      </c>
    </row>
    <row r="7" spans="1:24" ht="15.75" x14ac:dyDescent="0.25">
      <c r="A7" s="249">
        <v>42343</v>
      </c>
      <c r="B7" s="483" t="s">
        <v>911</v>
      </c>
      <c r="C7" s="81">
        <v>128951.44</v>
      </c>
      <c r="D7" s="534">
        <v>42356</v>
      </c>
      <c r="E7" s="81">
        <v>128951.44</v>
      </c>
      <c r="F7" s="296">
        <f t="shared" si="0"/>
        <v>0</v>
      </c>
      <c r="I7" s="496" t="s">
        <v>895</v>
      </c>
      <c r="J7" s="81">
        <v>25351.7</v>
      </c>
      <c r="K7" s="747"/>
      <c r="L7" s="331" t="s">
        <v>674</v>
      </c>
      <c r="M7" s="522">
        <v>44162.5</v>
      </c>
      <c r="N7" s="523">
        <v>42332</v>
      </c>
      <c r="O7" s="21">
        <v>42331</v>
      </c>
      <c r="R7" s="496" t="s">
        <v>948</v>
      </c>
      <c r="S7" s="450">
        <v>124980.6</v>
      </c>
      <c r="T7" s="747"/>
      <c r="U7" s="331" t="s">
        <v>674</v>
      </c>
      <c r="V7" s="522">
        <v>43243</v>
      </c>
      <c r="W7" s="523">
        <v>42353</v>
      </c>
      <c r="X7" s="21">
        <v>42352</v>
      </c>
    </row>
    <row r="8" spans="1:24" ht="15.75" x14ac:dyDescent="0.25">
      <c r="A8" s="249">
        <v>42346</v>
      </c>
      <c r="B8" s="483" t="s">
        <v>912</v>
      </c>
      <c r="C8" s="450">
        <v>202618.88</v>
      </c>
      <c r="D8" s="534">
        <v>42356</v>
      </c>
      <c r="E8" s="450">
        <v>202618.88</v>
      </c>
      <c r="F8" s="296">
        <f t="shared" si="0"/>
        <v>0</v>
      </c>
      <c r="I8" s="496" t="s">
        <v>890</v>
      </c>
      <c r="J8" s="81">
        <v>88799.2</v>
      </c>
      <c r="K8" s="234"/>
      <c r="L8" s="331" t="s">
        <v>674</v>
      </c>
      <c r="M8" s="521">
        <v>44236.5</v>
      </c>
      <c r="N8" s="525">
        <v>42333</v>
      </c>
      <c r="O8" s="21">
        <v>42332</v>
      </c>
      <c r="R8" s="496" t="s">
        <v>950</v>
      </c>
      <c r="S8" s="450">
        <v>71229.820000000007</v>
      </c>
      <c r="T8" s="234"/>
      <c r="U8" s="331" t="s">
        <v>674</v>
      </c>
      <c r="V8" s="521">
        <v>47886</v>
      </c>
      <c r="W8" s="525">
        <v>42354</v>
      </c>
      <c r="X8" s="21">
        <v>42353</v>
      </c>
    </row>
    <row r="9" spans="1:24" ht="15.75" x14ac:dyDescent="0.25">
      <c r="A9" s="249">
        <v>42348</v>
      </c>
      <c r="B9" s="483" t="s">
        <v>913</v>
      </c>
      <c r="C9" s="450">
        <v>83546.899999999994</v>
      </c>
      <c r="D9" s="534">
        <v>42356</v>
      </c>
      <c r="E9" s="450">
        <v>83546.899999999994</v>
      </c>
      <c r="F9" s="296">
        <f t="shared" si="0"/>
        <v>0</v>
      </c>
      <c r="I9" s="496" t="s">
        <v>896</v>
      </c>
      <c r="J9" s="81">
        <v>37854.400000000001</v>
      </c>
      <c r="K9" s="234"/>
      <c r="L9" s="331" t="s">
        <v>674</v>
      </c>
      <c r="M9" s="521">
        <v>34634</v>
      </c>
      <c r="N9" s="525">
        <v>42334</v>
      </c>
      <c r="O9" s="21">
        <v>42333</v>
      </c>
      <c r="R9" s="496" t="s">
        <v>951</v>
      </c>
      <c r="S9" s="450">
        <v>209630.18</v>
      </c>
      <c r="T9" s="234"/>
      <c r="U9" s="331" t="s">
        <v>674</v>
      </c>
      <c r="V9" s="521">
        <v>68060</v>
      </c>
      <c r="W9" s="525">
        <v>42355</v>
      </c>
      <c r="X9" s="21">
        <v>42354</v>
      </c>
    </row>
    <row r="10" spans="1:24" ht="15.75" x14ac:dyDescent="0.25">
      <c r="A10" s="343">
        <v>42349</v>
      </c>
      <c r="B10" s="344" t="s">
        <v>914</v>
      </c>
      <c r="C10" s="81">
        <v>16699.400000000001</v>
      </c>
      <c r="D10" s="534">
        <v>42356</v>
      </c>
      <c r="E10" s="81">
        <v>16699.400000000001</v>
      </c>
      <c r="F10" s="296">
        <f t="shared" si="0"/>
        <v>0</v>
      </c>
      <c r="I10" s="585" t="s">
        <v>897</v>
      </c>
      <c r="J10" s="450">
        <v>40198.400000000001</v>
      </c>
      <c r="K10" s="713"/>
      <c r="L10" s="331" t="s">
        <v>674</v>
      </c>
      <c r="M10" s="522">
        <v>30312</v>
      </c>
      <c r="N10" s="523">
        <v>42335</v>
      </c>
      <c r="O10" s="21">
        <v>42334</v>
      </c>
      <c r="R10" s="496" t="s">
        <v>952</v>
      </c>
      <c r="S10" s="450">
        <v>58844.2</v>
      </c>
      <c r="T10" s="234"/>
      <c r="U10" s="331" t="s">
        <v>674</v>
      </c>
      <c r="V10" s="521">
        <v>67358.5</v>
      </c>
      <c r="W10" s="525">
        <v>42356</v>
      </c>
      <c r="X10" s="21">
        <v>42355</v>
      </c>
    </row>
    <row r="11" spans="1:24" ht="15.75" x14ac:dyDescent="0.25">
      <c r="A11" s="249">
        <v>42350</v>
      </c>
      <c r="B11" s="344" t="s">
        <v>915</v>
      </c>
      <c r="C11" s="81">
        <v>149205.4</v>
      </c>
      <c r="D11" s="534">
        <v>42356</v>
      </c>
      <c r="E11" s="81">
        <v>149205.4</v>
      </c>
      <c r="F11" s="297">
        <f t="shared" si="0"/>
        <v>0</v>
      </c>
      <c r="I11" s="618" t="s">
        <v>898</v>
      </c>
      <c r="J11" s="81">
        <v>2739.88</v>
      </c>
      <c r="K11" s="713" t="s">
        <v>902</v>
      </c>
      <c r="L11" s="331" t="s">
        <v>674</v>
      </c>
      <c r="M11" s="521">
        <v>75423</v>
      </c>
      <c r="N11" s="525">
        <v>42336</v>
      </c>
      <c r="O11" s="21">
        <v>42335</v>
      </c>
      <c r="R11" s="496" t="s">
        <v>953</v>
      </c>
      <c r="S11" s="450">
        <v>83828.98</v>
      </c>
      <c r="T11" s="234"/>
      <c r="U11" s="331" t="s">
        <v>674</v>
      </c>
      <c r="V11" s="521">
        <v>101169</v>
      </c>
      <c r="W11" s="525">
        <v>42360</v>
      </c>
      <c r="X11" s="21">
        <v>42356</v>
      </c>
    </row>
    <row r="12" spans="1:24" ht="15.75" x14ac:dyDescent="0.25">
      <c r="A12" s="249">
        <v>42350</v>
      </c>
      <c r="B12" s="344" t="s">
        <v>916</v>
      </c>
      <c r="C12" s="81">
        <v>37417.199999999997</v>
      </c>
      <c r="D12" s="534">
        <v>42356</v>
      </c>
      <c r="E12" s="81">
        <v>37417.199999999997</v>
      </c>
      <c r="F12" s="297">
        <f t="shared" si="0"/>
        <v>0</v>
      </c>
      <c r="I12" s="618" t="s">
        <v>900</v>
      </c>
      <c r="J12" s="81">
        <v>99308.41</v>
      </c>
      <c r="K12" s="713"/>
      <c r="L12" s="331" t="s">
        <v>674</v>
      </c>
      <c r="M12" s="521">
        <v>41504.5</v>
      </c>
      <c r="N12" s="525">
        <v>42339</v>
      </c>
      <c r="O12" s="21">
        <v>42338</v>
      </c>
      <c r="R12" s="496" t="s">
        <v>954</v>
      </c>
      <c r="S12" s="450">
        <v>102254.98</v>
      </c>
      <c r="T12" s="234"/>
      <c r="U12" s="331" t="s">
        <v>674</v>
      </c>
      <c r="V12" s="521">
        <v>80883.5</v>
      </c>
      <c r="W12" s="525">
        <v>42360</v>
      </c>
      <c r="X12" s="21">
        <v>42357</v>
      </c>
    </row>
    <row r="13" spans="1:24" ht="15.75" x14ac:dyDescent="0.25">
      <c r="A13" s="249">
        <v>42350</v>
      </c>
      <c r="B13" s="344" t="s">
        <v>917</v>
      </c>
      <c r="C13" s="81">
        <v>6321.7</v>
      </c>
      <c r="D13" s="534">
        <v>42356</v>
      </c>
      <c r="E13" s="81">
        <v>6321.7</v>
      </c>
      <c r="F13" s="297">
        <f t="shared" si="0"/>
        <v>0</v>
      </c>
      <c r="I13" s="618"/>
      <c r="J13" s="81">
        <v>0</v>
      </c>
      <c r="K13" s="713"/>
      <c r="L13" s="331" t="s">
        <v>674</v>
      </c>
      <c r="M13" s="521">
        <v>0</v>
      </c>
      <c r="N13" s="525"/>
      <c r="O13" s="21"/>
      <c r="R13" s="496" t="s">
        <v>960</v>
      </c>
      <c r="S13" s="450">
        <v>100972.4</v>
      </c>
      <c r="T13" s="234" t="s">
        <v>236</v>
      </c>
      <c r="U13" s="331" t="s">
        <v>674</v>
      </c>
      <c r="V13" s="521">
        <v>42641</v>
      </c>
      <c r="W13" s="525">
        <v>42360</v>
      </c>
      <c r="X13" s="21">
        <v>42358</v>
      </c>
    </row>
    <row r="14" spans="1:24" ht="15.75" x14ac:dyDescent="0.25">
      <c r="A14" s="249">
        <v>42351</v>
      </c>
      <c r="B14" s="344" t="s">
        <v>918</v>
      </c>
      <c r="C14" s="81">
        <v>750</v>
      </c>
      <c r="D14" s="534">
        <v>42356</v>
      </c>
      <c r="E14" s="81">
        <v>750</v>
      </c>
      <c r="F14" s="297">
        <f t="shared" si="0"/>
        <v>0</v>
      </c>
      <c r="I14" s="618"/>
      <c r="J14" s="81">
        <v>0</v>
      </c>
      <c r="K14" s="713"/>
      <c r="L14" s="331" t="s">
        <v>674</v>
      </c>
      <c r="M14" s="521">
        <v>0</v>
      </c>
      <c r="N14" s="525"/>
      <c r="O14" s="21"/>
      <c r="R14" s="496"/>
      <c r="S14" s="450"/>
      <c r="T14" s="234"/>
      <c r="U14" s="331" t="s">
        <v>674</v>
      </c>
      <c r="V14" s="521">
        <v>50595</v>
      </c>
      <c r="W14" s="525">
        <v>42360</v>
      </c>
      <c r="X14" s="21">
        <v>42359</v>
      </c>
    </row>
    <row r="15" spans="1:24" ht="15.75" x14ac:dyDescent="0.25">
      <c r="A15" s="249">
        <v>42352</v>
      </c>
      <c r="B15" s="344" t="s">
        <v>919</v>
      </c>
      <c r="C15" s="81">
        <v>17599.2</v>
      </c>
      <c r="D15" s="534">
        <v>42356</v>
      </c>
      <c r="E15" s="81">
        <v>17599.2</v>
      </c>
      <c r="F15" s="297">
        <f t="shared" si="0"/>
        <v>0</v>
      </c>
      <c r="I15" s="230"/>
      <c r="J15" s="324">
        <f>SUM(J4:J14)</f>
        <v>460058.00000000012</v>
      </c>
      <c r="K15" s="230"/>
      <c r="L15" s="230"/>
      <c r="M15" s="324">
        <f>SUM(M4:M14)</f>
        <v>460058</v>
      </c>
      <c r="N15" s="230"/>
      <c r="R15" s="496"/>
      <c r="S15" s="450"/>
      <c r="T15" s="234"/>
      <c r="U15" s="331">
        <v>3358220</v>
      </c>
      <c r="V15" s="521">
        <v>81317</v>
      </c>
      <c r="W15" s="525">
        <v>42360</v>
      </c>
    </row>
    <row r="16" spans="1:24" ht="15.75" x14ac:dyDescent="0.25">
      <c r="A16" s="343">
        <v>42354</v>
      </c>
      <c r="B16" s="496" t="s">
        <v>920</v>
      </c>
      <c r="C16" s="450">
        <v>15383.2</v>
      </c>
      <c r="D16" s="534">
        <v>42356</v>
      </c>
      <c r="E16" s="450">
        <v>15383.2</v>
      </c>
      <c r="F16" s="297">
        <f t="shared" si="0"/>
        <v>0</v>
      </c>
      <c r="R16" s="585"/>
      <c r="S16" s="450"/>
      <c r="T16" s="713"/>
      <c r="U16" s="331" t="s">
        <v>674</v>
      </c>
      <c r="V16" s="522">
        <v>84566.5</v>
      </c>
      <c r="W16" s="523">
        <v>42366</v>
      </c>
      <c r="X16" s="21">
        <v>42364</v>
      </c>
    </row>
    <row r="17" spans="1:24" ht="18.75" x14ac:dyDescent="0.3">
      <c r="A17" s="343">
        <v>42355</v>
      </c>
      <c r="B17" s="496" t="s">
        <v>921</v>
      </c>
      <c r="C17" s="450">
        <v>87136.26</v>
      </c>
      <c r="D17" s="534" t="s">
        <v>964</v>
      </c>
      <c r="E17" s="450">
        <f>83657.08+3479.18</f>
        <v>87136.26</v>
      </c>
      <c r="F17" s="297">
        <f t="shared" si="0"/>
        <v>0</v>
      </c>
      <c r="K17" s="842" t="s">
        <v>904</v>
      </c>
      <c r="L17" s="842"/>
      <c r="R17" s="618"/>
      <c r="S17" s="81"/>
      <c r="T17" s="713"/>
      <c r="U17" s="331" t="s">
        <v>674</v>
      </c>
      <c r="V17" s="521">
        <v>52800</v>
      </c>
      <c r="W17" s="525">
        <v>42366</v>
      </c>
      <c r="X17" s="21">
        <v>42365</v>
      </c>
    </row>
    <row r="18" spans="1:24" ht="15.75" x14ac:dyDescent="0.25">
      <c r="A18" s="343">
        <v>42353</v>
      </c>
      <c r="B18" s="496" t="s">
        <v>949</v>
      </c>
      <c r="C18" s="450">
        <v>155904.1</v>
      </c>
      <c r="D18" s="534">
        <v>42368</v>
      </c>
      <c r="E18" s="450">
        <v>155904.1</v>
      </c>
      <c r="F18" s="297">
        <f t="shared" si="0"/>
        <v>0</v>
      </c>
      <c r="R18" s="618"/>
      <c r="S18" s="81"/>
      <c r="T18" s="713"/>
      <c r="U18" s="331" t="s">
        <v>674</v>
      </c>
      <c r="V18" s="521">
        <v>44146.5</v>
      </c>
      <c r="W18" s="525">
        <v>42367</v>
      </c>
      <c r="X18" s="21">
        <v>42366</v>
      </c>
    </row>
    <row r="19" spans="1:24" ht="15.75" x14ac:dyDescent="0.25">
      <c r="A19" s="343">
        <v>42357</v>
      </c>
      <c r="B19" s="496" t="s">
        <v>963</v>
      </c>
      <c r="C19" s="450">
        <v>72221.56</v>
      </c>
      <c r="D19" s="534">
        <v>42368</v>
      </c>
      <c r="E19" s="450">
        <v>72221.56</v>
      </c>
      <c r="F19" s="297">
        <f t="shared" si="0"/>
        <v>0</v>
      </c>
      <c r="R19" s="618"/>
      <c r="S19" s="81"/>
      <c r="T19" s="713"/>
      <c r="U19" s="331"/>
      <c r="V19" s="521"/>
      <c r="W19" s="525"/>
    </row>
    <row r="20" spans="1:24" ht="15.75" x14ac:dyDescent="0.25">
      <c r="A20" s="343">
        <v>42357</v>
      </c>
      <c r="B20" s="496" t="s">
        <v>948</v>
      </c>
      <c r="C20" s="450">
        <v>124980.6</v>
      </c>
      <c r="D20" s="534">
        <v>42368</v>
      </c>
      <c r="E20" s="450">
        <v>124980.6</v>
      </c>
      <c r="F20" s="297">
        <f t="shared" si="0"/>
        <v>0</v>
      </c>
      <c r="R20" s="618"/>
      <c r="S20" s="81"/>
      <c r="T20" s="713"/>
      <c r="U20" s="331"/>
      <c r="V20" s="521"/>
      <c r="W20" s="525"/>
    </row>
    <row r="21" spans="1:24" ht="15.75" thickBot="1" x14ac:dyDescent="0.3">
      <c r="A21" s="343">
        <v>42359</v>
      </c>
      <c r="B21" s="496" t="s">
        <v>950</v>
      </c>
      <c r="C21" s="450">
        <v>71229.820000000007</v>
      </c>
      <c r="D21" s="534">
        <v>42368</v>
      </c>
      <c r="E21" s="450">
        <v>71229.820000000007</v>
      </c>
      <c r="F21" s="297">
        <f t="shared" si="0"/>
        <v>0</v>
      </c>
      <c r="R21" s="230"/>
      <c r="S21" s="324">
        <f>SUM(S4:S20)</f>
        <v>983345.99999999988</v>
      </c>
      <c r="T21" s="230"/>
      <c r="U21" s="230"/>
      <c r="V21" s="324">
        <f>SUM(V4:V20)</f>
        <v>983346</v>
      </c>
      <c r="W21" s="230"/>
    </row>
    <row r="22" spans="1:24" ht="19.5" thickBot="1" x14ac:dyDescent="0.35">
      <c r="A22" s="343">
        <v>42360</v>
      </c>
      <c r="B22" s="496" t="s">
        <v>951</v>
      </c>
      <c r="C22" s="450">
        <v>209630.18</v>
      </c>
      <c r="D22" s="534">
        <v>42368</v>
      </c>
      <c r="E22" s="450">
        <v>209630.18</v>
      </c>
      <c r="F22" s="297">
        <f t="shared" si="0"/>
        <v>0</v>
      </c>
      <c r="J22" s="474" t="s">
        <v>205</v>
      </c>
      <c r="K22" s="204"/>
      <c r="L22" s="752"/>
      <c r="M22" s="716">
        <v>42343</v>
      </c>
      <c r="N22" s="276"/>
    </row>
    <row r="23" spans="1:24" ht="15.75" x14ac:dyDescent="0.25">
      <c r="A23" s="343">
        <v>42361</v>
      </c>
      <c r="B23" s="496" t="s">
        <v>952</v>
      </c>
      <c r="C23" s="450">
        <v>58844.2</v>
      </c>
      <c r="D23" s="534">
        <v>42368</v>
      </c>
      <c r="E23" s="450">
        <v>58844.2</v>
      </c>
      <c r="F23" s="297">
        <f t="shared" si="0"/>
        <v>0</v>
      </c>
      <c r="I23" s="205"/>
      <c r="J23" s="419"/>
      <c r="K23" s="205"/>
      <c r="L23" s="206"/>
      <c r="M23" s="419"/>
      <c r="N23" s="519"/>
    </row>
    <row r="24" spans="1:24" ht="15.75" x14ac:dyDescent="0.25">
      <c r="A24" s="343">
        <v>42362</v>
      </c>
      <c r="B24" s="496" t="s">
        <v>953</v>
      </c>
      <c r="C24" s="450">
        <v>83828.98</v>
      </c>
      <c r="D24" s="534">
        <v>42368</v>
      </c>
      <c r="E24" s="450">
        <v>83828.98</v>
      </c>
      <c r="F24" s="297">
        <f t="shared" si="0"/>
        <v>0</v>
      </c>
      <c r="I24" s="212" t="s">
        <v>202</v>
      </c>
      <c r="J24" s="419" t="s">
        <v>195</v>
      </c>
      <c r="K24" s="205"/>
      <c r="L24" s="206" t="s">
        <v>203</v>
      </c>
      <c r="M24" s="419" t="s">
        <v>204</v>
      </c>
      <c r="N24" s="519"/>
    </row>
    <row r="25" spans="1:24" ht="15.75" x14ac:dyDescent="0.25">
      <c r="A25" s="343">
        <v>42364</v>
      </c>
      <c r="B25" s="496" t="s">
        <v>954</v>
      </c>
      <c r="C25" s="450">
        <v>102254.98</v>
      </c>
      <c r="D25" s="534">
        <v>42368</v>
      </c>
      <c r="E25" s="450">
        <v>102254.98</v>
      </c>
      <c r="F25" s="297">
        <f t="shared" si="0"/>
        <v>0</v>
      </c>
      <c r="I25" s="496" t="s">
        <v>898</v>
      </c>
      <c r="J25" s="450">
        <v>470.12</v>
      </c>
      <c r="K25" s="746" t="s">
        <v>908</v>
      </c>
      <c r="L25" s="331" t="s">
        <v>674</v>
      </c>
      <c r="M25" s="522">
        <v>44661.5</v>
      </c>
      <c r="N25" s="523">
        <v>42340</v>
      </c>
      <c r="O25" s="21">
        <v>42339</v>
      </c>
    </row>
    <row r="26" spans="1:24" ht="15.75" x14ac:dyDescent="0.25">
      <c r="A26" s="343">
        <v>42367</v>
      </c>
      <c r="B26" s="496" t="s">
        <v>960</v>
      </c>
      <c r="C26" s="450">
        <v>171877.52</v>
      </c>
      <c r="D26" s="564" t="s">
        <v>975</v>
      </c>
      <c r="E26" s="369">
        <f>100972.4+70905.12</f>
        <v>171877.52</v>
      </c>
      <c r="F26" s="297">
        <f t="shared" si="0"/>
        <v>0</v>
      </c>
      <c r="I26" s="483" t="s">
        <v>905</v>
      </c>
      <c r="J26" s="450">
        <v>17390.400000000001</v>
      </c>
      <c r="K26" s="234"/>
      <c r="L26" s="331" t="s">
        <v>674</v>
      </c>
      <c r="M26" s="522">
        <v>44757</v>
      </c>
      <c r="N26" s="523">
        <v>42341</v>
      </c>
      <c r="O26" s="21">
        <v>42340</v>
      </c>
    </row>
    <row r="27" spans="1:24" ht="15.75" x14ac:dyDescent="0.25">
      <c r="A27" s="343">
        <v>42367</v>
      </c>
      <c r="B27" s="496" t="s">
        <v>961</v>
      </c>
      <c r="C27" s="450">
        <v>1061.58</v>
      </c>
      <c r="D27" s="562">
        <v>42385</v>
      </c>
      <c r="E27" s="369">
        <v>1061.58</v>
      </c>
      <c r="F27" s="297">
        <f t="shared" si="0"/>
        <v>0</v>
      </c>
      <c r="I27" s="483" t="s">
        <v>906</v>
      </c>
      <c r="J27" s="450">
        <v>116994.74</v>
      </c>
      <c r="K27" s="234"/>
      <c r="L27" s="331" t="s">
        <v>674</v>
      </c>
      <c r="M27" s="522">
        <v>56025</v>
      </c>
      <c r="N27" s="523">
        <v>42342</v>
      </c>
      <c r="O27" s="21">
        <v>42341</v>
      </c>
    </row>
    <row r="28" spans="1:24" ht="15.75" x14ac:dyDescent="0.25">
      <c r="A28" s="343">
        <v>42366</v>
      </c>
      <c r="B28" s="496" t="s">
        <v>965</v>
      </c>
      <c r="C28" s="450">
        <v>152854.1</v>
      </c>
      <c r="D28" s="562">
        <v>42385</v>
      </c>
      <c r="E28" s="369">
        <v>152854.1</v>
      </c>
      <c r="F28" s="297">
        <f t="shared" si="0"/>
        <v>0</v>
      </c>
      <c r="I28" s="483" t="s">
        <v>907</v>
      </c>
      <c r="J28" s="450">
        <v>10163.24</v>
      </c>
      <c r="K28" s="747" t="s">
        <v>325</v>
      </c>
      <c r="L28" s="331" t="s">
        <v>674</v>
      </c>
      <c r="M28" s="522"/>
      <c r="N28" s="523"/>
    </row>
    <row r="29" spans="1:24" ht="15.75" x14ac:dyDescent="0.25">
      <c r="A29" s="343">
        <v>42368</v>
      </c>
      <c r="B29" s="496" t="s">
        <v>966</v>
      </c>
      <c r="C29" s="81">
        <v>52936.6</v>
      </c>
      <c r="D29" s="562">
        <v>42385</v>
      </c>
      <c r="E29" s="531">
        <v>52936.6</v>
      </c>
      <c r="F29" s="297">
        <f t="shared" si="0"/>
        <v>0</v>
      </c>
      <c r="I29" s="496" t="s">
        <v>909</v>
      </c>
      <c r="J29" s="81">
        <v>425</v>
      </c>
      <c r="K29" s="753">
        <v>42340</v>
      </c>
      <c r="L29" s="331" t="s">
        <v>674</v>
      </c>
      <c r="M29" s="521"/>
      <c r="N29" s="525"/>
    </row>
    <row r="30" spans="1:24" ht="15.75" x14ac:dyDescent="0.25">
      <c r="A30" s="545">
        <v>42368</v>
      </c>
      <c r="B30" s="496" t="s">
        <v>967</v>
      </c>
      <c r="C30" s="81">
        <v>33576.31</v>
      </c>
      <c r="D30" s="562">
        <v>42385</v>
      </c>
      <c r="E30" s="531">
        <v>33576.31</v>
      </c>
      <c r="F30" s="297">
        <f>C30-E30</f>
        <v>0</v>
      </c>
      <c r="I30" s="496"/>
      <c r="J30" s="81"/>
      <c r="K30" s="234"/>
      <c r="L30" s="331" t="s">
        <v>674</v>
      </c>
      <c r="M30" s="521"/>
      <c r="N30" s="525"/>
    </row>
    <row r="31" spans="1:24" ht="15.75" x14ac:dyDescent="0.25">
      <c r="A31" s="343">
        <v>42369</v>
      </c>
      <c r="B31" s="496" t="s">
        <v>968</v>
      </c>
      <c r="C31" s="81">
        <v>11105.76</v>
      </c>
      <c r="D31" s="562">
        <v>42385</v>
      </c>
      <c r="E31" s="531">
        <v>11105.76</v>
      </c>
      <c r="F31" s="297">
        <f>C31-E31</f>
        <v>0</v>
      </c>
      <c r="I31" s="585"/>
      <c r="J31" s="450"/>
      <c r="K31" s="713"/>
      <c r="L31" s="331" t="s">
        <v>674</v>
      </c>
      <c r="M31" s="522"/>
      <c r="N31" s="523"/>
    </row>
    <row r="32" spans="1:24" ht="15.75" x14ac:dyDescent="0.25">
      <c r="A32" s="343"/>
      <c r="B32" s="496"/>
      <c r="C32" s="81"/>
      <c r="D32" s="465"/>
      <c r="E32" s="294"/>
      <c r="F32" s="297">
        <f>C32-E32</f>
        <v>0</v>
      </c>
      <c r="I32" s="618"/>
      <c r="J32" s="81"/>
      <c r="K32" s="713"/>
      <c r="L32" s="331" t="s">
        <v>674</v>
      </c>
      <c r="M32" s="521"/>
      <c r="N32" s="525"/>
    </row>
    <row r="33" spans="1:15" ht="15.75" x14ac:dyDescent="0.25">
      <c r="A33" s="343"/>
      <c r="B33" s="496"/>
      <c r="C33" s="81"/>
      <c r="D33" s="617"/>
      <c r="E33" s="450"/>
      <c r="F33" s="297">
        <f>C33-E33</f>
        <v>0</v>
      </c>
      <c r="I33" s="618"/>
      <c r="J33" s="81"/>
      <c r="K33" s="713"/>
      <c r="L33" s="331" t="s">
        <v>674</v>
      </c>
      <c r="M33" s="521"/>
      <c r="N33" s="525"/>
    </row>
    <row r="34" spans="1:15" ht="15.75" x14ac:dyDescent="0.25">
      <c r="A34" s="724"/>
      <c r="B34" s="585"/>
      <c r="C34" s="450"/>
      <c r="D34" s="465"/>
      <c r="E34" s="294"/>
      <c r="F34" s="596">
        <f>C34-E34</f>
        <v>0</v>
      </c>
      <c r="I34" s="618"/>
      <c r="J34" s="81">
        <v>0</v>
      </c>
      <c r="K34" s="713"/>
      <c r="L34" s="331" t="s">
        <v>674</v>
      </c>
      <c r="M34" s="521"/>
      <c r="N34" s="525"/>
    </row>
    <row r="35" spans="1:15" ht="15.75" x14ac:dyDescent="0.25">
      <c r="A35" s="602"/>
      <c r="B35" s="618"/>
      <c r="C35" s="81"/>
      <c r="D35" s="287"/>
      <c r="E35" s="81"/>
      <c r="F35" s="596">
        <f t="shared" si="0"/>
        <v>0</v>
      </c>
      <c r="I35" s="618"/>
      <c r="J35" s="81">
        <v>0</v>
      </c>
      <c r="K35" s="713"/>
      <c r="L35" s="331" t="s">
        <v>674</v>
      </c>
      <c r="M35" s="521">
        <v>0</v>
      </c>
      <c r="N35" s="525"/>
    </row>
    <row r="36" spans="1:15" ht="15.75" x14ac:dyDescent="0.25">
      <c r="A36" s="602"/>
      <c r="B36" s="618"/>
      <c r="C36" s="81"/>
      <c r="D36" s="287"/>
      <c r="E36" s="81"/>
      <c r="F36" s="596">
        <f t="shared" si="0"/>
        <v>0</v>
      </c>
      <c r="I36" s="230"/>
      <c r="J36" s="324">
        <f>SUM(J25:J35)</f>
        <v>145443.5</v>
      </c>
      <c r="K36" s="230"/>
      <c r="L36" s="230"/>
      <c r="M36" s="324">
        <f>SUM(M25:M35)</f>
        <v>145443.5</v>
      </c>
      <c r="N36" s="230"/>
    </row>
    <row r="37" spans="1:15" x14ac:dyDescent="0.25">
      <c r="A37" s="249"/>
      <c r="B37" s="619"/>
      <c r="C37" s="81"/>
      <c r="D37" s="287"/>
      <c r="E37" s="81"/>
      <c r="F37" s="596">
        <f t="shared" si="0"/>
        <v>0</v>
      </c>
    </row>
    <row r="38" spans="1:15" ht="19.5" thickBot="1" x14ac:dyDescent="0.35">
      <c r="A38" s="249"/>
      <c r="B38" s="731"/>
      <c r="C38" s="81"/>
      <c r="D38" s="286"/>
      <c r="E38" s="81"/>
      <c r="F38" s="596">
        <f t="shared" si="0"/>
        <v>0</v>
      </c>
      <c r="K38" s="843"/>
      <c r="L38" s="843"/>
    </row>
    <row r="39" spans="1:15" ht="19.5" thickBot="1" x14ac:dyDescent="0.35">
      <c r="A39" s="249"/>
      <c r="B39" s="731"/>
      <c r="C39" s="81"/>
      <c r="D39" s="286"/>
      <c r="E39" s="81"/>
      <c r="F39" s="596">
        <f t="shared" si="0"/>
        <v>0</v>
      </c>
      <c r="J39" s="474" t="s">
        <v>205</v>
      </c>
      <c r="K39" s="204"/>
      <c r="L39" s="754"/>
      <c r="M39" s="760">
        <v>42356</v>
      </c>
      <c r="N39" s="276"/>
    </row>
    <row r="40" spans="1:15" ht="16.5" thickBot="1" x14ac:dyDescent="0.3">
      <c r="B40" s="263"/>
      <c r="C40" s="180">
        <v>0</v>
      </c>
      <c r="D40" s="467"/>
      <c r="E40" s="295">
        <v>0</v>
      </c>
      <c r="F40" s="596">
        <f t="shared" si="0"/>
        <v>0</v>
      </c>
      <c r="I40" s="205"/>
      <c r="J40" s="419"/>
      <c r="K40" s="205"/>
      <c r="L40" s="206"/>
      <c r="M40" s="419"/>
      <c r="N40" s="519"/>
    </row>
    <row r="41" spans="1:15" ht="16.5" thickTop="1" x14ac:dyDescent="0.25">
      <c r="B41" s="614"/>
      <c r="C41" s="450">
        <f>SUM(C3:C40)</f>
        <v>2299390.7599999998</v>
      </c>
      <c r="D41" s="178"/>
      <c r="E41" s="336">
        <f>SUM(E3:E40)</f>
        <v>2299390.7599999998</v>
      </c>
      <c r="F41" s="336">
        <f>SUM(F3:F40)</f>
        <v>0</v>
      </c>
      <c r="I41" s="212" t="s">
        <v>202</v>
      </c>
      <c r="J41" s="419" t="s">
        <v>195</v>
      </c>
      <c r="K41" s="205"/>
      <c r="L41" s="206" t="s">
        <v>203</v>
      </c>
      <c r="M41" s="419" t="s">
        <v>204</v>
      </c>
      <c r="N41" s="519"/>
    </row>
    <row r="42" spans="1:15" ht="15.75" x14ac:dyDescent="0.25">
      <c r="C42" s="450"/>
      <c r="I42" s="483" t="s">
        <v>907</v>
      </c>
      <c r="J42" s="450">
        <v>7173.1</v>
      </c>
      <c r="K42" s="746" t="s">
        <v>908</v>
      </c>
      <c r="L42" s="331" t="s">
        <v>674</v>
      </c>
      <c r="M42" s="522">
        <v>1000</v>
      </c>
      <c r="N42" s="523">
        <v>42338</v>
      </c>
      <c r="O42" s="21">
        <v>42325</v>
      </c>
    </row>
    <row r="43" spans="1:15" ht="15.75" x14ac:dyDescent="0.25">
      <c r="B43" s="25" t="s">
        <v>101</v>
      </c>
      <c r="E43" s="25"/>
      <c r="F43" s="25"/>
      <c r="I43" s="483" t="s">
        <v>911</v>
      </c>
      <c r="J43" s="81">
        <v>128951.44</v>
      </c>
      <c r="K43" s="234"/>
      <c r="L43" s="331" t="s">
        <v>674</v>
      </c>
      <c r="M43" s="522">
        <v>300</v>
      </c>
      <c r="N43" s="523">
        <v>42346</v>
      </c>
      <c r="O43" s="21">
        <v>42329</v>
      </c>
    </row>
    <row r="44" spans="1:15" ht="15.75" x14ac:dyDescent="0.25">
      <c r="B44" s="450"/>
      <c r="C44" s="534"/>
      <c r="D44" s="196"/>
      <c r="E44" s="25"/>
      <c r="F44" s="25"/>
      <c r="H44" s="5"/>
      <c r="I44" s="483" t="s">
        <v>912</v>
      </c>
      <c r="J44" s="450">
        <v>202618.88</v>
      </c>
      <c r="K44" s="234"/>
      <c r="L44" s="331" t="s">
        <v>674</v>
      </c>
      <c r="M44" s="522">
        <v>63840</v>
      </c>
      <c r="N44" s="523">
        <v>42346</v>
      </c>
      <c r="O44" s="21">
        <v>42329</v>
      </c>
    </row>
    <row r="45" spans="1:15" ht="15.75" x14ac:dyDescent="0.25">
      <c r="E45" s="25"/>
      <c r="F45" s="25"/>
      <c r="I45" s="483" t="s">
        <v>913</v>
      </c>
      <c r="J45" s="450">
        <v>83546.899999999994</v>
      </c>
      <c r="K45" s="747"/>
      <c r="L45" s="331" t="s">
        <v>674</v>
      </c>
      <c r="M45" s="522">
        <v>55267</v>
      </c>
      <c r="N45" s="523">
        <v>42346</v>
      </c>
      <c r="O45" s="21">
        <v>42330</v>
      </c>
    </row>
    <row r="46" spans="1:15" ht="15.75" x14ac:dyDescent="0.25">
      <c r="A46" s="25"/>
      <c r="I46" s="344" t="s">
        <v>914</v>
      </c>
      <c r="J46" s="81">
        <v>16699.400000000001</v>
      </c>
      <c r="K46" s="234"/>
      <c r="L46" s="331" t="s">
        <v>674</v>
      </c>
      <c r="M46" s="521">
        <v>1000</v>
      </c>
      <c r="N46" s="525">
        <v>42336</v>
      </c>
      <c r="O46" s="21">
        <v>42334</v>
      </c>
    </row>
    <row r="47" spans="1:15" ht="15.75" x14ac:dyDescent="0.25">
      <c r="A47" s="25"/>
      <c r="I47" s="344" t="s">
        <v>915</v>
      </c>
      <c r="J47" s="81">
        <v>149205.4</v>
      </c>
      <c r="K47" s="234"/>
      <c r="L47" s="331" t="s">
        <v>674</v>
      </c>
      <c r="M47" s="521">
        <v>83211</v>
      </c>
      <c r="N47" s="525">
        <v>42346</v>
      </c>
      <c r="O47" s="21">
        <v>42336</v>
      </c>
    </row>
    <row r="48" spans="1:15" ht="15.75" x14ac:dyDescent="0.25">
      <c r="A48" s="25"/>
      <c r="I48" s="344" t="s">
        <v>916</v>
      </c>
      <c r="J48" s="81">
        <v>37417.199999999997</v>
      </c>
      <c r="K48" s="234"/>
      <c r="L48" s="331" t="s">
        <v>674</v>
      </c>
      <c r="M48" s="521">
        <v>47839</v>
      </c>
      <c r="N48" s="525">
        <v>42346</v>
      </c>
      <c r="O48" s="21">
        <v>42337</v>
      </c>
    </row>
    <row r="49" spans="1:15" ht="15.75" x14ac:dyDescent="0.25">
      <c r="A49" s="25"/>
      <c r="I49" s="344" t="s">
        <v>917</v>
      </c>
      <c r="J49" s="81">
        <v>6321.7</v>
      </c>
      <c r="K49" s="234"/>
      <c r="L49" s="331" t="s">
        <v>674</v>
      </c>
      <c r="M49" s="521">
        <v>81480</v>
      </c>
      <c r="N49" s="525">
        <v>42342</v>
      </c>
      <c r="O49" s="21"/>
    </row>
    <row r="50" spans="1:15" ht="15.75" x14ac:dyDescent="0.25">
      <c r="A50" s="25"/>
      <c r="I50" s="344" t="s">
        <v>918</v>
      </c>
      <c r="J50" s="81">
        <v>750</v>
      </c>
      <c r="K50" s="234"/>
      <c r="L50" s="331" t="s">
        <v>674</v>
      </c>
      <c r="M50" s="521">
        <v>68063.5</v>
      </c>
      <c r="N50" s="525">
        <v>42346</v>
      </c>
      <c r="O50" s="21">
        <v>42343</v>
      </c>
    </row>
    <row r="51" spans="1:15" ht="15.75" x14ac:dyDescent="0.25">
      <c r="A51" s="25"/>
      <c r="I51" s="344" t="s">
        <v>919</v>
      </c>
      <c r="J51" s="81">
        <v>17599.2</v>
      </c>
      <c r="K51" s="234"/>
      <c r="L51" s="331" t="s">
        <v>674</v>
      </c>
      <c r="M51" s="521">
        <v>57885</v>
      </c>
      <c r="N51" s="525">
        <v>42346</v>
      </c>
      <c r="O51" s="21">
        <v>42344</v>
      </c>
    </row>
    <row r="52" spans="1:15" ht="15.75" x14ac:dyDescent="0.25">
      <c r="A52" s="25"/>
      <c r="I52" s="496" t="s">
        <v>920</v>
      </c>
      <c r="J52" s="450">
        <v>15383.2</v>
      </c>
      <c r="K52" s="234"/>
      <c r="L52" s="331" t="s">
        <v>674</v>
      </c>
      <c r="M52" s="521">
        <v>44939</v>
      </c>
      <c r="N52" s="525">
        <v>42346</v>
      </c>
      <c r="O52" s="21">
        <v>42345</v>
      </c>
    </row>
    <row r="53" spans="1:15" ht="15.75" x14ac:dyDescent="0.25">
      <c r="A53" s="25"/>
      <c r="C53" s="25"/>
      <c r="E53" s="25"/>
      <c r="F53" s="25"/>
      <c r="I53" s="496" t="s">
        <v>921</v>
      </c>
      <c r="J53" s="450">
        <v>83657.08</v>
      </c>
      <c r="K53" s="234" t="s">
        <v>325</v>
      </c>
      <c r="L53" s="331" t="s">
        <v>674</v>
      </c>
      <c r="M53" s="521">
        <v>44526</v>
      </c>
      <c r="N53" s="525">
        <v>42347</v>
      </c>
      <c r="O53" s="21">
        <v>42346</v>
      </c>
    </row>
    <row r="54" spans="1:15" ht="15.75" x14ac:dyDescent="0.25">
      <c r="A54" s="25"/>
      <c r="C54" s="25"/>
      <c r="E54" s="25"/>
      <c r="F54" s="25"/>
      <c r="I54" s="585"/>
      <c r="J54" s="450"/>
      <c r="K54" s="713"/>
      <c r="L54" s="331" t="s">
        <v>674</v>
      </c>
      <c r="M54" s="522">
        <v>53914</v>
      </c>
      <c r="N54" s="523">
        <v>42348</v>
      </c>
      <c r="O54" s="21">
        <v>42347</v>
      </c>
    </row>
    <row r="55" spans="1:15" ht="15.75" x14ac:dyDescent="0.25">
      <c r="A55" s="25"/>
      <c r="C55" s="25"/>
      <c r="E55" s="25"/>
      <c r="F55" s="25"/>
      <c r="I55" s="618"/>
      <c r="J55" s="81"/>
      <c r="K55" s="713"/>
      <c r="L55" s="331" t="s">
        <v>674</v>
      </c>
      <c r="M55" s="521">
        <v>54387</v>
      </c>
      <c r="N55" s="525">
        <v>42349</v>
      </c>
      <c r="O55" s="21">
        <v>42348</v>
      </c>
    </row>
    <row r="56" spans="1:15" ht="15.75" x14ac:dyDescent="0.25">
      <c r="A56" s="25"/>
      <c r="C56" s="25"/>
      <c r="E56" s="25"/>
      <c r="F56" s="25"/>
      <c r="H56" s="59"/>
      <c r="I56" s="618"/>
      <c r="J56" s="81"/>
      <c r="K56" s="713"/>
      <c r="L56" s="331" t="s">
        <v>674</v>
      </c>
      <c r="M56" s="521">
        <v>31502</v>
      </c>
      <c r="N56" s="525">
        <v>42349</v>
      </c>
      <c r="O56" s="21"/>
    </row>
    <row r="57" spans="1:15" ht="15.75" x14ac:dyDescent="0.25">
      <c r="A57" s="25"/>
      <c r="C57" s="25"/>
      <c r="E57" s="25"/>
      <c r="F57" s="25"/>
      <c r="G57"/>
      <c r="I57" s="618"/>
      <c r="J57" s="81">
        <v>0</v>
      </c>
      <c r="K57" s="713"/>
      <c r="L57" s="331" t="s">
        <v>674</v>
      </c>
      <c r="M57" s="521">
        <v>60170</v>
      </c>
      <c r="N57" s="525">
        <v>42352</v>
      </c>
      <c r="O57" s="21">
        <v>42351</v>
      </c>
    </row>
    <row r="58" spans="1:15" ht="15.75" x14ac:dyDescent="0.25">
      <c r="A58" s="25"/>
      <c r="C58" s="25"/>
      <c r="E58" s="25"/>
      <c r="F58" s="25"/>
      <c r="G58"/>
      <c r="H58" s="5"/>
      <c r="I58" s="618"/>
      <c r="J58" s="81">
        <v>0</v>
      </c>
      <c r="K58" s="713"/>
      <c r="L58" s="331" t="s">
        <v>674</v>
      </c>
      <c r="M58" s="521">
        <v>0</v>
      </c>
      <c r="N58" s="525"/>
      <c r="O58" s="21"/>
    </row>
    <row r="59" spans="1:15" x14ac:dyDescent="0.25">
      <c r="I59" s="230"/>
      <c r="J59" s="324">
        <f>SUM(J42:J58)</f>
        <v>749323.49999999988</v>
      </c>
      <c r="K59" s="230"/>
      <c r="L59" s="230"/>
      <c r="M59" s="324">
        <f>SUM(M42:M58)</f>
        <v>749323.5</v>
      </c>
      <c r="N59" s="230"/>
    </row>
  </sheetData>
  <sortState ref="A18:C27">
    <sortCondition ref="B18:B27"/>
  </sortState>
  <mergeCells count="2">
    <mergeCell ref="K17:L17"/>
    <mergeCell ref="K38:L38"/>
  </mergeCells>
  <pageMargins left="0.7" right="0.7" top="0.75" bottom="0.75" header="0.3" footer="0.3"/>
  <pageSetup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C24" sqref="C24"/>
    </sheetView>
  </sheetViews>
  <sheetFormatPr baseColWidth="10" defaultRowHeight="15" x14ac:dyDescent="0.25"/>
  <cols>
    <col min="2" max="2" width="15.5703125" style="44" bestFit="1" customWidth="1"/>
    <col min="5" max="5" width="16.85546875" bestFit="1" customWidth="1"/>
    <col min="8" max="8" width="13.85546875" bestFit="1" customWidth="1"/>
    <col min="11" max="11" width="13.85546875" bestFit="1" customWidth="1"/>
  </cols>
  <sheetData>
    <row r="1" spans="1:11" ht="19.5" thickBot="1" x14ac:dyDescent="0.35">
      <c r="A1" s="844" t="s">
        <v>955</v>
      </c>
      <c r="B1" s="845"/>
      <c r="D1" s="844" t="s">
        <v>957</v>
      </c>
      <c r="E1" s="845"/>
      <c r="G1" s="844" t="s">
        <v>958</v>
      </c>
      <c r="H1" s="845"/>
      <c r="J1" s="767"/>
      <c r="K1" s="767"/>
    </row>
    <row r="2" spans="1:11" ht="15.75" x14ac:dyDescent="0.25">
      <c r="A2" s="846" t="s">
        <v>956</v>
      </c>
      <c r="B2" s="846"/>
      <c r="D2" s="846" t="s">
        <v>956</v>
      </c>
      <c r="E2" s="846"/>
      <c r="G2" s="846" t="s">
        <v>956</v>
      </c>
      <c r="H2" s="846"/>
      <c r="J2" s="768"/>
      <c r="K2" s="768"/>
    </row>
    <row r="3" spans="1:11" x14ac:dyDescent="0.25">
      <c r="A3" s="769">
        <v>42358</v>
      </c>
      <c r="B3" s="232">
        <v>52265.67</v>
      </c>
      <c r="D3" s="769">
        <v>42358</v>
      </c>
      <c r="E3" s="232">
        <v>207340.85</v>
      </c>
      <c r="G3" s="769">
        <v>42358</v>
      </c>
      <c r="H3" s="232">
        <v>113825.5</v>
      </c>
      <c r="J3" s="37"/>
      <c r="K3" s="56"/>
    </row>
    <row r="4" spans="1:11" x14ac:dyDescent="0.25">
      <c r="A4" s="769">
        <v>42359</v>
      </c>
      <c r="B4" s="232">
        <v>50595</v>
      </c>
      <c r="D4" s="769">
        <v>42359</v>
      </c>
      <c r="E4" s="232">
        <v>153974.5</v>
      </c>
      <c r="G4" s="769">
        <v>42359</v>
      </c>
      <c r="H4" s="232">
        <v>84579</v>
      </c>
      <c r="J4" s="37"/>
      <c r="K4" s="56"/>
    </row>
    <row r="5" spans="1:11" x14ac:dyDescent="0.25">
      <c r="A5" s="769">
        <v>42360</v>
      </c>
      <c r="B5" s="232">
        <v>81974.289999999994</v>
      </c>
      <c r="D5" s="769">
        <v>42360</v>
      </c>
      <c r="E5" s="232">
        <v>186561.5</v>
      </c>
      <c r="G5" s="769">
        <v>42360</v>
      </c>
      <c r="H5" s="232">
        <v>110588.5</v>
      </c>
      <c r="J5" s="37"/>
      <c r="K5" s="56"/>
    </row>
    <row r="6" spans="1:11" x14ac:dyDescent="0.25">
      <c r="A6" s="769">
        <v>42361</v>
      </c>
      <c r="B6" s="232">
        <v>157837.26999999999</v>
      </c>
      <c r="D6" s="769">
        <v>42361</v>
      </c>
      <c r="E6" s="232">
        <v>224968.53</v>
      </c>
      <c r="G6" s="769">
        <v>42361</v>
      </c>
      <c r="H6" s="232">
        <v>141762.5</v>
      </c>
      <c r="J6" s="37"/>
      <c r="K6" s="56"/>
    </row>
    <row r="7" spans="1:11" x14ac:dyDescent="0.25">
      <c r="A7" s="769">
        <v>42362</v>
      </c>
      <c r="B7" s="232">
        <v>144707</v>
      </c>
      <c r="D7" s="769">
        <v>42362</v>
      </c>
      <c r="E7" s="232">
        <v>290203.5</v>
      </c>
      <c r="G7" s="769">
        <v>42362</v>
      </c>
      <c r="H7" s="232">
        <v>152337</v>
      </c>
      <c r="J7" s="37"/>
      <c r="K7" s="56"/>
    </row>
    <row r="8" spans="1:11" ht="16.5" thickBot="1" x14ac:dyDescent="0.3">
      <c r="B8" s="419">
        <v>0</v>
      </c>
      <c r="E8" s="44">
        <v>0</v>
      </c>
      <c r="H8" s="44">
        <v>0</v>
      </c>
      <c r="J8" s="13"/>
      <c r="K8" s="56"/>
    </row>
    <row r="9" spans="1:11" ht="16.5" thickBot="1" x14ac:dyDescent="0.3">
      <c r="A9" s="763" t="s">
        <v>1</v>
      </c>
      <c r="B9" s="373">
        <f>SUM(B3:B8)</f>
        <v>487379.23</v>
      </c>
      <c r="D9" s="763" t="s">
        <v>1</v>
      </c>
      <c r="E9" s="765">
        <f>SUM(E3:E8)</f>
        <v>1063048.8799999999</v>
      </c>
      <c r="G9" s="763" t="s">
        <v>1</v>
      </c>
      <c r="H9" s="765">
        <f>SUM(H3:H8)</f>
        <v>603092.5</v>
      </c>
      <c r="J9" s="764"/>
      <c r="K9" s="766"/>
    </row>
    <row r="10" spans="1:11" x14ac:dyDescent="0.25">
      <c r="J10" s="13"/>
      <c r="K10" s="13"/>
    </row>
    <row r="12" spans="1:11" ht="15.75" thickBot="1" x14ac:dyDescent="0.3"/>
    <row r="13" spans="1:11" ht="19.5" thickBot="1" x14ac:dyDescent="0.35">
      <c r="A13" s="844" t="s">
        <v>959</v>
      </c>
      <c r="B13" s="845"/>
      <c r="D13" s="844" t="s">
        <v>207</v>
      </c>
      <c r="E13" s="845"/>
    </row>
    <row r="14" spans="1:11" ht="15.75" x14ac:dyDescent="0.25">
      <c r="A14" s="846" t="s">
        <v>956</v>
      </c>
      <c r="B14" s="846"/>
      <c r="D14" s="846" t="s">
        <v>956</v>
      </c>
      <c r="E14" s="846"/>
    </row>
    <row r="15" spans="1:11" x14ac:dyDescent="0.25">
      <c r="A15" s="769">
        <v>42358</v>
      </c>
      <c r="B15" s="232">
        <v>379596.07</v>
      </c>
      <c r="D15" s="769">
        <v>42358</v>
      </c>
      <c r="E15" s="232">
        <v>1661153.95</v>
      </c>
    </row>
    <row r="16" spans="1:11" x14ac:dyDescent="0.25">
      <c r="A16" s="769">
        <v>42359</v>
      </c>
      <c r="B16" s="232">
        <v>500292.97</v>
      </c>
      <c r="D16" s="769">
        <v>42359</v>
      </c>
      <c r="E16" s="232">
        <v>1557026.86</v>
      </c>
    </row>
    <row r="17" spans="1:5" x14ac:dyDescent="0.25">
      <c r="A17" s="769">
        <v>42360</v>
      </c>
      <c r="B17" s="232">
        <v>545785.22</v>
      </c>
      <c r="D17" s="769">
        <v>42360</v>
      </c>
      <c r="E17" s="232">
        <v>2623063.2400000002</v>
      </c>
    </row>
    <row r="18" spans="1:5" x14ac:dyDescent="0.25">
      <c r="A18" s="769">
        <v>42361</v>
      </c>
      <c r="B18" s="232">
        <v>789588.16</v>
      </c>
      <c r="D18" s="769">
        <v>42361</v>
      </c>
      <c r="E18" s="232">
        <v>2389360.1800000002</v>
      </c>
    </row>
    <row r="19" spans="1:5" x14ac:dyDescent="0.25">
      <c r="A19" s="769">
        <v>42362</v>
      </c>
      <c r="B19" s="232">
        <v>633457.62</v>
      </c>
      <c r="D19" s="769">
        <v>42362</v>
      </c>
      <c r="E19" s="232">
        <v>5768583.9500000002</v>
      </c>
    </row>
    <row r="20" spans="1:5" ht="15.75" thickBot="1" x14ac:dyDescent="0.3">
      <c r="B20" s="44">
        <v>0</v>
      </c>
      <c r="E20" s="44">
        <v>0</v>
      </c>
    </row>
    <row r="21" spans="1:5" ht="16.5" thickBot="1" x14ac:dyDescent="0.3">
      <c r="A21" s="763" t="s">
        <v>1</v>
      </c>
      <c r="B21" s="765">
        <f>SUM(B15:B20)</f>
        <v>2848720.04</v>
      </c>
      <c r="D21" s="763" t="s">
        <v>1</v>
      </c>
      <c r="E21" s="765">
        <f>SUM(E15:E20)</f>
        <v>13999188.18</v>
      </c>
    </row>
  </sheetData>
  <mergeCells count="10">
    <mergeCell ref="G1:H1"/>
    <mergeCell ref="G2:H2"/>
    <mergeCell ref="A13:B13"/>
    <mergeCell ref="A14:B14"/>
    <mergeCell ref="D13:E13"/>
    <mergeCell ref="D14:E14"/>
    <mergeCell ref="A1:B1"/>
    <mergeCell ref="A2:B2"/>
    <mergeCell ref="D1:E1"/>
    <mergeCell ref="D2:E2"/>
  </mergeCells>
  <pageMargins left="0.7" right="0.7" top="0.75" bottom="0.75" header="0.3" footer="0.3"/>
  <pageSetup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P52"/>
  <sheetViews>
    <sheetView workbookViewId="0">
      <pane ySplit="4" topLeftCell="A26" activePane="bottomLeft" state="frozen"/>
      <selection pane="bottomLeft" activeCell="C48" sqref="C48"/>
    </sheetView>
  </sheetViews>
  <sheetFormatPr baseColWidth="10" defaultRowHeight="15" x14ac:dyDescent="0.25"/>
  <cols>
    <col min="1" max="1" width="2.5703125" customWidth="1"/>
    <col min="2" max="2" width="17.7109375" style="38" customWidth="1"/>
    <col min="3" max="3" width="16.42578125" style="44" customWidth="1"/>
    <col min="4" max="4" width="9" customWidth="1"/>
    <col min="6" max="6" width="17.85546875" style="44" customWidth="1"/>
    <col min="7" max="7" width="2.85546875" customWidth="1"/>
    <col min="9" max="9" width="12.140625" style="44" customWidth="1"/>
    <col min="10" max="10" width="9.85546875" style="44" customWidth="1"/>
    <col min="12" max="12" width="11.28515625" customWidth="1"/>
    <col min="13" max="13" width="17.140625" customWidth="1"/>
    <col min="14" max="14" width="12.5703125" style="44" bestFit="1" customWidth="1"/>
    <col min="15" max="15" width="12.140625" style="111" customWidth="1"/>
    <col min="16" max="16" width="14.140625" style="44" bestFit="1" customWidth="1"/>
  </cols>
  <sheetData>
    <row r="1" spans="1:16" ht="23.25" x14ac:dyDescent="0.35">
      <c r="C1" s="780" t="s">
        <v>82</v>
      </c>
      <c r="D1" s="780"/>
      <c r="E1" s="780"/>
      <c r="F1" s="780"/>
      <c r="G1" s="780"/>
      <c r="H1" s="780"/>
      <c r="I1" s="780"/>
      <c r="J1" s="780"/>
      <c r="K1" s="780"/>
      <c r="L1" s="133" t="s">
        <v>158</v>
      </c>
      <c r="M1" s="134"/>
    </row>
    <row r="2" spans="1:16" ht="15.75" thickBot="1" x14ac:dyDescent="0.3">
      <c r="E2" s="75"/>
      <c r="F2" s="51"/>
    </row>
    <row r="3" spans="1:16" ht="15.75" thickBot="1" x14ac:dyDescent="0.3">
      <c r="C3" s="45" t="s">
        <v>0</v>
      </c>
      <c r="D3" s="3"/>
    </row>
    <row r="4" spans="1:16" ht="20.25" thickTop="1" thickBot="1" x14ac:dyDescent="0.35">
      <c r="A4" s="79" t="s">
        <v>2</v>
      </c>
      <c r="B4" s="39"/>
      <c r="C4" s="97">
        <v>109094</v>
      </c>
      <c r="D4" s="2"/>
      <c r="E4" s="797" t="s">
        <v>19</v>
      </c>
      <c r="F4" s="798"/>
      <c r="I4" s="783" t="s">
        <v>4</v>
      </c>
      <c r="J4" s="784"/>
      <c r="K4" s="784"/>
      <c r="L4" s="784"/>
      <c r="M4" s="69" t="s">
        <v>24</v>
      </c>
      <c r="N4" s="112" t="s">
        <v>159</v>
      </c>
    </row>
    <row r="5" spans="1:16" ht="15.75" thickTop="1" x14ac:dyDescent="0.25">
      <c r="A5" s="21"/>
      <c r="B5" s="40">
        <v>41974</v>
      </c>
      <c r="C5" s="46">
        <v>1214</v>
      </c>
      <c r="D5" s="24" t="s">
        <v>83</v>
      </c>
      <c r="E5" s="28">
        <v>41974</v>
      </c>
      <c r="F5" s="52">
        <v>17902.5</v>
      </c>
      <c r="G5" s="25"/>
      <c r="H5" s="26">
        <v>41974</v>
      </c>
      <c r="I5" s="61">
        <v>487.5</v>
      </c>
      <c r="J5" s="80"/>
      <c r="K5" s="122"/>
      <c r="L5" s="123"/>
      <c r="M5" t="s">
        <v>84</v>
      </c>
      <c r="N5" s="114">
        <v>16201</v>
      </c>
    </row>
    <row r="6" spans="1:16" x14ac:dyDescent="0.25">
      <c r="A6" s="21"/>
      <c r="B6" s="40">
        <v>41975</v>
      </c>
      <c r="C6" s="46">
        <v>0</v>
      </c>
      <c r="D6" s="30" t="s">
        <v>101</v>
      </c>
      <c r="E6" s="28">
        <v>41975</v>
      </c>
      <c r="F6" s="52">
        <v>16005</v>
      </c>
      <c r="G6" s="20"/>
      <c r="H6" s="29">
        <v>41975</v>
      </c>
      <c r="I6" s="62">
        <v>0</v>
      </c>
      <c r="J6" s="81"/>
      <c r="K6" s="73" t="s">
        <v>5</v>
      </c>
      <c r="L6" s="124">
        <v>1238</v>
      </c>
      <c r="M6" s="78" t="s">
        <v>100</v>
      </c>
      <c r="N6" s="115">
        <v>16005</v>
      </c>
    </row>
    <row r="7" spans="1:16" x14ac:dyDescent="0.25">
      <c r="A7" s="21"/>
      <c r="B7" s="40">
        <v>41976</v>
      </c>
      <c r="C7" s="46">
        <v>0</v>
      </c>
      <c r="D7" s="33" t="s">
        <v>101</v>
      </c>
      <c r="E7" s="28">
        <v>41976</v>
      </c>
      <c r="F7" s="52">
        <v>27133</v>
      </c>
      <c r="G7" s="25"/>
      <c r="H7" s="29">
        <v>41976</v>
      </c>
      <c r="I7" s="62">
        <v>0</v>
      </c>
      <c r="J7" s="81"/>
      <c r="K7" s="73" t="s">
        <v>3</v>
      </c>
      <c r="L7" s="125">
        <v>10283</v>
      </c>
      <c r="M7" t="s">
        <v>85</v>
      </c>
      <c r="N7" s="115">
        <v>0</v>
      </c>
    </row>
    <row r="8" spans="1:16" x14ac:dyDescent="0.25">
      <c r="A8" s="21"/>
      <c r="B8" s="40">
        <v>41977</v>
      </c>
      <c r="C8" s="46">
        <f>927+20093.8+29075+29520</f>
        <v>79615.8</v>
      </c>
      <c r="D8" s="30" t="s">
        <v>87</v>
      </c>
      <c r="E8" s="28">
        <v>41977</v>
      </c>
      <c r="F8" s="52">
        <v>65246.5</v>
      </c>
      <c r="G8" s="25"/>
      <c r="H8" s="29">
        <v>41977</v>
      </c>
      <c r="I8" s="62">
        <v>0</v>
      </c>
      <c r="J8" s="81"/>
      <c r="K8" s="73" t="s">
        <v>6</v>
      </c>
      <c r="L8" s="124">
        <v>28750</v>
      </c>
      <c r="M8" t="s">
        <v>86</v>
      </c>
      <c r="N8" s="115">
        <v>2480.6999999999998</v>
      </c>
    </row>
    <row r="9" spans="1:16" x14ac:dyDescent="0.25">
      <c r="A9" s="21"/>
      <c r="B9" s="40">
        <v>41978</v>
      </c>
      <c r="C9" s="46">
        <v>14696.9</v>
      </c>
      <c r="D9" s="30" t="s">
        <v>87</v>
      </c>
      <c r="E9" s="28">
        <v>41978</v>
      </c>
      <c r="F9" s="52">
        <v>52434</v>
      </c>
      <c r="G9" s="25"/>
      <c r="H9" s="29">
        <v>41978</v>
      </c>
      <c r="I9" s="62">
        <v>461.5</v>
      </c>
      <c r="J9" s="81"/>
      <c r="K9" s="73" t="s">
        <v>7</v>
      </c>
      <c r="L9" s="125">
        <v>8050</v>
      </c>
      <c r="M9" t="s">
        <v>88</v>
      </c>
      <c r="N9" s="115">
        <v>37275.5</v>
      </c>
    </row>
    <row r="10" spans="1:16" x14ac:dyDescent="0.25">
      <c r="A10" s="21"/>
      <c r="B10" s="40">
        <v>41979</v>
      </c>
      <c r="C10" s="46">
        <v>440</v>
      </c>
      <c r="D10" s="33" t="s">
        <v>89</v>
      </c>
      <c r="E10" s="28">
        <v>41979</v>
      </c>
      <c r="F10" s="52">
        <v>45314.5</v>
      </c>
      <c r="G10" s="25"/>
      <c r="H10" s="29">
        <v>41979</v>
      </c>
      <c r="I10" s="62">
        <v>2030</v>
      </c>
      <c r="J10" s="81" t="s">
        <v>161</v>
      </c>
      <c r="K10" s="73" t="s">
        <v>8</v>
      </c>
      <c r="L10" s="125">
        <v>8314.5</v>
      </c>
      <c r="M10" t="s">
        <v>90</v>
      </c>
      <c r="N10" s="115">
        <v>42844.5</v>
      </c>
    </row>
    <row r="11" spans="1:16" x14ac:dyDescent="0.25">
      <c r="A11" s="21"/>
      <c r="B11" s="40">
        <v>41980</v>
      </c>
      <c r="C11" s="46">
        <v>0</v>
      </c>
      <c r="D11" s="33" t="s">
        <v>101</v>
      </c>
      <c r="E11" s="28">
        <v>41980</v>
      </c>
      <c r="F11" s="52">
        <v>57061</v>
      </c>
      <c r="G11" s="25"/>
      <c r="H11" s="29">
        <v>41980</v>
      </c>
      <c r="I11" s="62">
        <v>399</v>
      </c>
      <c r="J11" s="81" t="s">
        <v>128</v>
      </c>
      <c r="K11" s="73" t="s">
        <v>9</v>
      </c>
      <c r="L11" s="126">
        <v>8214</v>
      </c>
      <c r="M11" t="s">
        <v>92</v>
      </c>
      <c r="N11" s="115">
        <v>48622</v>
      </c>
    </row>
    <row r="12" spans="1:16" ht="15.75" thickBot="1" x14ac:dyDescent="0.3">
      <c r="A12" s="21"/>
      <c r="B12" s="40">
        <v>41981</v>
      </c>
      <c r="C12" s="46">
        <v>2335</v>
      </c>
      <c r="D12" s="33" t="s">
        <v>91</v>
      </c>
      <c r="E12" s="28">
        <v>41981</v>
      </c>
      <c r="F12" s="52">
        <v>32609.5</v>
      </c>
      <c r="G12" s="25"/>
      <c r="H12" s="29">
        <v>41981</v>
      </c>
      <c r="I12" s="62">
        <v>0</v>
      </c>
      <c r="J12" s="81"/>
      <c r="K12" s="73" t="s">
        <v>14</v>
      </c>
      <c r="L12" s="126">
        <v>8050</v>
      </c>
      <c r="M12" t="s">
        <v>93</v>
      </c>
      <c r="N12" s="115">
        <v>30274.5</v>
      </c>
    </row>
    <row r="13" spans="1:16" x14ac:dyDescent="0.25">
      <c r="A13" s="21"/>
      <c r="B13" s="40">
        <v>41982</v>
      </c>
      <c r="C13" s="46">
        <v>0</v>
      </c>
      <c r="D13" s="33" t="s">
        <v>101</v>
      </c>
      <c r="E13" s="28">
        <v>41982</v>
      </c>
      <c r="F13" s="52">
        <v>24734</v>
      </c>
      <c r="G13" s="25"/>
      <c r="H13" s="29">
        <v>41982</v>
      </c>
      <c r="I13" s="62">
        <v>0</v>
      </c>
      <c r="J13" s="81"/>
      <c r="K13" s="73" t="s">
        <v>10</v>
      </c>
      <c r="L13" s="126">
        <v>0</v>
      </c>
      <c r="M13" s="72" t="s">
        <v>94</v>
      </c>
      <c r="N13" s="115">
        <v>24734</v>
      </c>
      <c r="O13" s="135"/>
      <c r="P13" s="100"/>
    </row>
    <row r="14" spans="1:16" x14ac:dyDescent="0.25">
      <c r="A14" s="21"/>
      <c r="B14" s="40">
        <v>41983</v>
      </c>
      <c r="C14" s="46">
        <v>7306</v>
      </c>
      <c r="D14" s="33" t="s">
        <v>23</v>
      </c>
      <c r="E14" s="28">
        <v>41983</v>
      </c>
      <c r="F14" s="52">
        <v>73845.5</v>
      </c>
      <c r="G14" s="25"/>
      <c r="H14" s="29">
        <v>41983</v>
      </c>
      <c r="I14" s="62">
        <v>486.5</v>
      </c>
      <c r="J14" s="81"/>
      <c r="K14" s="127" t="s">
        <v>20</v>
      </c>
      <c r="L14" s="126">
        <v>15900</v>
      </c>
      <c r="M14" s="72" t="s">
        <v>95</v>
      </c>
      <c r="N14" s="115">
        <v>66050</v>
      </c>
      <c r="O14" s="136" t="s">
        <v>141</v>
      </c>
      <c r="P14" s="101">
        <v>114746.59</v>
      </c>
    </row>
    <row r="15" spans="1:16" x14ac:dyDescent="0.25">
      <c r="A15" s="21"/>
      <c r="B15" s="40">
        <v>41984</v>
      </c>
      <c r="C15" s="46">
        <v>28106.5</v>
      </c>
      <c r="D15" s="30" t="s">
        <v>96</v>
      </c>
      <c r="E15" s="28">
        <v>41984</v>
      </c>
      <c r="F15" s="52">
        <v>54167.8</v>
      </c>
      <c r="G15" s="25"/>
      <c r="H15" s="29">
        <v>41984</v>
      </c>
      <c r="I15" s="62">
        <v>0</v>
      </c>
      <c r="J15" s="81"/>
      <c r="K15" s="73" t="s">
        <v>57</v>
      </c>
      <c r="L15" s="126">
        <v>0</v>
      </c>
      <c r="M15" s="72" t="s">
        <v>97</v>
      </c>
      <c r="N15" s="115">
        <v>26061</v>
      </c>
      <c r="O15" s="136" t="s">
        <v>142</v>
      </c>
      <c r="P15" s="101">
        <v>140585.16</v>
      </c>
    </row>
    <row r="16" spans="1:16" x14ac:dyDescent="0.25">
      <c r="A16" s="21"/>
      <c r="B16" s="40">
        <v>41985</v>
      </c>
      <c r="C16" s="46">
        <v>0</v>
      </c>
      <c r="D16" s="33" t="s">
        <v>101</v>
      </c>
      <c r="E16" s="28">
        <v>41985</v>
      </c>
      <c r="F16" s="52">
        <v>60369</v>
      </c>
      <c r="G16" s="25"/>
      <c r="H16" s="29">
        <v>41985</v>
      </c>
      <c r="I16" s="62">
        <v>0</v>
      </c>
      <c r="J16" s="81"/>
      <c r="K16" s="73" t="s">
        <v>61</v>
      </c>
      <c r="L16" s="128">
        <v>0</v>
      </c>
      <c r="M16" s="71" t="s">
        <v>98</v>
      </c>
      <c r="N16" s="116">
        <v>60369</v>
      </c>
      <c r="O16" s="136" t="s">
        <v>143</v>
      </c>
      <c r="P16" s="101">
        <v>93365.36</v>
      </c>
    </row>
    <row r="17" spans="1:16" x14ac:dyDescent="0.25">
      <c r="A17" s="21"/>
      <c r="B17" s="40">
        <v>41986</v>
      </c>
      <c r="C17" s="46">
        <v>108395.8</v>
      </c>
      <c r="D17" s="24" t="s">
        <v>23</v>
      </c>
      <c r="E17" s="28">
        <v>41986</v>
      </c>
      <c r="F17" s="52">
        <v>127301.5</v>
      </c>
      <c r="G17" s="25"/>
      <c r="H17" s="29">
        <v>41986</v>
      </c>
      <c r="I17" s="62">
        <v>0</v>
      </c>
      <c r="J17" s="81"/>
      <c r="K17" s="73" t="s">
        <v>108</v>
      </c>
      <c r="L17" s="129">
        <v>6326</v>
      </c>
      <c r="M17" s="71" t="s">
        <v>99</v>
      </c>
      <c r="N17" s="116">
        <v>17668</v>
      </c>
      <c r="O17" s="136" t="s">
        <v>144</v>
      </c>
      <c r="P17" s="101">
        <v>62078.9</v>
      </c>
    </row>
    <row r="18" spans="1:16" x14ac:dyDescent="0.25">
      <c r="A18" s="21"/>
      <c r="B18" s="40">
        <v>41987</v>
      </c>
      <c r="C18" s="46">
        <v>0</v>
      </c>
      <c r="D18" s="24" t="s">
        <v>101</v>
      </c>
      <c r="E18" s="28">
        <v>41987</v>
      </c>
      <c r="F18" s="52">
        <v>43517</v>
      </c>
      <c r="G18" s="25"/>
      <c r="H18" s="29">
        <v>41987</v>
      </c>
      <c r="I18" s="62">
        <v>850</v>
      </c>
      <c r="J18" s="81"/>
      <c r="K18" s="73" t="s">
        <v>109</v>
      </c>
      <c r="L18" s="88">
        <v>1470</v>
      </c>
      <c r="M18" s="71" t="s">
        <v>103</v>
      </c>
      <c r="N18" s="116">
        <v>34352.5</v>
      </c>
      <c r="O18" s="136" t="s">
        <v>145</v>
      </c>
      <c r="P18" s="47">
        <v>109055.24</v>
      </c>
    </row>
    <row r="19" spans="1:16" x14ac:dyDescent="0.25">
      <c r="A19" s="21"/>
      <c r="B19" s="40">
        <v>41988</v>
      </c>
      <c r="C19" s="46">
        <v>3515.4</v>
      </c>
      <c r="D19" s="70" t="s">
        <v>96</v>
      </c>
      <c r="E19" s="28">
        <v>41988</v>
      </c>
      <c r="F19" s="52">
        <v>26937</v>
      </c>
      <c r="G19" s="25"/>
      <c r="H19" s="29">
        <v>41988</v>
      </c>
      <c r="I19" s="62">
        <v>0</v>
      </c>
      <c r="J19" s="81"/>
      <c r="K19" s="73"/>
      <c r="L19" s="88">
        <v>0</v>
      </c>
      <c r="M19" s="71" t="s">
        <v>102</v>
      </c>
      <c r="N19" s="116">
        <v>23421.5</v>
      </c>
      <c r="O19" s="136" t="s">
        <v>146</v>
      </c>
      <c r="P19" s="47">
        <v>152200.70000000001</v>
      </c>
    </row>
    <row r="20" spans="1:16" x14ac:dyDescent="0.25">
      <c r="A20" s="21"/>
      <c r="B20" s="40">
        <v>41989</v>
      </c>
      <c r="C20" s="46">
        <v>0</v>
      </c>
      <c r="D20" s="24" t="s">
        <v>101</v>
      </c>
      <c r="E20" s="28">
        <v>41989</v>
      </c>
      <c r="F20" s="52">
        <v>36626.5</v>
      </c>
      <c r="G20" s="25"/>
      <c r="H20" s="29">
        <v>41989</v>
      </c>
      <c r="I20" s="63">
        <v>0</v>
      </c>
      <c r="J20" s="81"/>
      <c r="K20" s="130" t="s">
        <v>111</v>
      </c>
      <c r="L20" s="129">
        <v>450</v>
      </c>
      <c r="M20" s="71" t="s">
        <v>104</v>
      </c>
      <c r="N20" s="115">
        <v>36626.5</v>
      </c>
      <c r="O20" s="136" t="s">
        <v>147</v>
      </c>
      <c r="P20" s="47">
        <v>92905.47</v>
      </c>
    </row>
    <row r="21" spans="1:16" x14ac:dyDescent="0.25">
      <c r="A21" s="21"/>
      <c r="B21" s="40">
        <v>41990</v>
      </c>
      <c r="C21" s="46">
        <v>1150</v>
      </c>
      <c r="D21" s="24" t="s">
        <v>83</v>
      </c>
      <c r="E21" s="28">
        <v>41990</v>
      </c>
      <c r="F21" s="52">
        <v>50616.5</v>
      </c>
      <c r="G21" s="25"/>
      <c r="H21" s="29">
        <v>41990</v>
      </c>
      <c r="I21" s="63">
        <v>750</v>
      </c>
      <c r="J21" s="82" t="s">
        <v>105</v>
      </c>
      <c r="K21" s="131"/>
      <c r="L21" s="129"/>
      <c r="M21" s="71" t="s">
        <v>106</v>
      </c>
      <c r="N21" s="115">
        <v>48716.5</v>
      </c>
      <c r="O21" s="136" t="s">
        <v>148</v>
      </c>
      <c r="P21" s="47">
        <v>86264.5</v>
      </c>
    </row>
    <row r="22" spans="1:16" ht="27" customHeight="1" x14ac:dyDescent="0.25">
      <c r="A22" s="21"/>
      <c r="B22" s="40">
        <v>41991</v>
      </c>
      <c r="C22" s="46">
        <v>688</v>
      </c>
      <c r="D22" s="24" t="s">
        <v>83</v>
      </c>
      <c r="E22" s="28">
        <v>41991</v>
      </c>
      <c r="F22" s="52">
        <v>48013</v>
      </c>
      <c r="G22" s="25"/>
      <c r="H22" s="29">
        <v>41991</v>
      </c>
      <c r="I22" s="63">
        <v>2237</v>
      </c>
      <c r="J22" s="799" t="s">
        <v>107</v>
      </c>
      <c r="K22" s="800"/>
      <c r="L22" s="129"/>
      <c r="M22" s="71" t="s">
        <v>139</v>
      </c>
      <c r="N22" s="115">
        <v>0</v>
      </c>
      <c r="O22" s="136" t="s">
        <v>149</v>
      </c>
      <c r="P22" s="47">
        <v>248374.75</v>
      </c>
    </row>
    <row r="23" spans="1:16" x14ac:dyDescent="0.25">
      <c r="A23" s="21"/>
      <c r="B23" s="40">
        <v>41992</v>
      </c>
      <c r="C23" s="46">
        <v>70775.5</v>
      </c>
      <c r="D23" s="24" t="s">
        <v>23</v>
      </c>
      <c r="E23" s="28">
        <v>41992</v>
      </c>
      <c r="F23" s="52">
        <v>89240</v>
      </c>
      <c r="G23" s="25"/>
      <c r="H23" s="29">
        <v>41992</v>
      </c>
      <c r="I23" s="63">
        <v>0</v>
      </c>
      <c r="J23" s="81"/>
      <c r="K23" s="132"/>
      <c r="L23" s="129"/>
      <c r="M23" s="71" t="s">
        <v>138</v>
      </c>
      <c r="N23" s="115">
        <v>63552.5</v>
      </c>
      <c r="O23" s="136" t="s">
        <v>150</v>
      </c>
      <c r="P23" s="47">
        <v>30325.46</v>
      </c>
    </row>
    <row r="24" spans="1:16" x14ac:dyDescent="0.25">
      <c r="A24" s="21"/>
      <c r="B24" s="40">
        <v>41993</v>
      </c>
      <c r="C24" s="46">
        <v>11044.7</v>
      </c>
      <c r="D24" s="30" t="s">
        <v>110</v>
      </c>
      <c r="E24" s="28">
        <v>41993</v>
      </c>
      <c r="F24" s="52">
        <v>92950</v>
      </c>
      <c r="G24" s="25"/>
      <c r="H24" s="29">
        <v>41993</v>
      </c>
      <c r="I24" s="63">
        <v>1121.5</v>
      </c>
      <c r="J24" s="82" t="s">
        <v>112</v>
      </c>
      <c r="K24" s="132"/>
      <c r="L24" s="129"/>
      <c r="M24" s="71" t="s">
        <v>137</v>
      </c>
      <c r="N24" s="115">
        <v>72538</v>
      </c>
      <c r="O24" s="136" t="s">
        <v>151</v>
      </c>
      <c r="P24" s="47">
        <v>184940.1</v>
      </c>
    </row>
    <row r="25" spans="1:16" x14ac:dyDescent="0.25">
      <c r="A25" s="21"/>
      <c r="B25" s="40">
        <v>41994</v>
      </c>
      <c r="C25" s="46">
        <v>1180</v>
      </c>
      <c r="D25" s="33" t="s">
        <v>114</v>
      </c>
      <c r="E25" s="28">
        <v>41994</v>
      </c>
      <c r="F25" s="52">
        <v>68076.5</v>
      </c>
      <c r="G25" s="25"/>
      <c r="H25" s="29">
        <v>41994</v>
      </c>
      <c r="I25" s="63">
        <v>10</v>
      </c>
      <c r="J25" s="81" t="s">
        <v>113</v>
      </c>
      <c r="K25" s="132"/>
      <c r="L25" s="129"/>
      <c r="M25" s="71" t="s">
        <v>136</v>
      </c>
      <c r="N25" s="115">
        <v>42772.5</v>
      </c>
      <c r="O25" s="136" t="s">
        <v>152</v>
      </c>
      <c r="P25" s="47">
        <v>14485.4</v>
      </c>
    </row>
    <row r="26" spans="1:16" x14ac:dyDescent="0.25">
      <c r="A26" s="21"/>
      <c r="B26" s="40">
        <v>41995</v>
      </c>
      <c r="C26" s="46">
        <v>0</v>
      </c>
      <c r="D26" s="24"/>
      <c r="E26" s="28">
        <v>41995</v>
      </c>
      <c r="F26" s="52">
        <v>62581</v>
      </c>
      <c r="G26" s="25"/>
      <c r="H26" s="29">
        <v>41995</v>
      </c>
      <c r="I26" s="63">
        <v>731.5</v>
      </c>
      <c r="J26" s="98" t="s">
        <v>115</v>
      </c>
      <c r="K26" s="132"/>
      <c r="L26" s="129"/>
      <c r="M26" s="71" t="s">
        <v>135</v>
      </c>
      <c r="N26" s="115">
        <v>61849.5</v>
      </c>
      <c r="O26" s="136" t="s">
        <v>153</v>
      </c>
      <c r="P26" s="47">
        <v>61078.400000000001</v>
      </c>
    </row>
    <row r="27" spans="1:16" x14ac:dyDescent="0.25">
      <c r="A27" s="21"/>
      <c r="B27" s="40">
        <v>41996</v>
      </c>
      <c r="C27" s="46">
        <v>2592</v>
      </c>
      <c r="D27" s="30" t="s">
        <v>116</v>
      </c>
      <c r="E27" s="28">
        <v>41996</v>
      </c>
      <c r="F27" s="52">
        <v>110721.5</v>
      </c>
      <c r="G27" s="25"/>
      <c r="H27" s="29">
        <v>41996</v>
      </c>
      <c r="I27" s="63">
        <v>0</v>
      </c>
      <c r="J27" s="81"/>
      <c r="K27" s="132"/>
      <c r="L27" s="129"/>
      <c r="M27" s="71" t="s">
        <v>134</v>
      </c>
      <c r="N27" s="115">
        <v>108129.5</v>
      </c>
      <c r="O27" s="136" t="s">
        <v>154</v>
      </c>
      <c r="P27" s="102">
        <v>52518</v>
      </c>
    </row>
    <row r="28" spans="1:16" x14ac:dyDescent="0.25">
      <c r="A28" s="21"/>
      <c r="B28" s="40">
        <v>41997</v>
      </c>
      <c r="C28" s="46">
        <v>0</v>
      </c>
      <c r="D28" s="24"/>
      <c r="E28" s="28">
        <v>41997</v>
      </c>
      <c r="F28" s="52">
        <v>96245</v>
      </c>
      <c r="G28" s="25"/>
      <c r="H28" s="29">
        <v>41997</v>
      </c>
      <c r="I28" s="63">
        <v>0</v>
      </c>
      <c r="J28" s="81"/>
      <c r="K28" s="132"/>
      <c r="L28" s="129"/>
      <c r="M28" s="71" t="s">
        <v>120</v>
      </c>
      <c r="N28" s="115">
        <v>96243</v>
      </c>
      <c r="O28" s="136" t="s">
        <v>155</v>
      </c>
      <c r="P28" s="47">
        <v>60208.17</v>
      </c>
    </row>
    <row r="29" spans="1:16" x14ac:dyDescent="0.25">
      <c r="A29" s="21"/>
      <c r="B29" s="40">
        <v>41998</v>
      </c>
      <c r="C29" s="93">
        <v>0</v>
      </c>
      <c r="D29" s="24"/>
      <c r="E29" s="28">
        <v>41998</v>
      </c>
      <c r="F29" s="92">
        <v>0</v>
      </c>
      <c r="G29" s="25"/>
      <c r="H29" s="29">
        <v>41998</v>
      </c>
      <c r="I29" s="94">
        <v>0</v>
      </c>
      <c r="J29" s="81"/>
      <c r="K29" s="11"/>
      <c r="L29" s="87"/>
      <c r="M29" s="95" t="s">
        <v>121</v>
      </c>
      <c r="N29" s="115">
        <v>0</v>
      </c>
      <c r="O29" s="136" t="s">
        <v>156</v>
      </c>
      <c r="P29" s="47">
        <v>0</v>
      </c>
    </row>
    <row r="30" spans="1:16" ht="15.75" thickBot="1" x14ac:dyDescent="0.3">
      <c r="A30" s="21"/>
      <c r="B30" s="40">
        <v>41999</v>
      </c>
      <c r="C30" s="46">
        <v>46727.82</v>
      </c>
      <c r="D30" s="24" t="s">
        <v>23</v>
      </c>
      <c r="E30" s="28">
        <v>41999</v>
      </c>
      <c r="F30" s="52">
        <v>61063.5</v>
      </c>
      <c r="G30" s="25"/>
      <c r="H30" s="29">
        <v>41999</v>
      </c>
      <c r="I30" s="63">
        <v>1513.5</v>
      </c>
      <c r="J30" s="98" t="s">
        <v>122</v>
      </c>
      <c r="K30" s="11"/>
      <c r="L30" s="87"/>
      <c r="M30" s="71" t="s">
        <v>125</v>
      </c>
      <c r="N30" s="115">
        <v>12823</v>
      </c>
      <c r="O30" s="137" t="s">
        <v>157</v>
      </c>
      <c r="P30" s="103">
        <v>0</v>
      </c>
    </row>
    <row r="31" spans="1:16" x14ac:dyDescent="0.25">
      <c r="A31" s="21"/>
      <c r="B31" s="40">
        <v>42000</v>
      </c>
      <c r="C31" s="46">
        <v>31712.5</v>
      </c>
      <c r="D31" s="24" t="s">
        <v>123</v>
      </c>
      <c r="E31" s="28">
        <v>42000</v>
      </c>
      <c r="F31" s="52">
        <v>48955.5</v>
      </c>
      <c r="G31" s="25"/>
      <c r="H31" s="29">
        <v>42000</v>
      </c>
      <c r="I31" s="63">
        <v>0</v>
      </c>
      <c r="J31" s="81"/>
      <c r="K31" s="11"/>
      <c r="L31" s="87"/>
      <c r="M31" s="71" t="s">
        <v>124</v>
      </c>
      <c r="N31" s="115">
        <v>17243.5</v>
      </c>
      <c r="P31" s="59">
        <f>SUM(P14:P30)</f>
        <v>1503132.1999999997</v>
      </c>
    </row>
    <row r="32" spans="1:16" x14ac:dyDescent="0.25">
      <c r="A32" s="21"/>
      <c r="B32" s="40">
        <v>42001</v>
      </c>
      <c r="C32" s="46">
        <v>0</v>
      </c>
      <c r="D32" s="24"/>
      <c r="E32" s="28">
        <v>42001</v>
      </c>
      <c r="F32" s="52">
        <v>36662.5</v>
      </c>
      <c r="G32" s="25"/>
      <c r="H32" s="29">
        <v>42001</v>
      </c>
      <c r="I32" s="63">
        <v>0</v>
      </c>
      <c r="J32" s="81"/>
      <c r="K32" s="11"/>
      <c r="L32" s="87"/>
      <c r="M32" s="71" t="s">
        <v>126</v>
      </c>
      <c r="N32" s="115">
        <v>28612.5</v>
      </c>
    </row>
    <row r="33" spans="1:16" x14ac:dyDescent="0.25">
      <c r="A33" s="21"/>
      <c r="B33" s="40">
        <v>42002</v>
      </c>
      <c r="C33" s="46">
        <v>881.5</v>
      </c>
      <c r="D33" s="24" t="s">
        <v>129</v>
      </c>
      <c r="E33" s="28">
        <v>42002</v>
      </c>
      <c r="F33" s="52">
        <v>33140.5</v>
      </c>
      <c r="G33" s="25"/>
      <c r="H33" s="29">
        <v>42002</v>
      </c>
      <c r="I33" s="63">
        <v>498</v>
      </c>
      <c r="J33" s="81" t="s">
        <v>128</v>
      </c>
      <c r="K33" s="11"/>
      <c r="L33" s="86"/>
      <c r="M33" s="71" t="s">
        <v>127</v>
      </c>
      <c r="N33" s="115">
        <v>31761</v>
      </c>
      <c r="P33"/>
    </row>
    <row r="34" spans="1:16" x14ac:dyDescent="0.25">
      <c r="A34" s="21"/>
      <c r="B34" s="40">
        <v>42003</v>
      </c>
      <c r="C34" s="46">
        <v>2016</v>
      </c>
      <c r="D34" s="96" t="s">
        <v>130</v>
      </c>
      <c r="E34" s="28">
        <v>42003</v>
      </c>
      <c r="F34" s="52">
        <v>82087.5</v>
      </c>
      <c r="G34" s="25"/>
      <c r="H34" s="29">
        <v>42003</v>
      </c>
      <c r="I34" s="63">
        <v>0</v>
      </c>
      <c r="J34" s="81"/>
      <c r="K34" s="11"/>
      <c r="L34" s="86"/>
      <c r="M34" s="71" t="s">
        <v>131</v>
      </c>
      <c r="N34" s="115">
        <v>80071.5</v>
      </c>
      <c r="P34"/>
    </row>
    <row r="35" spans="1:16" ht="15.75" thickBot="1" x14ac:dyDescent="0.3">
      <c r="A35" s="21"/>
      <c r="B35" s="40">
        <v>42004</v>
      </c>
      <c r="C35" s="46">
        <v>0</v>
      </c>
      <c r="D35" s="24"/>
      <c r="E35" s="28">
        <v>42004</v>
      </c>
      <c r="F35" s="52">
        <v>155677</v>
      </c>
      <c r="G35" s="25"/>
      <c r="H35" s="29">
        <v>42004</v>
      </c>
      <c r="I35" s="63">
        <v>100</v>
      </c>
      <c r="J35" s="81" t="s">
        <v>133</v>
      </c>
      <c r="K35" s="11"/>
      <c r="L35" s="7"/>
      <c r="M35" s="71" t="s">
        <v>132</v>
      </c>
      <c r="N35" s="115">
        <v>155577</v>
      </c>
      <c r="P35"/>
    </row>
    <row r="36" spans="1:16" ht="15.75" thickBot="1" x14ac:dyDescent="0.3">
      <c r="A36" s="15"/>
      <c r="B36" s="145" t="s">
        <v>163</v>
      </c>
      <c r="C36" s="146">
        <v>89592.98</v>
      </c>
      <c r="D36" s="2"/>
      <c r="E36" s="28">
        <v>42004</v>
      </c>
      <c r="F36" s="138">
        <v>162000</v>
      </c>
      <c r="H36" s="31"/>
      <c r="I36" s="64"/>
      <c r="J36" s="56"/>
      <c r="K36" s="11"/>
      <c r="L36" s="7"/>
      <c r="M36" s="72"/>
      <c r="N36" s="115">
        <v>162000</v>
      </c>
      <c r="P36"/>
    </row>
    <row r="37" spans="1:16" ht="16.5" thickBot="1" x14ac:dyDescent="0.3">
      <c r="A37" s="99"/>
      <c r="B37" s="42" t="s">
        <v>177</v>
      </c>
      <c r="C37" s="48">
        <v>0</v>
      </c>
      <c r="D37" s="2"/>
      <c r="E37" s="168" t="s">
        <v>176</v>
      </c>
      <c r="F37" s="169">
        <v>89592.98</v>
      </c>
      <c r="H37" s="32"/>
      <c r="I37" s="65"/>
      <c r="J37" s="56"/>
      <c r="K37" s="17"/>
      <c r="L37" s="117"/>
      <c r="M37" s="801">
        <f>SUM(N5:N36)</f>
        <v>1464875.7</v>
      </c>
      <c r="N37" s="802"/>
      <c r="P37"/>
    </row>
    <row r="38" spans="1:16" x14ac:dyDescent="0.25">
      <c r="B38" s="43" t="s">
        <v>1</v>
      </c>
      <c r="C38" s="49">
        <f>SUM(C5:C37)</f>
        <v>503986.4</v>
      </c>
      <c r="E38" s="74" t="s">
        <v>1</v>
      </c>
      <c r="F38" s="55">
        <f>SUM(F5:F37)</f>
        <v>2048827.28</v>
      </c>
      <c r="H38" s="75" t="s">
        <v>1</v>
      </c>
      <c r="I38" s="59">
        <f>SUM(I5:I37)</f>
        <v>11676</v>
      </c>
      <c r="J38" s="59"/>
      <c r="K38" s="18" t="s">
        <v>1</v>
      </c>
      <c r="L38" s="4">
        <f t="shared" ref="L38" si="0">SUM(L5:L37)</f>
        <v>97045.5</v>
      </c>
      <c r="M38" s="72"/>
      <c r="P38"/>
    </row>
    <row r="39" spans="1:16" ht="15.75" thickBot="1" x14ac:dyDescent="0.3">
      <c r="M39" s="72"/>
      <c r="P39"/>
    </row>
    <row r="40" spans="1:16" ht="16.5" thickBot="1" x14ac:dyDescent="0.3">
      <c r="A40" s="5"/>
      <c r="B40" s="118" t="s">
        <v>160</v>
      </c>
      <c r="C40" s="119">
        <v>1503132.2</v>
      </c>
      <c r="D40" s="13"/>
      <c r="E40" s="13"/>
      <c r="F40" s="56"/>
      <c r="H40" s="785" t="s">
        <v>11</v>
      </c>
      <c r="I40" s="786"/>
      <c r="J40" s="77"/>
      <c r="K40" s="787">
        <f>I38+L38</f>
        <v>108721.5</v>
      </c>
      <c r="L40" s="788"/>
      <c r="M40" s="72"/>
      <c r="P40"/>
    </row>
    <row r="41" spans="1:16" ht="15.75" x14ac:dyDescent="0.25">
      <c r="D41" s="779" t="s">
        <v>12</v>
      </c>
      <c r="E41" s="779"/>
      <c r="F41" s="57">
        <f>F38-K40-C38</f>
        <v>1436119.38</v>
      </c>
      <c r="I41" s="66"/>
      <c r="J41" s="66"/>
      <c r="M41" s="72"/>
      <c r="P41"/>
    </row>
    <row r="42" spans="1:16" ht="15.75" customHeight="1" x14ac:dyDescent="0.25">
      <c r="D42" s="104"/>
      <c r="E42" s="104"/>
      <c r="F42" s="57"/>
      <c r="I42" s="66"/>
      <c r="J42" s="66"/>
      <c r="M42" s="72"/>
      <c r="P42"/>
    </row>
    <row r="43" spans="1:16" ht="15.75" thickBot="1" x14ac:dyDescent="0.3">
      <c r="D43" s="19"/>
      <c r="E43" s="120" t="s">
        <v>0</v>
      </c>
      <c r="F43" s="121">
        <f>-C40</f>
        <v>-1503132.2</v>
      </c>
      <c r="P43"/>
    </row>
    <row r="44" spans="1:16" ht="15.75" thickTop="1" x14ac:dyDescent="0.25">
      <c r="C44" s="44" t="s">
        <v>17</v>
      </c>
      <c r="E44" s="5" t="s">
        <v>15</v>
      </c>
      <c r="F44" s="59">
        <f>SUM(F41:F43)</f>
        <v>-67012.820000000065</v>
      </c>
      <c r="I44" s="789">
        <v>105856</v>
      </c>
      <c r="J44" s="789"/>
      <c r="K44" s="789"/>
      <c r="L44" s="2"/>
      <c r="P44"/>
    </row>
    <row r="45" spans="1:16" x14ac:dyDescent="0.25">
      <c r="E45" s="5"/>
      <c r="F45" s="59"/>
      <c r="I45" s="106"/>
      <c r="J45" s="106"/>
      <c r="K45" s="106"/>
      <c r="L45" s="2"/>
      <c r="P45"/>
    </row>
    <row r="46" spans="1:16" ht="16.5" thickBot="1" x14ac:dyDescent="0.3">
      <c r="C46" s="55" t="s">
        <v>162</v>
      </c>
      <c r="D46" s="778" t="s">
        <v>13</v>
      </c>
      <c r="E46" s="778"/>
      <c r="F46" s="60">
        <v>105856</v>
      </c>
      <c r="I46" s="790"/>
      <c r="J46" s="790"/>
      <c r="K46" s="790"/>
      <c r="L46" s="34"/>
      <c r="P46"/>
    </row>
    <row r="47" spans="1:16" ht="16.5" thickBot="1" x14ac:dyDescent="0.3">
      <c r="C47" s="55"/>
      <c r="D47" s="105"/>
      <c r="E47" s="105"/>
      <c r="F47" s="139"/>
      <c r="I47" s="140"/>
      <c r="J47" s="140"/>
      <c r="K47" s="140"/>
      <c r="L47" s="34"/>
      <c r="P47"/>
    </row>
    <row r="48" spans="1:16" ht="15.75" customHeight="1" thickTop="1" x14ac:dyDescent="0.25">
      <c r="E48" s="6" t="s">
        <v>16</v>
      </c>
      <c r="F48" s="49">
        <f>F46+F44</f>
        <v>38843.179999999935</v>
      </c>
      <c r="I48" s="791" t="s">
        <v>18</v>
      </c>
      <c r="J48" s="792"/>
      <c r="K48" s="803">
        <f>F48+L46</f>
        <v>38843.179999999935</v>
      </c>
      <c r="L48" s="795"/>
      <c r="P48"/>
    </row>
    <row r="49" spans="4:15" customFormat="1" ht="15.75" customHeight="1" thickBot="1" x14ac:dyDescent="0.3">
      <c r="D49" s="777"/>
      <c r="E49" s="777"/>
      <c r="F49" s="56"/>
      <c r="I49" s="793"/>
      <c r="J49" s="794"/>
      <c r="K49" s="804"/>
      <c r="L49" s="796"/>
      <c r="M49" s="110"/>
      <c r="N49" s="113"/>
      <c r="O49" s="111"/>
    </row>
    <row r="50" spans="4:15" customFormat="1" ht="15.75" thickTop="1" x14ac:dyDescent="0.25">
      <c r="F50" s="44"/>
      <c r="I50" s="44"/>
      <c r="J50" s="44"/>
      <c r="M50" s="107"/>
      <c r="N50" s="113"/>
      <c r="O50" s="111"/>
    </row>
    <row r="52" spans="4:15" customFormat="1" x14ac:dyDescent="0.25">
      <c r="O52" s="111"/>
    </row>
  </sheetData>
  <mergeCells count="14">
    <mergeCell ref="M37:N37"/>
    <mergeCell ref="I44:K44"/>
    <mergeCell ref="D46:E46"/>
    <mergeCell ref="I46:K46"/>
    <mergeCell ref="D49:E49"/>
    <mergeCell ref="I48:J49"/>
    <mergeCell ref="K48:L49"/>
    <mergeCell ref="D41:E41"/>
    <mergeCell ref="C1:K1"/>
    <mergeCell ref="E4:F4"/>
    <mergeCell ref="I4:L4"/>
    <mergeCell ref="H40:I40"/>
    <mergeCell ref="K40:L40"/>
    <mergeCell ref="J22:K22"/>
  </mergeCells>
  <printOptions gridLines="1"/>
  <pageMargins left="0.70866141732283472" right="0.11811023622047245" top="0.15748031496062992" bottom="0.15748031496062992" header="0.31496062992125984" footer="0.31496062992125984"/>
  <pageSetup scale="75" orientation="landscape" horizontalDpi="0" verticalDpi="0" r:id="rId1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1:U52"/>
  <sheetViews>
    <sheetView tabSelected="1" topLeftCell="G1" workbookViewId="0">
      <selection activeCell="Q12" sqref="Q12"/>
    </sheetView>
  </sheetViews>
  <sheetFormatPr baseColWidth="10" defaultRowHeight="15" x14ac:dyDescent="0.25"/>
  <cols>
    <col min="3" max="3" width="14.85546875" customWidth="1"/>
    <col min="7" max="7" width="12.7109375" bestFit="1" customWidth="1"/>
    <col min="10" max="10" width="22.28515625" bestFit="1" customWidth="1"/>
    <col min="13" max="13" width="12.7109375" bestFit="1" customWidth="1"/>
    <col min="17" max="17" width="22.28515625" bestFit="1" customWidth="1"/>
    <col min="20" max="20" width="12.7109375" bestFit="1" customWidth="1"/>
  </cols>
  <sheetData>
    <row r="1" spans="2:21" ht="15.75" thickBot="1" x14ac:dyDescent="0.3"/>
    <row r="2" spans="2:21" ht="19.5" thickBot="1" x14ac:dyDescent="0.35">
      <c r="C2" s="204" t="s">
        <v>205</v>
      </c>
      <c r="D2" s="204"/>
      <c r="E2" s="424"/>
      <c r="F2" s="425" t="s">
        <v>354</v>
      </c>
      <c r="G2" s="426"/>
      <c r="J2" s="204" t="s">
        <v>205</v>
      </c>
      <c r="K2" s="204"/>
      <c r="L2" s="213"/>
      <c r="M2" s="238"/>
      <c r="N2" s="222"/>
      <c r="Q2" s="204" t="s">
        <v>205</v>
      </c>
      <c r="R2" s="204"/>
      <c r="S2" s="613"/>
      <c r="T2" s="238"/>
      <c r="U2" s="222"/>
    </row>
    <row r="3" spans="2:21" ht="15.75" x14ac:dyDescent="0.25">
      <c r="B3" s="205"/>
      <c r="C3" s="205"/>
      <c r="D3" s="205"/>
      <c r="E3" s="206"/>
      <c r="F3" s="207"/>
      <c r="G3" s="223"/>
      <c r="I3" s="205"/>
      <c r="J3" s="205" t="s">
        <v>328</v>
      </c>
      <c r="K3" s="708">
        <v>42036</v>
      </c>
      <c r="L3" s="206"/>
      <c r="M3" s="207"/>
      <c r="N3" s="223"/>
      <c r="P3" s="205"/>
      <c r="Q3" s="205" t="s">
        <v>640</v>
      </c>
      <c r="R3" s="205"/>
      <c r="S3" s="206"/>
      <c r="T3" s="207"/>
      <c r="U3" s="223"/>
    </row>
    <row r="4" spans="2:21" ht="15.75" x14ac:dyDescent="0.25">
      <c r="B4" s="212" t="s">
        <v>202</v>
      </c>
      <c r="C4" s="374" t="s">
        <v>195</v>
      </c>
      <c r="D4" s="374"/>
      <c r="E4" s="374"/>
      <c r="F4" s="375" t="s">
        <v>225</v>
      </c>
      <c r="G4" s="376" t="s">
        <v>197</v>
      </c>
      <c r="I4" s="212" t="s">
        <v>202</v>
      </c>
      <c r="J4" s="205" t="s">
        <v>195</v>
      </c>
      <c r="K4" s="205"/>
      <c r="L4" s="206"/>
      <c r="M4" s="207" t="s">
        <v>229</v>
      </c>
      <c r="N4" s="223"/>
      <c r="P4" s="212"/>
      <c r="Q4" s="205" t="s">
        <v>195</v>
      </c>
      <c r="R4" s="205"/>
      <c r="S4" s="206"/>
      <c r="T4" s="207" t="s">
        <v>229</v>
      </c>
      <c r="U4" s="223"/>
    </row>
    <row r="5" spans="2:21" ht="15.75" x14ac:dyDescent="0.25">
      <c r="B5" s="306" t="s">
        <v>262</v>
      </c>
      <c r="C5" s="307">
        <v>85000</v>
      </c>
      <c r="D5" s="307"/>
      <c r="E5" s="305">
        <v>42040</v>
      </c>
      <c r="F5" s="218">
        <v>1000</v>
      </c>
      <c r="G5" s="224"/>
      <c r="I5" s="370" t="s">
        <v>327</v>
      </c>
      <c r="J5" s="371">
        <v>10540</v>
      </c>
      <c r="K5" s="216" t="s">
        <v>419</v>
      </c>
      <c r="L5" s="305">
        <v>42066</v>
      </c>
      <c r="M5" s="218">
        <v>800</v>
      </c>
      <c r="N5" s="224"/>
      <c r="P5" s="306" t="s">
        <v>641</v>
      </c>
      <c r="Q5" s="307">
        <v>600</v>
      </c>
      <c r="R5" s="623">
        <v>42218</v>
      </c>
      <c r="S5" s="305"/>
      <c r="T5" s="218"/>
      <c r="U5" s="224"/>
    </row>
    <row r="6" spans="2:21" ht="15.75" x14ac:dyDescent="0.25">
      <c r="B6" s="233"/>
      <c r="C6" s="234"/>
      <c r="D6" s="234"/>
      <c r="E6" s="305">
        <v>42045</v>
      </c>
      <c r="F6" s="218">
        <v>1000</v>
      </c>
      <c r="G6" s="224"/>
      <c r="I6" s="462">
        <v>42165</v>
      </c>
      <c r="J6" s="537">
        <v>2500</v>
      </c>
      <c r="K6" s="216" t="s">
        <v>420</v>
      </c>
      <c r="L6" s="305">
        <v>42073</v>
      </c>
      <c r="M6" s="218">
        <v>800</v>
      </c>
      <c r="N6" s="224"/>
      <c r="P6" s="462"/>
      <c r="Q6" s="234"/>
      <c r="R6" s="216"/>
      <c r="S6" s="305"/>
      <c r="T6" s="218"/>
      <c r="U6" s="224"/>
    </row>
    <row r="7" spans="2:21" ht="15.75" x14ac:dyDescent="0.25">
      <c r="B7" s="233"/>
      <c r="C7" s="234"/>
      <c r="D7" s="234"/>
      <c r="E7" s="305">
        <v>42056</v>
      </c>
      <c r="F7" s="218">
        <v>1000</v>
      </c>
      <c r="G7" s="224"/>
      <c r="I7" s="233" t="s">
        <v>528</v>
      </c>
      <c r="J7" s="234"/>
      <c r="K7" s="216" t="s">
        <v>421</v>
      </c>
      <c r="L7" s="305">
        <v>42079</v>
      </c>
      <c r="M7" s="218">
        <v>800</v>
      </c>
      <c r="N7" s="224"/>
      <c r="P7" s="233"/>
      <c r="Q7" s="234">
        <v>2000</v>
      </c>
      <c r="R7" s="623">
        <v>42281</v>
      </c>
      <c r="S7" s="305"/>
      <c r="T7" s="218">
        <v>600</v>
      </c>
      <c r="U7" s="224">
        <v>42303</v>
      </c>
    </row>
    <row r="8" spans="2:21" ht="15.75" x14ac:dyDescent="0.25">
      <c r="B8" s="233"/>
      <c r="C8" s="234"/>
      <c r="D8" s="234"/>
      <c r="E8" s="305">
        <v>42063</v>
      </c>
      <c r="F8" s="218">
        <v>1000</v>
      </c>
      <c r="G8" s="224"/>
      <c r="I8" s="233"/>
      <c r="J8" s="536" t="s">
        <v>401</v>
      </c>
      <c r="K8" s="216" t="s">
        <v>422</v>
      </c>
      <c r="L8" s="305">
        <v>42086</v>
      </c>
      <c r="M8" s="218">
        <v>800</v>
      </c>
      <c r="N8" s="224"/>
      <c r="P8" s="233"/>
      <c r="Q8" s="234"/>
      <c r="R8" s="216"/>
      <c r="S8" s="305"/>
      <c r="T8" s="218">
        <v>300</v>
      </c>
      <c r="U8" s="224">
        <v>42303</v>
      </c>
    </row>
    <row r="9" spans="2:21" ht="15.75" x14ac:dyDescent="0.25">
      <c r="B9" s="233"/>
      <c r="C9" s="234"/>
      <c r="D9" s="234"/>
      <c r="E9" s="305">
        <v>42070</v>
      </c>
      <c r="F9" s="218">
        <v>1000</v>
      </c>
      <c r="G9" s="224"/>
      <c r="I9" s="233"/>
      <c r="J9" s="234"/>
      <c r="K9" s="216" t="s">
        <v>423</v>
      </c>
      <c r="L9" s="305">
        <v>42109</v>
      </c>
      <c r="M9" s="218">
        <v>800</v>
      </c>
      <c r="N9" s="224"/>
      <c r="P9" s="233"/>
      <c r="Q9" s="234"/>
      <c r="R9" s="216"/>
      <c r="S9" s="305"/>
      <c r="T9" s="218">
        <v>300</v>
      </c>
      <c r="U9" s="224">
        <v>42309</v>
      </c>
    </row>
    <row r="10" spans="2:21" ht="15.75" x14ac:dyDescent="0.25">
      <c r="B10" s="233"/>
      <c r="C10" s="234"/>
      <c r="D10" s="234"/>
      <c r="E10" s="305">
        <v>42073</v>
      </c>
      <c r="F10" s="218">
        <v>1000</v>
      </c>
      <c r="G10" s="224"/>
      <c r="I10" s="233"/>
      <c r="J10" s="234"/>
      <c r="K10" s="216" t="s">
        <v>424</v>
      </c>
      <c r="L10" s="305">
        <v>42114</v>
      </c>
      <c r="M10" s="218">
        <v>800</v>
      </c>
      <c r="N10" s="224"/>
      <c r="P10" s="233"/>
      <c r="Q10" s="234"/>
      <c r="R10" s="216"/>
      <c r="S10" s="305"/>
      <c r="T10" s="218">
        <v>200</v>
      </c>
      <c r="U10" s="224">
        <v>42326</v>
      </c>
    </row>
    <row r="11" spans="2:21" ht="15.75" x14ac:dyDescent="0.25">
      <c r="B11" s="233"/>
      <c r="C11" s="234"/>
      <c r="D11" s="234"/>
      <c r="E11" s="305">
        <v>42079</v>
      </c>
      <c r="F11" s="218">
        <v>1000</v>
      </c>
      <c r="G11" s="224"/>
      <c r="I11" s="233"/>
      <c r="J11" s="234"/>
      <c r="K11" s="216" t="s">
        <v>425</v>
      </c>
      <c r="L11" s="305">
        <v>42131</v>
      </c>
      <c r="M11" s="218">
        <v>800</v>
      </c>
      <c r="N11" s="224"/>
      <c r="P11" s="233"/>
      <c r="Q11" s="234"/>
      <c r="R11" s="216"/>
      <c r="S11" s="305"/>
      <c r="T11" s="218">
        <v>600</v>
      </c>
      <c r="U11" s="224">
        <v>42346</v>
      </c>
    </row>
    <row r="12" spans="2:21" ht="15.75" x14ac:dyDescent="0.25">
      <c r="B12" s="233"/>
      <c r="C12" s="234"/>
      <c r="D12" s="234"/>
      <c r="E12" s="305"/>
      <c r="F12" s="218"/>
      <c r="G12" s="224"/>
      <c r="I12" s="233"/>
      <c r="J12" s="234"/>
      <c r="K12" s="216" t="s">
        <v>426</v>
      </c>
      <c r="L12" s="305">
        <v>42138</v>
      </c>
      <c r="M12" s="218">
        <v>800</v>
      </c>
      <c r="N12" s="224"/>
      <c r="P12" s="233"/>
      <c r="Q12" s="234"/>
      <c r="R12" s="216"/>
      <c r="S12" s="305"/>
      <c r="T12" s="218">
        <v>0</v>
      </c>
      <c r="U12" s="224" t="s">
        <v>937</v>
      </c>
    </row>
    <row r="13" spans="2:21" ht="15.75" x14ac:dyDescent="0.25">
      <c r="B13" s="233"/>
      <c r="C13" s="234"/>
      <c r="D13" s="234"/>
      <c r="E13" s="305"/>
      <c r="F13" s="218"/>
      <c r="G13" s="224"/>
      <c r="I13" s="233"/>
      <c r="J13" s="234"/>
      <c r="K13" s="216" t="s">
        <v>427</v>
      </c>
      <c r="L13" s="305">
        <v>42143</v>
      </c>
      <c r="M13" s="218">
        <v>800</v>
      </c>
      <c r="N13" s="224"/>
      <c r="P13" s="233"/>
      <c r="Q13" s="234"/>
      <c r="R13" s="216"/>
      <c r="S13" s="305"/>
      <c r="T13" s="218"/>
      <c r="U13" s="224"/>
    </row>
    <row r="14" spans="2:21" ht="15.75" x14ac:dyDescent="0.25">
      <c r="B14" s="233"/>
      <c r="C14" s="234"/>
      <c r="D14" s="234"/>
      <c r="E14" s="305"/>
      <c r="F14" s="218"/>
      <c r="G14" s="224"/>
      <c r="I14" s="233"/>
      <c r="J14" s="234"/>
      <c r="K14" s="216" t="s">
        <v>428</v>
      </c>
      <c r="L14" s="305">
        <v>42156</v>
      </c>
      <c r="M14" s="218">
        <v>800</v>
      </c>
      <c r="N14" s="224"/>
      <c r="P14" s="233"/>
      <c r="Q14" s="234"/>
      <c r="R14" s="216"/>
      <c r="S14" s="305"/>
      <c r="T14" s="218"/>
      <c r="U14" s="224"/>
    </row>
    <row r="15" spans="2:21" ht="15.75" x14ac:dyDescent="0.25">
      <c r="B15" s="233"/>
      <c r="C15" s="234"/>
      <c r="D15" s="234"/>
      <c r="E15" s="305"/>
      <c r="F15" s="218"/>
      <c r="G15" s="224"/>
      <c r="I15" s="233"/>
      <c r="J15" s="234"/>
      <c r="K15" s="216" t="s">
        <v>429</v>
      </c>
      <c r="L15" s="305">
        <v>42167</v>
      </c>
      <c r="M15" s="218">
        <v>800</v>
      </c>
      <c r="N15" s="224"/>
      <c r="P15" s="233"/>
      <c r="Q15" s="234"/>
      <c r="R15" s="216"/>
      <c r="S15" s="305"/>
      <c r="T15" s="218" t="s">
        <v>646</v>
      </c>
      <c r="U15" s="224"/>
    </row>
    <row r="16" spans="2:21" ht="15.75" x14ac:dyDescent="0.25">
      <c r="B16" s="233"/>
      <c r="C16" s="234"/>
      <c r="D16" s="234"/>
      <c r="E16" s="305"/>
      <c r="F16" s="218"/>
      <c r="G16" s="224"/>
      <c r="I16" s="233"/>
      <c r="J16" s="234"/>
      <c r="K16" s="216" t="s">
        <v>430</v>
      </c>
      <c r="L16" s="305">
        <v>42180</v>
      </c>
      <c r="M16" s="218">
        <v>1200</v>
      </c>
      <c r="N16" s="224"/>
      <c r="P16" s="233"/>
      <c r="Q16" s="234"/>
      <c r="R16" s="216"/>
      <c r="S16" s="305"/>
      <c r="T16" s="218"/>
      <c r="U16" s="224"/>
    </row>
    <row r="17" spans="2:21" ht="15.75" x14ac:dyDescent="0.25">
      <c r="B17" s="233"/>
      <c r="C17" s="234"/>
      <c r="D17" s="234"/>
      <c r="E17" s="305"/>
      <c r="F17" s="218"/>
      <c r="G17" s="224"/>
      <c r="I17" s="233"/>
      <c r="J17" s="234"/>
      <c r="K17" s="216" t="s">
        <v>431</v>
      </c>
      <c r="L17" s="305">
        <v>42180</v>
      </c>
      <c r="M17" s="218">
        <v>1200</v>
      </c>
      <c r="N17" s="224"/>
      <c r="P17" s="233"/>
      <c r="Q17" s="234"/>
      <c r="R17" s="216"/>
      <c r="S17" s="305"/>
      <c r="T17" s="218"/>
      <c r="U17" s="224"/>
    </row>
    <row r="18" spans="2:21" ht="15.75" x14ac:dyDescent="0.25">
      <c r="B18" s="233"/>
      <c r="C18" s="234"/>
      <c r="D18" s="234"/>
      <c r="E18" s="305"/>
      <c r="F18" s="218"/>
      <c r="G18" s="224"/>
      <c r="I18" s="233"/>
      <c r="J18" s="234"/>
      <c r="K18" s="216" t="s">
        <v>432</v>
      </c>
      <c r="L18" s="305"/>
      <c r="M18" s="218"/>
      <c r="N18" s="224"/>
      <c r="P18" s="233"/>
      <c r="Q18" s="234" t="s">
        <v>646</v>
      </c>
      <c r="R18" s="216"/>
      <c r="S18" s="305"/>
      <c r="T18" s="218"/>
      <c r="U18" s="224"/>
    </row>
    <row r="19" spans="2:21" ht="15.75" x14ac:dyDescent="0.25">
      <c r="B19" s="233"/>
      <c r="C19" s="234"/>
      <c r="D19" s="234"/>
      <c r="E19" s="305"/>
      <c r="F19" s="218"/>
      <c r="G19" s="224"/>
      <c r="I19" s="233"/>
      <c r="J19" s="234"/>
      <c r="K19" s="216" t="s">
        <v>433</v>
      </c>
      <c r="L19" s="305"/>
      <c r="M19" s="218"/>
      <c r="N19" s="224"/>
      <c r="P19" s="233"/>
      <c r="Q19" s="234"/>
      <c r="R19" s="216"/>
      <c r="S19" s="305"/>
      <c r="T19" s="218"/>
      <c r="U19" s="224"/>
    </row>
    <row r="20" spans="2:21" ht="15.75" x14ac:dyDescent="0.25">
      <c r="B20" s="233"/>
      <c r="C20" s="234"/>
      <c r="D20" s="234"/>
      <c r="E20" s="305"/>
      <c r="F20" s="218"/>
      <c r="G20" s="224"/>
      <c r="I20" s="233"/>
      <c r="J20" s="234"/>
      <c r="K20" s="234"/>
      <c r="L20" s="305"/>
      <c r="M20" s="218"/>
      <c r="N20" s="224"/>
      <c r="P20" s="233"/>
      <c r="Q20" s="234"/>
      <c r="R20" s="234"/>
      <c r="S20" s="305"/>
      <c r="T20" s="218"/>
      <c r="U20" s="224"/>
    </row>
    <row r="21" spans="2:21" ht="15.75" x14ac:dyDescent="0.25">
      <c r="B21" s="233"/>
      <c r="C21" s="234"/>
      <c r="D21" s="234"/>
      <c r="E21" s="305"/>
      <c r="F21" s="218"/>
      <c r="G21" s="224"/>
      <c r="I21" s="233"/>
      <c r="J21" s="234"/>
      <c r="K21" s="216"/>
      <c r="L21" s="305"/>
      <c r="M21" s="218"/>
      <c r="N21" s="224"/>
      <c r="P21" s="233"/>
      <c r="Q21" s="234"/>
      <c r="R21" s="216"/>
      <c r="S21" s="305"/>
      <c r="T21" s="218"/>
      <c r="U21" s="224"/>
    </row>
    <row r="22" spans="2:21" ht="15.75" x14ac:dyDescent="0.25">
      <c r="B22" s="233"/>
      <c r="C22" s="234"/>
      <c r="D22" s="234"/>
      <c r="E22" s="305"/>
      <c r="F22" s="218"/>
      <c r="G22" s="224"/>
      <c r="I22" s="462">
        <v>42324</v>
      </c>
      <c r="J22" s="234" t="s">
        <v>881</v>
      </c>
      <c r="K22" s="234"/>
      <c r="L22" s="305">
        <v>42346</v>
      </c>
      <c r="M22" s="218">
        <v>1500</v>
      </c>
      <c r="N22" s="224"/>
      <c r="P22" s="233"/>
      <c r="Q22" s="234"/>
      <c r="R22" s="234"/>
      <c r="S22" s="305"/>
      <c r="T22" s="218"/>
      <c r="U22" s="224"/>
    </row>
    <row r="23" spans="2:21" ht="15.75" x14ac:dyDescent="0.25">
      <c r="B23" s="233"/>
      <c r="C23" s="234"/>
      <c r="D23" s="234"/>
      <c r="E23" s="305"/>
      <c r="F23" s="218"/>
      <c r="G23" s="224"/>
      <c r="I23" s="233"/>
      <c r="J23" s="234">
        <v>2500</v>
      </c>
      <c r="K23" s="234"/>
      <c r="L23" s="305">
        <v>42726</v>
      </c>
      <c r="M23" s="218">
        <v>500</v>
      </c>
      <c r="N23" s="224"/>
      <c r="P23" s="233"/>
      <c r="Q23" s="234"/>
      <c r="R23" s="234"/>
      <c r="S23" s="305"/>
      <c r="T23" s="218"/>
      <c r="U23" s="224"/>
    </row>
    <row r="24" spans="2:21" ht="15.75" x14ac:dyDescent="0.25">
      <c r="B24" s="233"/>
      <c r="C24" s="234"/>
      <c r="D24" s="234"/>
      <c r="E24" s="305"/>
      <c r="F24" s="218"/>
      <c r="G24" s="224"/>
      <c r="I24" s="233"/>
      <c r="J24" s="234"/>
      <c r="K24" s="234"/>
      <c r="L24" s="305"/>
      <c r="M24" s="218"/>
      <c r="N24" s="224"/>
      <c r="P24" s="233"/>
      <c r="Q24" s="234"/>
      <c r="R24" s="234"/>
      <c r="S24" s="305"/>
      <c r="T24" s="218"/>
      <c r="U24" s="224"/>
    </row>
    <row r="25" spans="2:21" ht="15.75" x14ac:dyDescent="0.25">
      <c r="B25" s="233"/>
      <c r="C25" s="234"/>
      <c r="D25" s="234"/>
      <c r="E25" s="305"/>
      <c r="F25" s="218"/>
      <c r="G25" s="224"/>
      <c r="I25" s="233"/>
      <c r="J25" s="234"/>
      <c r="K25" s="234"/>
      <c r="L25" s="305"/>
      <c r="M25" s="218"/>
      <c r="N25" s="224"/>
      <c r="P25" s="233"/>
      <c r="Q25" s="234"/>
      <c r="R25" s="234"/>
      <c r="S25" s="305"/>
      <c r="T25" s="218"/>
      <c r="U25" s="224"/>
    </row>
    <row r="26" spans="2:21" ht="15.75" x14ac:dyDescent="0.25">
      <c r="B26" s="233"/>
      <c r="C26" s="234"/>
      <c r="D26" s="234"/>
      <c r="E26" s="305"/>
      <c r="F26" s="218"/>
      <c r="G26" s="224"/>
      <c r="I26" s="233"/>
      <c r="J26" s="234"/>
      <c r="K26" s="234"/>
      <c r="L26" s="305"/>
      <c r="M26" s="218"/>
      <c r="N26" s="224"/>
      <c r="P26" s="233"/>
      <c r="Q26" s="234"/>
      <c r="R26" s="234"/>
      <c r="S26" s="305"/>
      <c r="T26" s="218"/>
      <c r="U26" s="224"/>
    </row>
    <row r="27" spans="2:21" ht="15.75" x14ac:dyDescent="0.25">
      <c r="B27" s="233"/>
      <c r="C27" s="234"/>
      <c r="D27" s="234"/>
      <c r="E27" s="305"/>
      <c r="F27" s="218"/>
      <c r="G27" s="224"/>
      <c r="I27" s="233"/>
      <c r="J27" s="234"/>
      <c r="K27" s="234"/>
      <c r="L27" s="305"/>
      <c r="M27" s="218"/>
      <c r="N27" s="224"/>
      <c r="P27" s="233"/>
      <c r="Q27" s="234"/>
      <c r="R27" s="234"/>
      <c r="S27" s="305"/>
      <c r="T27" s="218"/>
      <c r="U27" s="224"/>
    </row>
    <row r="28" spans="2:21" ht="15.75" x14ac:dyDescent="0.25">
      <c r="B28" s="233"/>
      <c r="C28" s="234"/>
      <c r="D28" s="234"/>
      <c r="E28" s="305"/>
      <c r="F28" s="218"/>
      <c r="G28" s="224"/>
      <c r="I28" s="233"/>
      <c r="J28" s="234"/>
      <c r="K28" s="234"/>
      <c r="L28" s="305"/>
      <c r="M28" s="218"/>
      <c r="N28" s="224"/>
      <c r="P28" s="233"/>
      <c r="Q28" s="234"/>
      <c r="R28" s="234"/>
      <c r="S28" s="305"/>
      <c r="T28" s="218"/>
      <c r="U28" s="224"/>
    </row>
    <row r="29" spans="2:21" ht="15.75" x14ac:dyDescent="0.25">
      <c r="B29" s="233"/>
      <c r="C29" s="234"/>
      <c r="D29" s="234"/>
      <c r="E29" s="305"/>
      <c r="F29" s="218"/>
      <c r="G29" s="224"/>
      <c r="I29" s="233"/>
      <c r="J29" s="234"/>
      <c r="K29" s="234"/>
      <c r="L29" s="305"/>
      <c r="M29" s="218"/>
      <c r="N29" s="224"/>
      <c r="P29" s="233"/>
      <c r="Q29" s="234"/>
      <c r="R29" s="234"/>
      <c r="S29" s="305"/>
      <c r="T29" s="218"/>
      <c r="U29" s="224"/>
    </row>
    <row r="30" spans="2:21" ht="15.75" x14ac:dyDescent="0.25">
      <c r="B30" s="233"/>
      <c r="C30" s="234"/>
      <c r="D30" s="234"/>
      <c r="E30" s="305"/>
      <c r="F30" s="218"/>
      <c r="G30" s="224"/>
      <c r="I30" s="233"/>
      <c r="J30" s="234"/>
      <c r="K30" s="234"/>
      <c r="L30" s="305"/>
      <c r="M30" s="218"/>
      <c r="N30" s="224"/>
      <c r="P30" s="233"/>
      <c r="Q30" s="234"/>
      <c r="R30" s="234"/>
      <c r="S30" s="305"/>
      <c r="T30" s="218"/>
      <c r="U30" s="224"/>
    </row>
    <row r="31" spans="2:21" ht="15.75" x14ac:dyDescent="0.25">
      <c r="B31" s="233"/>
      <c r="C31" s="234"/>
      <c r="D31" s="234"/>
      <c r="E31" s="305"/>
      <c r="F31" s="218"/>
      <c r="G31" s="224"/>
      <c r="I31" s="233"/>
      <c r="J31" s="234"/>
      <c r="K31" s="234"/>
      <c r="L31" s="305"/>
      <c r="M31" s="218"/>
      <c r="N31" s="224"/>
      <c r="P31" s="233"/>
      <c r="Q31" s="234"/>
      <c r="R31" s="234"/>
      <c r="S31" s="305"/>
      <c r="T31" s="218"/>
      <c r="U31" s="224"/>
    </row>
    <row r="32" spans="2:21" ht="15.75" x14ac:dyDescent="0.25">
      <c r="B32" s="233"/>
      <c r="C32" s="234"/>
      <c r="D32" s="234"/>
      <c r="E32" s="305"/>
      <c r="F32" s="218"/>
      <c r="G32" s="224"/>
      <c r="I32" s="233"/>
      <c r="J32" s="234"/>
      <c r="K32" s="234"/>
      <c r="L32" s="305"/>
      <c r="M32" s="218"/>
      <c r="N32" s="224"/>
      <c r="P32" s="233"/>
      <c r="Q32" s="234"/>
      <c r="R32" s="234"/>
      <c r="S32" s="305"/>
      <c r="T32" s="218"/>
      <c r="U32" s="224"/>
    </row>
    <row r="33" spans="2:21" ht="15.75" x14ac:dyDescent="0.25">
      <c r="B33" s="233"/>
      <c r="C33" s="234"/>
      <c r="D33" s="234"/>
      <c r="E33" s="305"/>
      <c r="F33" s="218"/>
      <c r="G33" s="224"/>
      <c r="I33" s="233"/>
      <c r="J33" s="234"/>
      <c r="K33" s="234"/>
      <c r="L33" s="305"/>
      <c r="M33" s="218"/>
      <c r="N33" s="224"/>
      <c r="P33" s="233"/>
      <c r="Q33" s="234"/>
      <c r="R33" s="234"/>
      <c r="S33" s="305"/>
      <c r="T33" s="218"/>
      <c r="U33" s="224"/>
    </row>
    <row r="34" spans="2:21" ht="15.75" x14ac:dyDescent="0.25">
      <c r="B34" s="233"/>
      <c r="C34" s="234"/>
      <c r="D34" s="234"/>
      <c r="E34" s="305"/>
      <c r="F34" s="218"/>
      <c r="G34" s="224"/>
      <c r="I34" s="233"/>
      <c r="J34" s="234"/>
      <c r="K34" s="234"/>
      <c r="L34" s="305"/>
      <c r="M34" s="218"/>
      <c r="N34" s="224"/>
      <c r="P34" s="233"/>
      <c r="Q34" s="234"/>
      <c r="R34" s="234"/>
      <c r="S34" s="305"/>
      <c r="T34" s="218"/>
      <c r="U34" s="224"/>
    </row>
    <row r="35" spans="2:21" ht="15.75" x14ac:dyDescent="0.25">
      <c r="B35" s="233"/>
      <c r="C35" s="234"/>
      <c r="D35" s="234"/>
      <c r="E35" s="305"/>
      <c r="F35" s="218"/>
      <c r="G35" s="224"/>
      <c r="I35" s="233"/>
      <c r="J35" s="234"/>
      <c r="K35" s="234"/>
      <c r="L35" s="305"/>
      <c r="M35" s="218"/>
      <c r="N35" s="224"/>
      <c r="P35" s="233"/>
      <c r="Q35" s="234"/>
      <c r="R35" s="234"/>
      <c r="S35" s="305"/>
      <c r="T35" s="218"/>
      <c r="U35" s="224"/>
    </row>
    <row r="36" spans="2:21" ht="15.75" x14ac:dyDescent="0.25">
      <c r="B36" s="233"/>
      <c r="C36" s="234"/>
      <c r="D36" s="234"/>
      <c r="E36" s="305"/>
      <c r="F36" s="218"/>
      <c r="G36" s="224"/>
      <c r="I36" s="233"/>
      <c r="J36" s="234"/>
      <c r="K36" s="234"/>
      <c r="L36" s="305"/>
      <c r="M36" s="218"/>
      <c r="N36" s="224"/>
      <c r="P36" s="233"/>
      <c r="Q36" s="234"/>
      <c r="R36" s="234"/>
      <c r="S36" s="305"/>
      <c r="T36" s="218"/>
      <c r="U36" s="224"/>
    </row>
    <row r="37" spans="2:21" ht="15.75" x14ac:dyDescent="0.25">
      <c r="B37" s="233"/>
      <c r="C37" s="234"/>
      <c r="D37" s="234"/>
      <c r="E37" s="305"/>
      <c r="F37" s="218"/>
      <c r="G37" s="224"/>
      <c r="I37" s="233"/>
      <c r="J37" s="234"/>
      <c r="K37" s="234"/>
      <c r="L37" s="305"/>
      <c r="M37" s="218"/>
      <c r="N37" s="224"/>
      <c r="P37" s="233"/>
      <c r="Q37" s="234"/>
      <c r="R37" s="234"/>
      <c r="S37" s="305"/>
      <c r="T37" s="218"/>
      <c r="U37" s="224"/>
    </row>
    <row r="38" spans="2:21" ht="15.75" x14ac:dyDescent="0.25">
      <c r="B38" s="233"/>
      <c r="C38" s="234"/>
      <c r="D38" s="234"/>
      <c r="E38" s="305"/>
      <c r="F38" s="218"/>
      <c r="G38" s="224"/>
      <c r="I38" s="233"/>
      <c r="J38" s="234"/>
      <c r="K38" s="234"/>
      <c r="L38" s="305"/>
      <c r="M38" s="218"/>
      <c r="N38" s="224"/>
      <c r="P38" s="233"/>
      <c r="Q38" s="234"/>
      <c r="R38" s="234"/>
      <c r="S38" s="305"/>
      <c r="T38" s="218"/>
      <c r="U38" s="224"/>
    </row>
    <row r="39" spans="2:21" ht="15.75" x14ac:dyDescent="0.25">
      <c r="B39" s="233"/>
      <c r="C39" s="234"/>
      <c r="D39" s="234"/>
      <c r="E39" s="305"/>
      <c r="F39" s="218"/>
      <c r="G39" s="224"/>
      <c r="I39" s="233"/>
      <c r="J39" s="234"/>
      <c r="K39" s="234"/>
      <c r="L39" s="305"/>
      <c r="M39" s="218"/>
      <c r="N39" s="224"/>
      <c r="P39" s="233"/>
      <c r="Q39" s="234"/>
      <c r="R39" s="234"/>
      <c r="S39" s="305"/>
      <c r="T39" s="218"/>
      <c r="U39" s="224"/>
    </row>
    <row r="40" spans="2:21" ht="15.75" x14ac:dyDescent="0.25">
      <c r="B40" s="233"/>
      <c r="C40" s="234"/>
      <c r="D40" s="234"/>
      <c r="E40" s="305"/>
      <c r="F40" s="218"/>
      <c r="G40" s="224"/>
      <c r="I40" s="233"/>
      <c r="J40" s="234"/>
      <c r="K40" s="234"/>
      <c r="L40" s="305"/>
      <c r="M40" s="218"/>
      <c r="N40" s="224"/>
      <c r="P40" s="233"/>
      <c r="Q40" s="234"/>
      <c r="R40" s="234"/>
      <c r="S40" s="305"/>
      <c r="T40" s="218"/>
      <c r="U40" s="224"/>
    </row>
    <row r="41" spans="2:21" ht="15.75" x14ac:dyDescent="0.25">
      <c r="B41" s="233"/>
      <c r="C41" s="234"/>
      <c r="D41" s="234"/>
      <c r="E41" s="305"/>
      <c r="F41" s="218"/>
      <c r="G41" s="224"/>
      <c r="I41" s="233"/>
      <c r="J41" s="234"/>
      <c r="K41" s="234"/>
      <c r="L41" s="305"/>
      <c r="M41" s="218"/>
      <c r="N41" s="224"/>
      <c r="P41" s="233"/>
      <c r="Q41" s="234"/>
      <c r="R41" s="234"/>
      <c r="S41" s="305"/>
      <c r="T41" s="218"/>
      <c r="U41" s="224"/>
    </row>
    <row r="42" spans="2:21" ht="15.75" x14ac:dyDescent="0.25">
      <c r="B42" s="233"/>
      <c r="C42" s="234"/>
      <c r="D42" s="234"/>
      <c r="E42" s="305"/>
      <c r="F42" s="218"/>
      <c r="G42" s="224"/>
      <c r="I42" s="233"/>
      <c r="J42" s="234"/>
      <c r="K42" s="234"/>
      <c r="L42" s="305"/>
      <c r="M42" s="218"/>
      <c r="N42" s="224"/>
      <c r="P42" s="233"/>
      <c r="Q42" s="234"/>
      <c r="R42" s="234"/>
      <c r="S42" s="305"/>
      <c r="T42" s="218"/>
      <c r="U42" s="224"/>
    </row>
    <row r="43" spans="2:21" ht="15.75" x14ac:dyDescent="0.25">
      <c r="B43" s="233"/>
      <c r="C43" s="234"/>
      <c r="D43" s="234"/>
      <c r="E43" s="305"/>
      <c r="F43" s="218"/>
      <c r="G43" s="224"/>
      <c r="I43" s="233"/>
      <c r="J43" s="234"/>
      <c r="K43" s="234"/>
      <c r="L43" s="305"/>
      <c r="M43" s="218"/>
      <c r="N43" s="224"/>
      <c r="P43" s="233"/>
      <c r="Q43" s="234"/>
      <c r="R43" s="234"/>
      <c r="S43" s="305"/>
      <c r="T43" s="218"/>
      <c r="U43" s="224"/>
    </row>
    <row r="44" spans="2:21" ht="15.75" x14ac:dyDescent="0.25">
      <c r="B44" s="233"/>
      <c r="C44" s="234"/>
      <c r="D44" s="234"/>
      <c r="E44" s="305"/>
      <c r="F44" s="218"/>
      <c r="G44" s="224"/>
      <c r="I44" s="233"/>
      <c r="J44" s="234"/>
      <c r="K44" s="234"/>
      <c r="L44" s="305"/>
      <c r="M44" s="218"/>
      <c r="N44" s="224"/>
      <c r="P44" s="233"/>
      <c r="Q44" s="234"/>
      <c r="R44" s="234"/>
      <c r="S44" s="305"/>
      <c r="T44" s="218"/>
      <c r="U44" s="224"/>
    </row>
    <row r="45" spans="2:21" ht="15.75" x14ac:dyDescent="0.25">
      <c r="B45" s="233"/>
      <c r="C45" s="234"/>
      <c r="D45" s="234"/>
      <c r="E45" s="305"/>
      <c r="F45" s="218"/>
      <c r="G45" s="224"/>
      <c r="I45" s="233"/>
      <c r="J45" s="234"/>
      <c r="K45" s="234"/>
      <c r="L45" s="305"/>
      <c r="M45" s="218"/>
      <c r="N45" s="224"/>
      <c r="P45" s="233"/>
      <c r="Q45" s="234"/>
      <c r="R45" s="234"/>
      <c r="S45" s="305"/>
      <c r="T45" s="218"/>
      <c r="U45" s="224"/>
    </row>
    <row r="46" spans="2:21" ht="15.75" x14ac:dyDescent="0.25">
      <c r="B46" s="233"/>
      <c r="C46" s="234"/>
      <c r="D46" s="234"/>
      <c r="E46" s="217"/>
      <c r="F46" s="218"/>
      <c r="G46" s="224"/>
      <c r="I46" s="233"/>
      <c r="J46" s="234"/>
      <c r="K46" s="234"/>
      <c r="L46" s="217"/>
      <c r="M46" s="218"/>
      <c r="N46" s="224"/>
      <c r="P46" s="233"/>
      <c r="Q46" s="234"/>
      <c r="R46" s="234"/>
      <c r="S46" s="217"/>
      <c r="T46" s="218"/>
      <c r="U46" s="224"/>
    </row>
    <row r="47" spans="2:21" ht="15.75" x14ac:dyDescent="0.25">
      <c r="B47" s="242"/>
      <c r="C47" s="240"/>
      <c r="D47" s="240"/>
      <c r="E47" s="225"/>
      <c r="F47" s="228"/>
      <c r="G47" s="243"/>
      <c r="I47" s="242"/>
      <c r="J47" s="240"/>
      <c r="K47" s="240"/>
      <c r="L47" s="225"/>
      <c r="M47" s="228"/>
      <c r="N47" s="243"/>
      <c r="P47" s="242"/>
      <c r="Q47" s="240"/>
      <c r="R47" s="240"/>
      <c r="S47" s="225"/>
      <c r="T47" s="228"/>
      <c r="U47" s="243"/>
    </row>
    <row r="48" spans="2:21" ht="16.5" thickBot="1" x14ac:dyDescent="0.3">
      <c r="B48" s="244"/>
      <c r="C48" s="226">
        <v>0</v>
      </c>
      <c r="D48" s="226"/>
      <c r="E48" s="227"/>
      <c r="F48" s="58">
        <v>0</v>
      </c>
      <c r="G48" s="372"/>
      <c r="I48" s="244"/>
      <c r="J48" s="226">
        <v>0</v>
      </c>
      <c r="K48" s="226"/>
      <c r="L48" s="227"/>
      <c r="M48" s="58">
        <v>0</v>
      </c>
      <c r="N48" s="245"/>
      <c r="P48" s="244"/>
      <c r="Q48" s="226">
        <v>0</v>
      </c>
      <c r="R48" s="226"/>
      <c r="S48" s="227"/>
      <c r="T48" s="58">
        <v>0</v>
      </c>
      <c r="U48" s="245"/>
    </row>
    <row r="49" spans="3:21" ht="17.25" thickTop="1" thickBot="1" x14ac:dyDescent="0.3">
      <c r="C49" s="208">
        <f>SUM(C5:C48)</f>
        <v>85000</v>
      </c>
      <c r="D49" s="208"/>
      <c r="E49" s="206"/>
      <c r="F49" s="207">
        <f>SUM(F5:F48)</f>
        <v>7000</v>
      </c>
      <c r="G49" s="373">
        <f>C49-F49</f>
        <v>78000</v>
      </c>
      <c r="J49" s="208">
        <f>SUM(J5:J48)</f>
        <v>15540</v>
      </c>
      <c r="K49" s="208"/>
      <c r="L49" s="206"/>
      <c r="M49" s="207">
        <f>SUM(M5:M48)</f>
        <v>13200</v>
      </c>
      <c r="N49" s="222"/>
      <c r="Q49" s="208">
        <f>SUM(Q5:Q48)</f>
        <v>2600</v>
      </c>
      <c r="R49" s="208"/>
      <c r="S49" s="206"/>
      <c r="T49" s="207">
        <f>SUM(T5:T48)</f>
        <v>2000</v>
      </c>
      <c r="U49" s="222"/>
    </row>
    <row r="50" spans="3:21" ht="15.75" thickBot="1" x14ac:dyDescent="0.3">
      <c r="C50" s="44"/>
    </row>
    <row r="51" spans="3:21" x14ac:dyDescent="0.25">
      <c r="K51" s="847">
        <f>J49-M49</f>
        <v>2340</v>
      </c>
      <c r="L51" s="848"/>
      <c r="R51" s="847">
        <f>Q49-T49</f>
        <v>600</v>
      </c>
      <c r="S51" s="848"/>
    </row>
    <row r="52" spans="3:21" ht="15.75" thickBot="1" x14ac:dyDescent="0.3">
      <c r="K52" s="849"/>
      <c r="L52" s="850"/>
      <c r="R52" s="849"/>
      <c r="S52" s="850"/>
    </row>
  </sheetData>
  <mergeCells count="2">
    <mergeCell ref="K51:L52"/>
    <mergeCell ref="R51:S52"/>
  </mergeCells>
  <pageMargins left="0.51181102362204722" right="0.70866141732283472" top="0.35433070866141736" bottom="0.35433070866141736" header="0.31496062992125984" footer="0.31496062992125984"/>
  <pageSetup orientation="portrait" horizontalDpi="0" verticalDpi="0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52"/>
  <sheetViews>
    <sheetView topLeftCell="A13" workbookViewId="0">
      <selection activeCell="T15" sqref="T15"/>
    </sheetView>
  </sheetViews>
  <sheetFormatPr baseColWidth="10" defaultRowHeight="15" x14ac:dyDescent="0.25"/>
  <cols>
    <col min="1" max="1" width="2.5703125" customWidth="1"/>
    <col min="2" max="2" width="17.7109375" style="38" customWidth="1"/>
    <col min="3" max="3" width="16.42578125" style="44" customWidth="1"/>
    <col min="4" max="4" width="9" style="155" customWidth="1"/>
    <col min="6" max="6" width="17.85546875" style="44" customWidth="1"/>
    <col min="7" max="7" width="2.85546875" customWidth="1"/>
    <col min="9" max="9" width="12.140625" style="44" customWidth="1"/>
    <col min="10" max="10" width="9.85546875" style="44" customWidth="1"/>
    <col min="12" max="12" width="11.28515625" customWidth="1"/>
    <col min="13" max="13" width="17.140625" customWidth="1"/>
    <col min="14" max="14" width="12.5703125" style="44" bestFit="1" customWidth="1"/>
    <col min="15" max="15" width="12.140625" style="111" customWidth="1"/>
    <col min="16" max="16" width="14.140625" style="175" bestFit="1" customWidth="1"/>
    <col min="17" max="17" width="14.85546875" customWidth="1"/>
    <col min="19" max="19" width="11.42578125" style="173"/>
    <col min="20" max="20" width="15.140625" bestFit="1" customWidth="1"/>
    <col min="22" max="22" width="12.5703125" style="44" bestFit="1" customWidth="1"/>
    <col min="25" max="25" width="12.7109375" bestFit="1" customWidth="1"/>
  </cols>
  <sheetData>
    <row r="1" spans="1:25" ht="23.25" x14ac:dyDescent="0.35">
      <c r="C1" s="780" t="s">
        <v>164</v>
      </c>
      <c r="D1" s="780"/>
      <c r="E1" s="780"/>
      <c r="F1" s="780"/>
      <c r="G1" s="780"/>
      <c r="H1" s="780"/>
      <c r="I1" s="780"/>
      <c r="J1" s="780"/>
      <c r="K1" s="780"/>
      <c r="L1" s="133" t="s">
        <v>158</v>
      </c>
      <c r="M1" s="134"/>
    </row>
    <row r="2" spans="1:25" ht="15.75" thickBot="1" x14ac:dyDescent="0.3">
      <c r="E2" s="144"/>
      <c r="F2" s="51"/>
    </row>
    <row r="3" spans="1:25" ht="15.75" thickBot="1" x14ac:dyDescent="0.3">
      <c r="C3" s="45" t="s">
        <v>0</v>
      </c>
      <c r="D3" s="3"/>
    </row>
    <row r="4" spans="1:25" ht="20.25" thickTop="1" thickBot="1" x14ac:dyDescent="0.35">
      <c r="A4" s="79" t="s">
        <v>2</v>
      </c>
      <c r="B4" s="39"/>
      <c r="C4" s="97">
        <v>105856</v>
      </c>
      <c r="D4" s="156"/>
      <c r="E4" s="797" t="s">
        <v>19</v>
      </c>
      <c r="F4" s="798"/>
      <c r="I4" s="783" t="s">
        <v>4</v>
      </c>
      <c r="J4" s="784"/>
      <c r="K4" s="784"/>
      <c r="L4" s="784"/>
      <c r="M4" s="69" t="s">
        <v>24</v>
      </c>
      <c r="N4" s="112" t="s">
        <v>159</v>
      </c>
      <c r="V4" s="308"/>
      <c r="W4" s="309"/>
      <c r="X4" s="309"/>
      <c r="Y4" s="310"/>
    </row>
    <row r="5" spans="1:25" ht="16.5" thickTop="1" x14ac:dyDescent="0.25">
      <c r="A5" s="21"/>
      <c r="B5" s="40">
        <v>42005</v>
      </c>
      <c r="C5" s="46">
        <v>0</v>
      </c>
      <c r="D5" s="96"/>
      <c r="E5" s="28">
        <v>42005</v>
      </c>
      <c r="F5" s="52">
        <v>0</v>
      </c>
      <c r="G5" s="25"/>
      <c r="H5" s="26">
        <v>42005</v>
      </c>
      <c r="I5" s="61">
        <v>0</v>
      </c>
      <c r="J5" s="80"/>
      <c r="K5" s="122"/>
      <c r="L5" s="123"/>
      <c r="M5" s="152" t="s">
        <v>172</v>
      </c>
      <c r="N5" s="151"/>
      <c r="O5" s="152"/>
      <c r="P5" s="164"/>
      <c r="S5" s="172" t="s">
        <v>178</v>
      </c>
      <c r="V5" s="311"/>
      <c r="W5" s="13"/>
      <c r="X5" s="13"/>
      <c r="Y5" s="312"/>
    </row>
    <row r="6" spans="1:25" x14ac:dyDescent="0.25">
      <c r="A6" s="21"/>
      <c r="B6" s="40">
        <v>42006</v>
      </c>
      <c r="C6" s="46">
        <v>0</v>
      </c>
      <c r="D6" s="96"/>
      <c r="E6" s="28">
        <v>42006</v>
      </c>
      <c r="F6" s="52">
        <v>49471.5</v>
      </c>
      <c r="G6" s="20"/>
      <c r="H6" s="29">
        <v>42006</v>
      </c>
      <c r="I6" s="62">
        <v>2751.5</v>
      </c>
      <c r="J6" s="81"/>
      <c r="K6" s="73" t="s">
        <v>5</v>
      </c>
      <c r="L6" s="124">
        <v>0</v>
      </c>
      <c r="M6" s="78" t="s">
        <v>171</v>
      </c>
      <c r="N6" s="116">
        <v>0</v>
      </c>
      <c r="O6" s="152"/>
      <c r="P6" s="40">
        <v>42006</v>
      </c>
      <c r="Q6" s="181">
        <v>92031.6</v>
      </c>
      <c r="R6" s="182" t="s">
        <v>165</v>
      </c>
      <c r="S6" s="173">
        <v>42013</v>
      </c>
      <c r="V6" s="313" t="s">
        <v>289</v>
      </c>
      <c r="W6" s="314"/>
      <c r="X6" s="314"/>
      <c r="Y6" s="315"/>
    </row>
    <row r="7" spans="1:25" x14ac:dyDescent="0.25">
      <c r="A7" s="21"/>
      <c r="B7" s="40">
        <v>42007</v>
      </c>
      <c r="C7" s="46">
        <v>0</v>
      </c>
      <c r="D7" s="96"/>
      <c r="E7" s="28">
        <v>42007</v>
      </c>
      <c r="F7" s="52">
        <v>44110.5</v>
      </c>
      <c r="G7" s="25"/>
      <c r="H7" s="29">
        <v>42007</v>
      </c>
      <c r="I7" s="62">
        <v>0</v>
      </c>
      <c r="J7" s="81"/>
      <c r="K7" s="73" t="s">
        <v>3</v>
      </c>
      <c r="L7" s="125">
        <v>9044.85</v>
      </c>
      <c r="M7" s="165" t="s">
        <v>173</v>
      </c>
      <c r="N7" s="116">
        <v>0</v>
      </c>
      <c r="O7" s="152"/>
      <c r="P7" s="40">
        <v>42007</v>
      </c>
      <c r="Q7" s="166">
        <v>28334</v>
      </c>
      <c r="R7" s="167" t="s">
        <v>166</v>
      </c>
      <c r="S7" s="173">
        <v>42009</v>
      </c>
      <c r="V7" s="313" t="s">
        <v>290</v>
      </c>
      <c r="W7" s="314"/>
      <c r="X7" s="314"/>
      <c r="Y7" s="315"/>
    </row>
    <row r="8" spans="1:25" x14ac:dyDescent="0.25">
      <c r="A8" s="21"/>
      <c r="B8" s="40">
        <v>42008</v>
      </c>
      <c r="C8" s="46">
        <v>0</v>
      </c>
      <c r="D8" s="96"/>
      <c r="E8" s="28">
        <v>42008</v>
      </c>
      <c r="F8" s="52">
        <v>17308.5</v>
      </c>
      <c r="G8" s="25"/>
      <c r="H8" s="29">
        <v>42008</v>
      </c>
      <c r="I8" s="62">
        <v>668</v>
      </c>
      <c r="J8" s="81"/>
      <c r="K8" s="73" t="s">
        <v>6</v>
      </c>
      <c r="L8" s="124">
        <v>28750</v>
      </c>
      <c r="M8" s="165" t="s">
        <v>174</v>
      </c>
      <c r="N8" s="116">
        <v>0</v>
      </c>
      <c r="O8" s="152"/>
      <c r="P8" s="40">
        <v>42007</v>
      </c>
      <c r="Q8" s="166">
        <v>2003.4</v>
      </c>
      <c r="R8" s="167" t="s">
        <v>167</v>
      </c>
      <c r="S8" s="173">
        <v>42009</v>
      </c>
      <c r="V8" s="321">
        <v>42432</v>
      </c>
      <c r="W8" s="314"/>
      <c r="X8" s="314"/>
      <c r="Y8" s="315"/>
    </row>
    <row r="9" spans="1:25" ht="15.75" x14ac:dyDescent="0.25">
      <c r="A9" s="21"/>
      <c r="B9" s="40">
        <v>42009</v>
      </c>
      <c r="C9" s="46">
        <v>94004.65</v>
      </c>
      <c r="D9" s="96"/>
      <c r="E9" s="28">
        <v>42009</v>
      </c>
      <c r="F9" s="52">
        <v>86994.5</v>
      </c>
      <c r="G9" s="25"/>
      <c r="H9" s="29">
        <v>42009</v>
      </c>
      <c r="I9" s="62">
        <v>0</v>
      </c>
      <c r="J9" s="81"/>
      <c r="K9" s="73" t="s">
        <v>7</v>
      </c>
      <c r="L9" s="125">
        <v>8800</v>
      </c>
      <c r="M9" s="165" t="s">
        <v>175</v>
      </c>
      <c r="N9" s="116">
        <v>0</v>
      </c>
      <c r="O9" s="152"/>
      <c r="P9" s="40">
        <v>42007</v>
      </c>
      <c r="Q9" s="166">
        <v>4023.25</v>
      </c>
      <c r="R9" s="167" t="s">
        <v>168</v>
      </c>
      <c r="S9" s="173">
        <v>42009</v>
      </c>
      <c r="V9" s="316" t="s">
        <v>291</v>
      </c>
      <c r="W9" s="317"/>
      <c r="X9" s="317"/>
      <c r="Y9" s="312"/>
    </row>
    <row r="10" spans="1:25" ht="15.75" thickBot="1" x14ac:dyDescent="0.3">
      <c r="A10" s="21"/>
      <c r="B10" s="40">
        <v>42010</v>
      </c>
      <c r="C10" s="46">
        <v>0</v>
      </c>
      <c r="D10" s="96"/>
      <c r="E10" s="28">
        <v>42010</v>
      </c>
      <c r="F10" s="52">
        <v>35918</v>
      </c>
      <c r="G10" s="25"/>
      <c r="H10" s="29">
        <v>42010</v>
      </c>
      <c r="I10" s="62">
        <v>0</v>
      </c>
      <c r="J10" s="81"/>
      <c r="K10" s="73" t="s">
        <v>8</v>
      </c>
      <c r="L10" s="125">
        <v>6993</v>
      </c>
      <c r="M10" s="165" t="s">
        <v>179</v>
      </c>
      <c r="N10" s="116">
        <v>0</v>
      </c>
      <c r="O10" s="152"/>
      <c r="P10" s="40">
        <v>42007</v>
      </c>
      <c r="Q10" s="170">
        <v>59644</v>
      </c>
      <c r="R10" s="171" t="s">
        <v>169</v>
      </c>
      <c r="S10" s="173">
        <v>42009</v>
      </c>
      <c r="V10" s="318"/>
      <c r="W10" s="319"/>
      <c r="X10" s="319"/>
      <c r="Y10" s="320"/>
    </row>
    <row r="11" spans="1:25" x14ac:dyDescent="0.25">
      <c r="A11" s="21"/>
      <c r="B11" s="40">
        <v>42011</v>
      </c>
      <c r="C11" s="46">
        <v>0</v>
      </c>
      <c r="D11" s="96"/>
      <c r="E11" s="28">
        <v>42011</v>
      </c>
      <c r="F11" s="52">
        <v>25820.5</v>
      </c>
      <c r="G11" s="25"/>
      <c r="H11" s="29">
        <v>42011</v>
      </c>
      <c r="I11" s="62">
        <v>375</v>
      </c>
      <c r="J11" s="81"/>
      <c r="K11" s="73" t="s">
        <v>9</v>
      </c>
      <c r="L11" s="126">
        <v>0</v>
      </c>
      <c r="M11" s="165" t="s">
        <v>180</v>
      </c>
      <c r="N11" s="116">
        <v>0</v>
      </c>
      <c r="O11" s="152"/>
      <c r="P11" s="164">
        <v>42009</v>
      </c>
      <c r="Q11" s="183">
        <v>27604.799999999999</v>
      </c>
      <c r="R11" s="184" t="s">
        <v>170</v>
      </c>
      <c r="S11" s="173">
        <v>42013</v>
      </c>
    </row>
    <row r="12" spans="1:25" x14ac:dyDescent="0.25">
      <c r="A12" s="21"/>
      <c r="B12" s="40">
        <v>42012</v>
      </c>
      <c r="C12" s="46">
        <v>0</v>
      </c>
      <c r="D12" s="96"/>
      <c r="E12" s="28">
        <v>42012</v>
      </c>
      <c r="F12" s="52">
        <v>37435</v>
      </c>
      <c r="G12" s="25"/>
      <c r="H12" s="29">
        <v>42012</v>
      </c>
      <c r="I12" s="62">
        <v>118.5</v>
      </c>
      <c r="J12" s="81"/>
      <c r="K12" s="73" t="s">
        <v>14</v>
      </c>
      <c r="L12" s="126">
        <v>0</v>
      </c>
      <c r="M12" s="165" t="s">
        <v>181</v>
      </c>
      <c r="N12" s="116">
        <v>0</v>
      </c>
      <c r="O12" s="152"/>
      <c r="P12" s="164">
        <v>42010</v>
      </c>
      <c r="Q12" s="183">
        <v>29448.2</v>
      </c>
      <c r="R12" s="184" t="s">
        <v>183</v>
      </c>
      <c r="S12" s="173">
        <v>42013</v>
      </c>
    </row>
    <row r="13" spans="1:25" x14ac:dyDescent="0.25">
      <c r="A13" s="21"/>
      <c r="B13" s="40">
        <v>42013</v>
      </c>
      <c r="C13" s="46">
        <v>150632.6</v>
      </c>
      <c r="D13" s="96"/>
      <c r="E13" s="28">
        <v>42013</v>
      </c>
      <c r="F13" s="52">
        <v>52931</v>
      </c>
      <c r="G13" s="25"/>
      <c r="H13" s="29">
        <v>42013</v>
      </c>
      <c r="I13" s="62">
        <v>708.8</v>
      </c>
      <c r="J13" s="81"/>
      <c r="K13" s="73" t="s">
        <v>10</v>
      </c>
      <c r="L13" s="126">
        <v>0</v>
      </c>
      <c r="M13" s="174" t="s">
        <v>182</v>
      </c>
      <c r="N13" s="116">
        <v>2317.17</v>
      </c>
      <c r="O13" s="154"/>
      <c r="P13" s="176">
        <v>42011</v>
      </c>
      <c r="Q13" s="81">
        <v>75593.81</v>
      </c>
      <c r="R13" s="160" t="s">
        <v>188</v>
      </c>
      <c r="S13" s="198">
        <v>42019</v>
      </c>
      <c r="T13" s="44">
        <v>75593.81</v>
      </c>
    </row>
    <row r="14" spans="1:25" x14ac:dyDescent="0.25">
      <c r="A14" s="21"/>
      <c r="B14" s="40">
        <v>42014</v>
      </c>
      <c r="C14" s="46">
        <v>682</v>
      </c>
      <c r="D14" s="96" t="s">
        <v>44</v>
      </c>
      <c r="E14" s="28">
        <v>42014</v>
      </c>
      <c r="F14" s="52">
        <v>39764.5</v>
      </c>
      <c r="G14" s="25"/>
      <c r="H14" s="29">
        <v>42014</v>
      </c>
      <c r="I14" s="62">
        <v>0</v>
      </c>
      <c r="J14" s="81"/>
      <c r="K14" s="127" t="s">
        <v>20</v>
      </c>
      <c r="L14" s="126">
        <v>0</v>
      </c>
      <c r="M14" s="174" t="s">
        <v>184</v>
      </c>
      <c r="N14" s="116">
        <v>39082.5</v>
      </c>
      <c r="O14" s="154"/>
      <c r="P14" s="176">
        <v>42013</v>
      </c>
      <c r="Q14" s="81">
        <v>63186.36</v>
      </c>
      <c r="R14" s="160" t="s">
        <v>189</v>
      </c>
      <c r="S14" s="543" t="s">
        <v>551</v>
      </c>
      <c r="T14" s="44">
        <f>44406.19+18780.17</f>
        <v>63186.36</v>
      </c>
    </row>
    <row r="15" spans="1:25" x14ac:dyDescent="0.25">
      <c r="A15" s="21"/>
      <c r="B15" s="40">
        <v>42015</v>
      </c>
      <c r="C15" s="46">
        <v>358</v>
      </c>
      <c r="D15" s="96" t="s">
        <v>187</v>
      </c>
      <c r="E15" s="28">
        <v>42015</v>
      </c>
      <c r="F15" s="52">
        <v>40572.5</v>
      </c>
      <c r="G15" s="25"/>
      <c r="H15" s="29">
        <v>42015</v>
      </c>
      <c r="I15" s="62">
        <v>637</v>
      </c>
      <c r="J15" s="81"/>
      <c r="K15" s="73" t="s">
        <v>57</v>
      </c>
      <c r="L15" s="126">
        <v>0</v>
      </c>
      <c r="M15" s="174" t="s">
        <v>185</v>
      </c>
      <c r="N15" s="116">
        <v>31064.5</v>
      </c>
      <c r="O15" s="154"/>
      <c r="P15" s="176">
        <v>42014</v>
      </c>
      <c r="Q15" s="81">
        <v>34464.6</v>
      </c>
      <c r="R15" s="160" t="s">
        <v>190</v>
      </c>
      <c r="S15" s="173">
        <v>42007</v>
      </c>
      <c r="T15" s="44">
        <f>11219.83+1000+1000+1000+1000+1000</f>
        <v>16219.83</v>
      </c>
    </row>
    <row r="16" spans="1:25" ht="15.75" thickBot="1" x14ac:dyDescent="0.3">
      <c r="A16" s="21"/>
      <c r="B16" s="40">
        <v>42016</v>
      </c>
      <c r="C16" s="46">
        <v>75593.81</v>
      </c>
      <c r="D16" s="96"/>
      <c r="E16" s="28">
        <v>42016</v>
      </c>
      <c r="F16" s="52">
        <v>0</v>
      </c>
      <c r="G16" s="25"/>
      <c r="H16" s="29">
        <v>42016</v>
      </c>
      <c r="I16" s="62"/>
      <c r="J16" s="81"/>
      <c r="K16" s="73" t="s">
        <v>61</v>
      </c>
      <c r="L16" s="128">
        <v>0</v>
      </c>
      <c r="M16" s="71"/>
      <c r="N16" s="116"/>
      <c r="O16" s="154"/>
      <c r="P16" s="175">
        <v>42014</v>
      </c>
      <c r="Q16" s="180">
        <v>79015.710000000006</v>
      </c>
      <c r="R16" s="160" t="s">
        <v>198</v>
      </c>
    </row>
    <row r="17" spans="1:26" ht="15.75" thickTop="1" x14ac:dyDescent="0.25">
      <c r="A17" s="21"/>
      <c r="B17" s="40">
        <v>42017</v>
      </c>
      <c r="C17" s="46">
        <v>63186.36</v>
      </c>
      <c r="D17" s="96"/>
      <c r="E17" s="28">
        <v>42017</v>
      </c>
      <c r="F17" s="52">
        <v>0</v>
      </c>
      <c r="G17" s="25"/>
      <c r="H17" s="29">
        <v>42017</v>
      </c>
      <c r="I17" s="62"/>
      <c r="J17" s="81"/>
      <c r="K17" s="73" t="s">
        <v>108</v>
      </c>
      <c r="L17" s="129">
        <v>0</v>
      </c>
      <c r="M17" s="71"/>
      <c r="N17" s="116"/>
      <c r="O17" s="154"/>
      <c r="P17" s="176"/>
      <c r="Q17" s="179">
        <f>SUM(Q6:Q16)</f>
        <v>495349.73</v>
      </c>
      <c r="S17"/>
    </row>
    <row r="18" spans="1:26" ht="18.75" x14ac:dyDescent="0.3">
      <c r="A18" s="21"/>
      <c r="B18" s="40">
        <v>42018</v>
      </c>
      <c r="C18" s="46">
        <v>34464.6</v>
      </c>
      <c r="D18" s="96"/>
      <c r="E18" s="28">
        <v>42018</v>
      </c>
      <c r="F18" s="52">
        <v>0</v>
      </c>
      <c r="G18" s="25"/>
      <c r="H18" s="29">
        <v>42018</v>
      </c>
      <c r="I18" s="62"/>
      <c r="J18" s="81"/>
      <c r="K18" s="73" t="s">
        <v>109</v>
      </c>
      <c r="L18" s="88">
        <v>0</v>
      </c>
      <c r="M18" s="71"/>
      <c r="N18" s="116"/>
      <c r="O18" s="154"/>
      <c r="P18" s="203"/>
      <c r="Q18" s="204" t="s">
        <v>201</v>
      </c>
      <c r="S18"/>
    </row>
    <row r="19" spans="1:26" x14ac:dyDescent="0.25">
      <c r="A19" s="21"/>
      <c r="B19" s="40">
        <v>42019</v>
      </c>
      <c r="C19" s="46"/>
      <c r="D19" s="96"/>
      <c r="E19" s="28">
        <v>42019</v>
      </c>
      <c r="F19" s="52">
        <v>120000</v>
      </c>
      <c r="G19" s="25"/>
      <c r="H19" s="29">
        <v>42019</v>
      </c>
      <c r="I19" s="62"/>
      <c r="J19" s="81"/>
      <c r="K19" s="73" t="s">
        <v>186</v>
      </c>
      <c r="L19" s="88">
        <v>1520</v>
      </c>
      <c r="M19" s="71"/>
      <c r="N19" s="116"/>
      <c r="O19" s="154"/>
      <c r="P19" s="176"/>
      <c r="S19"/>
      <c r="V19" s="59" t="s">
        <v>247</v>
      </c>
    </row>
    <row r="20" spans="1:26" x14ac:dyDescent="0.25">
      <c r="A20" s="21"/>
      <c r="B20" s="40"/>
      <c r="C20" s="46"/>
      <c r="D20" s="96"/>
      <c r="E20" s="28">
        <v>42032</v>
      </c>
      <c r="F20" s="52">
        <v>30000</v>
      </c>
      <c r="G20" s="25"/>
      <c r="H20" s="29"/>
      <c r="I20" s="63"/>
      <c r="J20" s="81"/>
      <c r="K20" s="130" t="s">
        <v>111</v>
      </c>
      <c r="L20" s="129">
        <v>0</v>
      </c>
      <c r="M20" s="71"/>
      <c r="N20" s="116"/>
      <c r="O20" s="154"/>
      <c r="P20" s="176">
        <v>42011</v>
      </c>
      <c r="Q20" s="81">
        <v>75593.81</v>
      </c>
      <c r="R20" s="171" t="s">
        <v>188</v>
      </c>
      <c r="S20" s="214">
        <v>42025</v>
      </c>
      <c r="T20" s="59">
        <v>75593.81</v>
      </c>
      <c r="U20" s="5" t="s">
        <v>206</v>
      </c>
      <c r="V20" s="59">
        <v>120000</v>
      </c>
    </row>
    <row r="21" spans="1:26" x14ac:dyDescent="0.25">
      <c r="A21" s="21"/>
      <c r="B21" s="40"/>
      <c r="C21" s="46"/>
      <c r="D21" s="96"/>
      <c r="E21" s="28"/>
      <c r="F21" s="52"/>
      <c r="G21" s="25"/>
      <c r="H21" s="29"/>
      <c r="I21" s="63"/>
      <c r="J21" s="82"/>
      <c r="K21" s="131"/>
      <c r="L21" s="129"/>
      <c r="M21" s="71"/>
      <c r="N21" s="116"/>
      <c r="O21" s="154"/>
      <c r="P21" s="176">
        <v>42013</v>
      </c>
      <c r="Q21" s="81">
        <v>63186.36</v>
      </c>
      <c r="R21" s="171" t="s">
        <v>189</v>
      </c>
      <c r="S21" s="214">
        <v>42025</v>
      </c>
      <c r="T21" s="59">
        <v>44406.19</v>
      </c>
      <c r="U21" s="5" t="s">
        <v>206</v>
      </c>
      <c r="V21" s="59"/>
    </row>
    <row r="22" spans="1:26" x14ac:dyDescent="0.25">
      <c r="A22" s="21"/>
      <c r="B22" s="40"/>
      <c r="C22" s="46"/>
      <c r="D22" s="96"/>
      <c r="E22" s="28"/>
      <c r="F22" s="52"/>
      <c r="G22" s="25"/>
      <c r="H22" s="29"/>
      <c r="I22" s="63"/>
      <c r="J22" s="149"/>
      <c r="K22" s="150"/>
      <c r="L22" s="129"/>
      <c r="M22" s="71"/>
      <c r="N22" s="116"/>
      <c r="O22" s="154"/>
      <c r="P22" s="176">
        <v>42014</v>
      </c>
      <c r="Q22" s="81">
        <v>34464.6</v>
      </c>
      <c r="R22" s="160" t="s">
        <v>190</v>
      </c>
      <c r="S22" s="5"/>
      <c r="T22" s="59"/>
      <c r="U22" s="5"/>
      <c r="V22" s="59"/>
    </row>
    <row r="23" spans="1:26" ht="15.75" thickBot="1" x14ac:dyDescent="0.3">
      <c r="A23" s="21"/>
      <c r="B23" s="40"/>
      <c r="C23" s="46"/>
      <c r="D23" s="96"/>
      <c r="E23" s="28"/>
      <c r="F23" s="52"/>
      <c r="G23" s="25"/>
      <c r="H23" s="29"/>
      <c r="I23" s="63"/>
      <c r="J23" s="81"/>
      <c r="K23" s="132"/>
      <c r="L23" s="129"/>
      <c r="M23" s="71"/>
      <c r="N23" s="116"/>
      <c r="O23" s="154"/>
      <c r="P23" s="175">
        <v>42014</v>
      </c>
      <c r="Q23" s="180">
        <v>79015.710000000006</v>
      </c>
      <c r="R23" s="160" t="s">
        <v>198</v>
      </c>
      <c r="S23"/>
      <c r="T23" s="44"/>
    </row>
    <row r="24" spans="1:26" ht="20.25" thickTop="1" thickBot="1" x14ac:dyDescent="0.35">
      <c r="A24" s="21"/>
      <c r="B24" s="40"/>
      <c r="C24" s="46"/>
      <c r="D24" s="96"/>
      <c r="E24" s="28"/>
      <c r="F24" s="52"/>
      <c r="G24" s="25"/>
      <c r="H24" s="29"/>
      <c r="I24" s="63"/>
      <c r="J24" s="82"/>
      <c r="K24" s="132"/>
      <c r="L24" s="129"/>
      <c r="M24" s="71"/>
      <c r="N24" s="116"/>
      <c r="O24" s="154"/>
      <c r="P24" s="176"/>
      <c r="Q24" s="201">
        <f>SUM(Q20:Q23)</f>
        <v>252260.47999999998</v>
      </c>
      <c r="S24"/>
      <c r="T24" s="44"/>
      <c r="V24" s="204" t="s">
        <v>205</v>
      </c>
      <c r="W24" s="204"/>
      <c r="X24" s="213"/>
      <c r="Y24" s="238">
        <v>42038</v>
      </c>
      <c r="Z24" s="222"/>
    </row>
    <row r="25" spans="1:26" ht="16.5" thickBot="1" x14ac:dyDescent="0.3">
      <c r="A25" s="21"/>
      <c r="B25" s="40"/>
      <c r="C25" s="46"/>
      <c r="D25" s="96"/>
      <c r="E25" s="28"/>
      <c r="F25" s="52"/>
      <c r="G25" s="25"/>
      <c r="H25" s="29"/>
      <c r="I25" s="63"/>
      <c r="J25" s="81"/>
      <c r="K25" s="132"/>
      <c r="L25" s="129"/>
      <c r="M25" s="71"/>
      <c r="N25" s="116"/>
      <c r="O25" s="154"/>
      <c r="P25" s="176">
        <v>42019</v>
      </c>
      <c r="Q25" s="180">
        <v>-120000</v>
      </c>
      <c r="R25" s="202" t="s">
        <v>200</v>
      </c>
      <c r="S25"/>
      <c r="T25" s="44"/>
      <c r="U25" s="205"/>
      <c r="V25" s="205"/>
      <c r="W25" s="205"/>
      <c r="X25" s="206"/>
      <c r="Y25" s="207"/>
      <c r="Z25" s="223"/>
    </row>
    <row r="26" spans="1:26" ht="16.5" thickTop="1" x14ac:dyDescent="0.25">
      <c r="A26" s="21"/>
      <c r="B26" s="40"/>
      <c r="C26" s="46"/>
      <c r="D26" s="96"/>
      <c r="E26" s="28"/>
      <c r="F26" s="52"/>
      <c r="G26" s="25"/>
      <c r="H26" s="29"/>
      <c r="I26" s="63"/>
      <c r="J26" s="98"/>
      <c r="K26" s="132"/>
      <c r="L26" s="129"/>
      <c r="M26" s="71"/>
      <c r="N26" s="116"/>
      <c r="O26" s="154"/>
      <c r="P26" s="176"/>
      <c r="Q26" s="201">
        <f>Q24+Q25</f>
        <v>132260.47999999998</v>
      </c>
      <c r="S26"/>
      <c r="T26" s="44"/>
      <c r="U26" s="212" t="s">
        <v>202</v>
      </c>
      <c r="V26" s="205" t="s">
        <v>195</v>
      </c>
      <c r="W26" s="205"/>
      <c r="X26" s="206" t="s">
        <v>203</v>
      </c>
      <c r="Y26" s="207" t="s">
        <v>204</v>
      </c>
      <c r="Z26" s="223"/>
    </row>
    <row r="27" spans="1:26" ht="16.5" thickBot="1" x14ac:dyDescent="0.3">
      <c r="A27" s="21"/>
      <c r="B27" s="40"/>
      <c r="C27" s="46"/>
      <c r="D27" s="96"/>
      <c r="E27" s="28"/>
      <c r="F27" s="52"/>
      <c r="G27" s="25"/>
      <c r="H27" s="29"/>
      <c r="I27" s="63"/>
      <c r="J27" s="81"/>
      <c r="K27" s="132"/>
      <c r="L27" s="129"/>
      <c r="M27" s="71"/>
      <c r="N27" s="116"/>
      <c r="O27" s="154"/>
      <c r="P27" s="176"/>
      <c r="Q27" s="180">
        <v>-85000</v>
      </c>
      <c r="R27" t="s">
        <v>199</v>
      </c>
      <c r="S27"/>
      <c r="T27" s="44"/>
      <c r="U27" s="215">
        <v>8579</v>
      </c>
      <c r="V27" s="216">
        <v>18780.169999999998</v>
      </c>
      <c r="W27" s="216" t="s">
        <v>257</v>
      </c>
      <c r="X27" s="217" t="s">
        <v>229</v>
      </c>
      <c r="Y27" s="218">
        <v>30000</v>
      </c>
      <c r="Z27" s="224">
        <v>42032</v>
      </c>
    </row>
    <row r="28" spans="1:26" ht="16.5" thickTop="1" x14ac:dyDescent="0.25">
      <c r="A28" s="21"/>
      <c r="B28" s="40"/>
      <c r="C28" s="46"/>
      <c r="D28" s="96"/>
      <c r="E28" s="28"/>
      <c r="F28" s="52"/>
      <c r="G28" s="25"/>
      <c r="H28" s="29"/>
      <c r="I28" s="63"/>
      <c r="J28" s="81"/>
      <c r="K28" s="132"/>
      <c r="L28" s="129"/>
      <c r="M28" s="71"/>
      <c r="N28" s="116"/>
      <c r="O28" s="154"/>
      <c r="P28" s="176"/>
      <c r="Q28" s="201">
        <f>Q26+Q27</f>
        <v>47260.479999999981</v>
      </c>
      <c r="S28"/>
      <c r="T28" s="44"/>
      <c r="U28" s="233">
        <v>8679</v>
      </c>
      <c r="V28" s="234">
        <v>11219.83</v>
      </c>
      <c r="W28" s="234" t="s">
        <v>236</v>
      </c>
      <c r="X28" s="217"/>
      <c r="Y28" s="218"/>
      <c r="Z28" s="224"/>
    </row>
    <row r="29" spans="1:26" ht="16.5" thickBot="1" x14ac:dyDescent="0.3">
      <c r="A29" s="21"/>
      <c r="B29" s="40"/>
      <c r="C29" s="46"/>
      <c r="D29" s="96"/>
      <c r="E29" s="28"/>
      <c r="F29" s="52"/>
      <c r="G29" s="25"/>
      <c r="H29" s="29"/>
      <c r="I29" s="63"/>
      <c r="J29" s="81"/>
      <c r="K29" s="11"/>
      <c r="L29" s="87"/>
      <c r="M29" s="153"/>
      <c r="N29" s="116"/>
      <c r="O29" s="154"/>
      <c r="P29" s="176">
        <v>42032</v>
      </c>
      <c r="Q29" s="121">
        <v>-30000</v>
      </c>
      <c r="R29" s="5" t="s">
        <v>228</v>
      </c>
      <c r="S29"/>
      <c r="U29" s="233"/>
      <c r="V29" s="234"/>
      <c r="W29" s="234"/>
      <c r="X29" s="217"/>
      <c r="Y29" s="218"/>
      <c r="Z29" s="224"/>
    </row>
    <row r="30" spans="1:26" ht="16.5" thickTop="1" x14ac:dyDescent="0.25">
      <c r="A30" s="21"/>
      <c r="B30" s="40"/>
      <c r="C30" s="46"/>
      <c r="D30" s="96"/>
      <c r="E30" s="28"/>
      <c r="F30" s="52"/>
      <c r="G30" s="25"/>
      <c r="H30" s="29"/>
      <c r="I30" s="63"/>
      <c r="J30" s="98"/>
      <c r="K30" s="11"/>
      <c r="L30" s="87"/>
      <c r="M30" s="71"/>
      <c r="N30" s="116"/>
      <c r="O30" s="154"/>
      <c r="P30" s="176"/>
      <c r="Q30" s="179">
        <f>Q29+Q28</f>
        <v>17260.479999999981</v>
      </c>
      <c r="S30"/>
      <c r="U30" s="233"/>
      <c r="V30" s="234"/>
      <c r="W30" s="234"/>
      <c r="X30" s="217"/>
      <c r="Y30" s="218"/>
      <c r="Z30" s="224"/>
    </row>
    <row r="31" spans="1:26" ht="15.75" x14ac:dyDescent="0.25">
      <c r="A31" s="21"/>
      <c r="B31" s="40"/>
      <c r="C31" s="46"/>
      <c r="D31" s="96"/>
      <c r="E31" s="28"/>
      <c r="F31" s="52"/>
      <c r="G31" s="25"/>
      <c r="H31" s="29"/>
      <c r="I31" s="63"/>
      <c r="J31" s="81"/>
      <c r="K31" s="11"/>
      <c r="L31" s="87"/>
      <c r="M31" s="71"/>
      <c r="N31" s="116"/>
      <c r="O31" s="152"/>
      <c r="P31" s="177"/>
      <c r="S31"/>
      <c r="U31" s="233"/>
      <c r="V31" s="234"/>
      <c r="W31" s="234"/>
      <c r="X31" s="217"/>
      <c r="Y31" s="218"/>
      <c r="Z31" s="224"/>
    </row>
    <row r="32" spans="1:26" ht="15.75" x14ac:dyDescent="0.25">
      <c r="A32" s="21"/>
      <c r="B32" s="40"/>
      <c r="C32" s="46"/>
      <c r="D32" s="96"/>
      <c r="E32" s="28"/>
      <c r="F32" s="52"/>
      <c r="G32" s="25"/>
      <c r="H32" s="29"/>
      <c r="I32" s="63"/>
      <c r="J32" s="81"/>
      <c r="K32" s="11"/>
      <c r="L32" s="87"/>
      <c r="M32" s="71"/>
      <c r="N32" s="116"/>
      <c r="O32" s="152"/>
      <c r="P32" s="164"/>
      <c r="S32"/>
      <c r="U32" s="242"/>
      <c r="V32" s="240"/>
      <c r="W32" s="240"/>
      <c r="X32" s="225"/>
      <c r="Y32" s="228"/>
      <c r="Z32" s="243"/>
    </row>
    <row r="33" spans="1:26" ht="16.5" thickBot="1" x14ac:dyDescent="0.3">
      <c r="A33" s="21"/>
      <c r="B33" s="40"/>
      <c r="C33" s="46"/>
      <c r="D33" s="96"/>
      <c r="E33" s="28"/>
      <c r="F33" s="52"/>
      <c r="G33" s="25"/>
      <c r="H33" s="29"/>
      <c r="I33" s="63"/>
      <c r="J33" s="81"/>
      <c r="K33" s="11"/>
      <c r="L33" s="86"/>
      <c r="M33" s="71"/>
      <c r="N33" s="116"/>
      <c r="O33" s="152"/>
      <c r="P33" s="178"/>
      <c r="S33"/>
      <c r="U33" s="244"/>
      <c r="V33" s="226">
        <v>0</v>
      </c>
      <c r="W33" s="226"/>
      <c r="X33" s="227"/>
      <c r="Y33" s="58">
        <v>0</v>
      </c>
      <c r="Z33" s="245"/>
    </row>
    <row r="34" spans="1:26" ht="16.5" thickTop="1" x14ac:dyDescent="0.25">
      <c r="A34" s="21"/>
      <c r="B34" s="40"/>
      <c r="C34" s="46"/>
      <c r="D34" s="96"/>
      <c r="E34" s="28"/>
      <c r="F34" s="52"/>
      <c r="G34" s="25"/>
      <c r="H34" s="29"/>
      <c r="I34" s="63"/>
      <c r="J34" s="81"/>
      <c r="K34" s="11"/>
      <c r="L34" s="86"/>
      <c r="M34" s="71"/>
      <c r="N34" s="116"/>
      <c r="O34" s="152"/>
      <c r="P34" s="178"/>
      <c r="S34"/>
      <c r="V34" s="208">
        <f>SUM(V27:V33)</f>
        <v>30000</v>
      </c>
      <c r="W34" s="208"/>
      <c r="X34" s="206"/>
      <c r="Y34" s="207">
        <f>SUM(Y27:Y33)</f>
        <v>30000</v>
      </c>
      <c r="Z34" s="222"/>
    </row>
    <row r="35" spans="1:26" ht="15.75" thickBot="1" x14ac:dyDescent="0.3">
      <c r="A35" s="21"/>
      <c r="B35" s="40"/>
      <c r="C35" s="46"/>
      <c r="D35" s="96"/>
      <c r="E35" s="28"/>
      <c r="F35" s="52"/>
      <c r="G35" s="25"/>
      <c r="H35" s="29"/>
      <c r="I35" s="63"/>
      <c r="J35" s="81"/>
      <c r="K35" s="11"/>
      <c r="L35" s="7"/>
      <c r="M35" s="71"/>
      <c r="N35" s="116"/>
      <c r="O35" s="152"/>
      <c r="P35" s="178"/>
      <c r="S35"/>
    </row>
    <row r="36" spans="1:26" ht="15.75" thickBot="1" x14ac:dyDescent="0.3">
      <c r="A36" s="15"/>
      <c r="B36" s="145" t="s">
        <v>163</v>
      </c>
      <c r="C36" s="146">
        <v>0</v>
      </c>
      <c r="D36" s="156"/>
      <c r="E36" s="28"/>
      <c r="F36" s="52"/>
      <c r="G36" s="25"/>
      <c r="H36" s="147"/>
      <c r="I36" s="148"/>
      <c r="J36" s="56"/>
      <c r="K36" s="11"/>
      <c r="L36" s="7"/>
      <c r="M36" s="72"/>
      <c r="N36" s="115"/>
      <c r="P36" s="38"/>
      <c r="S36"/>
    </row>
    <row r="37" spans="1:26" ht="19.5" thickBot="1" x14ac:dyDescent="0.35">
      <c r="A37" s="99"/>
      <c r="B37" s="42"/>
      <c r="C37" s="48">
        <v>0</v>
      </c>
      <c r="D37" s="156"/>
      <c r="E37" s="9"/>
      <c r="F37" s="54">
        <v>0</v>
      </c>
      <c r="H37" s="32"/>
      <c r="I37" s="65"/>
      <c r="J37" s="56"/>
      <c r="K37" s="17"/>
      <c r="L37" s="117"/>
      <c r="M37" s="801">
        <f>SUM(N5:N36)</f>
        <v>72464.17</v>
      </c>
      <c r="N37" s="802"/>
      <c r="P37" s="38"/>
      <c r="S37"/>
      <c r="V37" s="204" t="s">
        <v>205</v>
      </c>
      <c r="W37" s="204"/>
      <c r="X37" s="213"/>
      <c r="Y37" s="238"/>
      <c r="Z37" s="222"/>
    </row>
    <row r="38" spans="1:26" ht="15.75" x14ac:dyDescent="0.25">
      <c r="B38" s="43" t="s">
        <v>1</v>
      </c>
      <c r="C38" s="49">
        <f>SUM(C4:C37)</f>
        <v>524778.02</v>
      </c>
      <c r="E38" s="141" t="s">
        <v>1</v>
      </c>
      <c r="F38" s="55">
        <f>SUM(F5:F37)</f>
        <v>580326.5</v>
      </c>
      <c r="H38" s="144" t="s">
        <v>1</v>
      </c>
      <c r="I38" s="59">
        <f>SUM(I5:I37)</f>
        <v>5258.8</v>
      </c>
      <c r="J38" s="59"/>
      <c r="K38" s="18" t="s">
        <v>1</v>
      </c>
      <c r="L38" s="4">
        <f t="shared" ref="L38" si="0">SUM(L5:L37)</f>
        <v>55107.85</v>
      </c>
      <c r="M38" s="72"/>
      <c r="P38" s="38"/>
      <c r="S38"/>
      <c r="U38" s="205"/>
      <c r="V38" s="205"/>
      <c r="W38" s="205"/>
      <c r="X38" s="206"/>
      <c r="Y38" s="207"/>
      <c r="Z38" s="223"/>
    </row>
    <row r="39" spans="1:26" ht="16.5" thickBot="1" x14ac:dyDescent="0.3">
      <c r="M39" s="72"/>
      <c r="P39" s="38"/>
      <c r="S39"/>
      <c r="U39" s="212" t="s">
        <v>202</v>
      </c>
      <c r="V39" s="205" t="s">
        <v>195</v>
      </c>
      <c r="W39" s="205"/>
      <c r="X39" s="206" t="s">
        <v>203</v>
      </c>
      <c r="Y39" s="207" t="s">
        <v>204</v>
      </c>
      <c r="Z39" s="223"/>
    </row>
    <row r="40" spans="1:26" ht="16.5" thickBot="1" x14ac:dyDescent="0.3">
      <c r="A40" s="5"/>
      <c r="B40" s="118" t="s">
        <v>160</v>
      </c>
      <c r="C40" s="119">
        <v>0</v>
      </c>
      <c r="D40" s="157"/>
      <c r="E40" s="13"/>
      <c r="F40" s="56"/>
      <c r="H40" s="785" t="s">
        <v>11</v>
      </c>
      <c r="I40" s="786"/>
      <c r="J40" s="143"/>
      <c r="K40" s="787">
        <f>I38+L38</f>
        <v>60366.65</v>
      </c>
      <c r="L40" s="788"/>
      <c r="M40" s="72"/>
      <c r="P40" s="38"/>
      <c r="S40"/>
      <c r="U40" s="306" t="s">
        <v>262</v>
      </c>
      <c r="V40" s="307">
        <v>85000</v>
      </c>
      <c r="W40" s="307"/>
      <c r="X40" s="305">
        <v>42040</v>
      </c>
      <c r="Y40" s="218">
        <v>1000</v>
      </c>
      <c r="Z40" s="224"/>
    </row>
    <row r="41" spans="1:26" ht="15.75" x14ac:dyDescent="0.25">
      <c r="D41" s="779" t="s">
        <v>12</v>
      </c>
      <c r="E41" s="779"/>
      <c r="F41" s="57">
        <f>F38-K40</f>
        <v>519959.85</v>
      </c>
      <c r="I41" s="66"/>
      <c r="J41" s="66"/>
      <c r="M41" s="72"/>
      <c r="P41" s="38"/>
      <c r="S41"/>
      <c r="U41" s="233"/>
      <c r="V41" s="234"/>
      <c r="W41" s="234"/>
      <c r="X41" s="305">
        <v>42045</v>
      </c>
      <c r="Y41" s="218">
        <v>1000</v>
      </c>
      <c r="Z41" s="224"/>
    </row>
    <row r="42" spans="1:26" ht="15.75" customHeight="1" x14ac:dyDescent="0.25">
      <c r="D42" s="158"/>
      <c r="E42" s="142"/>
      <c r="F42" s="57"/>
      <c r="I42" s="66"/>
      <c r="J42" s="66"/>
      <c r="M42" s="72"/>
      <c r="P42" s="38"/>
      <c r="S42"/>
      <c r="U42" s="233"/>
      <c r="V42" s="234"/>
      <c r="W42" s="234"/>
      <c r="X42" s="305">
        <v>42056</v>
      </c>
      <c r="Y42" s="218">
        <v>1000</v>
      </c>
      <c r="Z42" s="224"/>
    </row>
    <row r="43" spans="1:26" ht="16.5" thickBot="1" x14ac:dyDescent="0.3">
      <c r="D43" s="159"/>
      <c r="E43" s="120" t="s">
        <v>0</v>
      </c>
      <c r="F43" s="121">
        <f>-C38</f>
        <v>-524778.02</v>
      </c>
      <c r="P43" s="38"/>
      <c r="S43"/>
      <c r="U43" s="233"/>
      <c r="V43" s="234"/>
      <c r="W43" s="234"/>
      <c r="X43" s="305">
        <v>42063</v>
      </c>
      <c r="Y43" s="218">
        <v>1000</v>
      </c>
      <c r="Z43" s="224"/>
    </row>
    <row r="44" spans="1:26" ht="16.5" thickTop="1" x14ac:dyDescent="0.25">
      <c r="C44" s="44" t="s">
        <v>17</v>
      </c>
      <c r="E44" s="5" t="s">
        <v>15</v>
      </c>
      <c r="F44" s="59">
        <f>SUM(F41:F43)</f>
        <v>-4818.1700000000419</v>
      </c>
      <c r="I44" s="789">
        <v>105856</v>
      </c>
      <c r="J44" s="789"/>
      <c r="K44" s="789"/>
      <c r="L44" s="2"/>
      <c r="P44" s="38"/>
      <c r="S44"/>
      <c r="U44" s="233"/>
      <c r="V44" s="234"/>
      <c r="W44" s="234"/>
      <c r="X44" s="217"/>
      <c r="Y44" s="218"/>
      <c r="Z44" s="224"/>
    </row>
    <row r="45" spans="1:26" ht="15.75" x14ac:dyDescent="0.25">
      <c r="E45" s="5"/>
      <c r="F45" s="59"/>
      <c r="I45" s="144"/>
      <c r="J45" s="144"/>
      <c r="K45" s="144"/>
      <c r="L45" s="2"/>
      <c r="P45" s="38"/>
      <c r="S45"/>
      <c r="U45" s="242"/>
      <c r="V45" s="240"/>
      <c r="W45" s="240"/>
      <c r="X45" s="225"/>
      <c r="Y45" s="228"/>
      <c r="Z45" s="243"/>
    </row>
    <row r="46" spans="1:26" ht="16.5" thickBot="1" x14ac:dyDescent="0.3">
      <c r="C46" s="345" t="s">
        <v>294</v>
      </c>
      <c r="D46" s="778" t="s">
        <v>13</v>
      </c>
      <c r="E46" s="778"/>
      <c r="F46" s="60">
        <v>142316.12</v>
      </c>
      <c r="I46" s="790"/>
      <c r="J46" s="790"/>
      <c r="K46" s="790"/>
      <c r="L46" s="34"/>
      <c r="P46" s="38"/>
      <c r="S46"/>
      <c r="U46" s="244"/>
      <c r="V46" s="226">
        <v>0</v>
      </c>
      <c r="W46" s="226"/>
      <c r="X46" s="227"/>
      <c r="Y46" s="58">
        <v>0</v>
      </c>
      <c r="Z46" s="245"/>
    </row>
    <row r="47" spans="1:26" ht="16.5" thickBot="1" x14ac:dyDescent="0.3">
      <c r="C47" s="55"/>
      <c r="D47" s="141"/>
      <c r="E47" s="141"/>
      <c r="F47" s="139"/>
      <c r="I47" s="140"/>
      <c r="J47" s="140"/>
      <c r="K47" s="140"/>
      <c r="L47" s="34"/>
      <c r="P47" s="38"/>
      <c r="S47"/>
      <c r="V47" s="208">
        <f>SUM(V40:V46)</f>
        <v>85000</v>
      </c>
      <c r="W47" s="208"/>
      <c r="X47" s="206"/>
      <c r="Y47" s="207">
        <f>SUM(Y40:Y46)</f>
        <v>4000</v>
      </c>
      <c r="Z47" s="222"/>
    </row>
    <row r="48" spans="1:26" ht="15.75" customHeight="1" thickTop="1" x14ac:dyDescent="0.25">
      <c r="E48" s="6" t="s">
        <v>16</v>
      </c>
      <c r="F48" s="49">
        <f>F46+F44</f>
        <v>137497.94999999995</v>
      </c>
      <c r="I48" s="791" t="s">
        <v>18</v>
      </c>
      <c r="J48" s="792"/>
      <c r="K48" s="803">
        <f>F48+L46</f>
        <v>137497.94999999995</v>
      </c>
      <c r="L48" s="795"/>
      <c r="P48" s="38"/>
      <c r="S48"/>
    </row>
    <row r="49" spans="4:22" customFormat="1" ht="15.75" customHeight="1" thickBot="1" x14ac:dyDescent="0.3">
      <c r="D49" s="777"/>
      <c r="E49" s="777"/>
      <c r="F49" s="56"/>
      <c r="I49" s="793"/>
      <c r="J49" s="794"/>
      <c r="K49" s="804"/>
      <c r="L49" s="796"/>
      <c r="M49" s="110"/>
      <c r="N49" s="113"/>
      <c r="O49" s="111"/>
      <c r="P49" s="38"/>
      <c r="S49" s="173"/>
      <c r="V49" s="44"/>
    </row>
    <row r="50" spans="4:22" customFormat="1" ht="15.75" thickTop="1" x14ac:dyDescent="0.25">
      <c r="D50" s="155"/>
      <c r="F50" s="44"/>
      <c r="I50" s="44"/>
      <c r="J50" s="44"/>
      <c r="M50" s="107"/>
      <c r="N50" s="113"/>
      <c r="O50" s="111"/>
      <c r="P50" s="38"/>
      <c r="S50" s="173"/>
      <c r="V50" s="44"/>
    </row>
    <row r="52" spans="4:22" customFormat="1" x14ac:dyDescent="0.25">
      <c r="D52" s="155"/>
      <c r="O52" s="111"/>
      <c r="P52" s="38"/>
      <c r="S52" s="173"/>
      <c r="V52" s="44"/>
    </row>
  </sheetData>
  <mergeCells count="13">
    <mergeCell ref="D41:E41"/>
    <mergeCell ref="I44:K44"/>
    <mergeCell ref="D46:E46"/>
    <mergeCell ref="I46:K46"/>
    <mergeCell ref="I48:J49"/>
    <mergeCell ref="K48:L49"/>
    <mergeCell ref="D49:E49"/>
    <mergeCell ref="C1:K1"/>
    <mergeCell ref="E4:F4"/>
    <mergeCell ref="I4:L4"/>
    <mergeCell ref="M37:N37"/>
    <mergeCell ref="H40:I40"/>
    <mergeCell ref="K40:L4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8"/>
  <sheetViews>
    <sheetView workbookViewId="0">
      <selection activeCell="F14" sqref="F14"/>
    </sheetView>
  </sheetViews>
  <sheetFormatPr baseColWidth="10" defaultRowHeight="15" x14ac:dyDescent="0.25"/>
  <cols>
    <col min="2" max="2" width="15.5703125" customWidth="1"/>
    <col min="3" max="3" width="28.5703125" style="44" customWidth="1"/>
  </cols>
  <sheetData>
    <row r="3" spans="2:6" ht="21" x14ac:dyDescent="0.35">
      <c r="B3" s="851" t="s">
        <v>786</v>
      </c>
      <c r="C3" s="851"/>
      <c r="D3" s="851"/>
    </row>
    <row r="4" spans="2:6" x14ac:dyDescent="0.25">
      <c r="C4" s="450" t="s">
        <v>799</v>
      </c>
      <c r="D4" s="614" t="s">
        <v>800</v>
      </c>
      <c r="E4" s="614"/>
      <c r="F4" s="614"/>
    </row>
    <row r="5" spans="2:6" ht="15.75" x14ac:dyDescent="0.25">
      <c r="B5" s="710" t="s">
        <v>787</v>
      </c>
      <c r="C5" s="332">
        <v>1440983.5</v>
      </c>
    </row>
    <row r="6" spans="2:6" ht="15.75" x14ac:dyDescent="0.25">
      <c r="B6" s="710"/>
      <c r="C6" s="332"/>
    </row>
    <row r="7" spans="2:6" ht="15.75" x14ac:dyDescent="0.25">
      <c r="B7" s="710" t="s">
        <v>788</v>
      </c>
      <c r="C7" s="332">
        <v>1400399.5</v>
      </c>
    </row>
    <row r="8" spans="2:6" ht="15.75" x14ac:dyDescent="0.25">
      <c r="B8" s="710"/>
      <c r="C8" s="332"/>
      <c r="F8" s="25"/>
    </row>
    <row r="9" spans="2:6" ht="15.75" x14ac:dyDescent="0.25">
      <c r="B9" s="710" t="s">
        <v>789</v>
      </c>
      <c r="C9" s="332">
        <v>2048827.28</v>
      </c>
    </row>
    <row r="10" spans="2:6" ht="15.75" x14ac:dyDescent="0.25">
      <c r="B10" s="710"/>
      <c r="C10" s="332"/>
    </row>
    <row r="11" spans="2:6" ht="15.75" x14ac:dyDescent="0.25">
      <c r="B11" s="710"/>
      <c r="C11" s="332"/>
    </row>
    <row r="12" spans="2:6" ht="15.75" x14ac:dyDescent="0.25">
      <c r="B12" s="710" t="s">
        <v>790</v>
      </c>
      <c r="C12" s="332">
        <v>1471722</v>
      </c>
    </row>
    <row r="13" spans="2:6" ht="15.75" x14ac:dyDescent="0.25">
      <c r="B13" s="710"/>
      <c r="C13" s="332"/>
    </row>
    <row r="14" spans="2:6" ht="15.75" x14ac:dyDescent="0.25">
      <c r="B14" s="710" t="s">
        <v>791</v>
      </c>
      <c r="C14" s="332">
        <v>1231978.8</v>
      </c>
    </row>
    <row r="15" spans="2:6" ht="15.75" x14ac:dyDescent="0.25">
      <c r="B15" s="710"/>
      <c r="C15" s="332"/>
    </row>
    <row r="16" spans="2:6" ht="15.75" x14ac:dyDescent="0.25">
      <c r="B16" s="710" t="s">
        <v>792</v>
      </c>
      <c r="C16" s="332">
        <v>1160975</v>
      </c>
    </row>
    <row r="17" spans="2:3" ht="15.75" x14ac:dyDescent="0.25">
      <c r="B17" s="710"/>
      <c r="C17" s="332"/>
    </row>
    <row r="18" spans="2:3" ht="15.75" x14ac:dyDescent="0.25">
      <c r="B18" s="710" t="s">
        <v>793</v>
      </c>
      <c r="C18" s="332">
        <v>1222912</v>
      </c>
    </row>
    <row r="19" spans="2:3" ht="15.75" x14ac:dyDescent="0.25">
      <c r="B19" s="710"/>
      <c r="C19" s="332"/>
    </row>
    <row r="20" spans="2:3" ht="15.75" x14ac:dyDescent="0.25">
      <c r="B20" s="710" t="s">
        <v>794</v>
      </c>
      <c r="C20" s="332">
        <v>1425486.77</v>
      </c>
    </row>
    <row r="21" spans="2:3" ht="15.75" x14ac:dyDescent="0.25">
      <c r="B21" s="710"/>
      <c r="C21" s="332"/>
    </row>
    <row r="22" spans="2:3" ht="15.75" x14ac:dyDescent="0.25">
      <c r="B22" s="710" t="s">
        <v>795</v>
      </c>
      <c r="C22" s="332">
        <v>1202646.44</v>
      </c>
    </row>
    <row r="23" spans="2:3" ht="15.75" x14ac:dyDescent="0.25">
      <c r="B23" s="710"/>
      <c r="C23" s="332"/>
    </row>
    <row r="24" spans="2:3" ht="15.75" x14ac:dyDescent="0.25">
      <c r="B24" s="710" t="s">
        <v>796</v>
      </c>
      <c r="C24" s="332">
        <v>1202646.44</v>
      </c>
    </row>
    <row r="25" spans="2:3" ht="15.75" x14ac:dyDescent="0.25">
      <c r="B25" s="710"/>
      <c r="C25" s="332"/>
    </row>
    <row r="26" spans="2:3" ht="15.75" x14ac:dyDescent="0.25">
      <c r="B26" s="710" t="s">
        <v>797</v>
      </c>
      <c r="C26" s="332">
        <v>1468792.14</v>
      </c>
    </row>
    <row r="27" spans="2:3" ht="15.75" x14ac:dyDescent="0.25">
      <c r="B27" s="710"/>
      <c r="C27" s="332"/>
    </row>
    <row r="28" spans="2:3" ht="15.75" x14ac:dyDescent="0.25">
      <c r="B28" s="710" t="s">
        <v>798</v>
      </c>
      <c r="C28" s="332">
        <v>1368763.45</v>
      </c>
    </row>
  </sheetData>
  <mergeCells count="1">
    <mergeCell ref="B3:D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F85"/>
  <sheetViews>
    <sheetView topLeftCell="A25" workbookViewId="0">
      <selection activeCell="E54" sqref="E54"/>
    </sheetView>
  </sheetViews>
  <sheetFormatPr baseColWidth="10" defaultRowHeight="15" x14ac:dyDescent="0.25"/>
  <cols>
    <col min="1" max="1" width="2.5703125" customWidth="1"/>
    <col min="2" max="2" width="17.7109375" style="38" customWidth="1"/>
    <col min="3" max="3" width="16.42578125" style="44" customWidth="1"/>
    <col min="4" max="4" width="9" style="155" customWidth="1"/>
    <col min="6" max="6" width="17.85546875" style="44" customWidth="1"/>
    <col min="7" max="7" width="2.85546875" customWidth="1"/>
    <col min="9" max="9" width="12.140625" style="44" customWidth="1"/>
    <col min="10" max="10" width="9.85546875" style="44" customWidth="1"/>
    <col min="12" max="12" width="11.28515625" customWidth="1"/>
    <col min="13" max="13" width="17.140625" customWidth="1"/>
    <col min="14" max="14" width="12.5703125" style="44" bestFit="1" customWidth="1"/>
    <col min="15" max="15" width="12.140625" style="195" customWidth="1"/>
    <col min="16" max="16" width="12.5703125" style="5" customWidth="1"/>
    <col min="19" max="19" width="18.7109375" bestFit="1" customWidth="1"/>
    <col min="20" max="20" width="10.140625" customWidth="1"/>
    <col min="21" max="21" width="15.28515625" style="111" customWidth="1"/>
    <col min="22" max="22" width="25.140625" style="44" bestFit="1" customWidth="1"/>
    <col min="23" max="23" width="11.42578125" style="222"/>
    <col min="25" max="25" width="11.42578125" style="276"/>
    <col min="26" max="26" width="11.42578125" style="5"/>
    <col min="27" max="27" width="12.85546875" bestFit="1" customWidth="1"/>
    <col min="29" max="29" width="12.42578125" bestFit="1" customWidth="1"/>
    <col min="31" max="31" width="18.5703125" style="13" bestFit="1" customWidth="1"/>
  </cols>
  <sheetData>
    <row r="1" spans="1:31" ht="23.25" x14ac:dyDescent="0.35">
      <c r="C1" s="780" t="s">
        <v>191</v>
      </c>
      <c r="D1" s="780"/>
      <c r="E1" s="780"/>
      <c r="F1" s="780"/>
      <c r="G1" s="780"/>
      <c r="H1" s="780"/>
      <c r="I1" s="780"/>
      <c r="J1" s="780"/>
      <c r="K1" s="780"/>
      <c r="L1" s="133" t="s">
        <v>158</v>
      </c>
      <c r="M1" s="134"/>
    </row>
    <row r="2" spans="1:31" ht="19.5" thickBot="1" x14ac:dyDescent="0.35">
      <c r="E2" s="163"/>
      <c r="F2" s="51"/>
      <c r="Y2" s="249"/>
      <c r="Z2" s="250"/>
      <c r="AA2" s="269" t="s">
        <v>255</v>
      </c>
      <c r="AB2" s="270"/>
      <c r="AC2" s="270"/>
      <c r="AD2" s="299"/>
      <c r="AE2" s="289"/>
    </row>
    <row r="3" spans="1:31" ht="19.5" thickBot="1" x14ac:dyDescent="0.35">
      <c r="C3" s="45" t="s">
        <v>0</v>
      </c>
      <c r="D3" s="3"/>
      <c r="Y3" s="258"/>
      <c r="Z3" s="259" t="s">
        <v>201</v>
      </c>
      <c r="AA3" s="199" t="s">
        <v>195</v>
      </c>
      <c r="AB3" s="221" t="s">
        <v>207</v>
      </c>
      <c r="AC3" s="200" t="s">
        <v>196</v>
      </c>
      <c r="AD3" s="300" t="s">
        <v>197</v>
      </c>
      <c r="AE3" s="289"/>
    </row>
    <row r="4" spans="1:31" ht="20.25" thickTop="1" thickBot="1" x14ac:dyDescent="0.35">
      <c r="A4" s="79" t="s">
        <v>2</v>
      </c>
      <c r="B4" s="39"/>
      <c r="C4" s="97">
        <v>142316.12</v>
      </c>
      <c r="D4" s="156"/>
      <c r="E4" s="797" t="s">
        <v>19</v>
      </c>
      <c r="F4" s="798"/>
      <c r="I4" s="783" t="s">
        <v>4</v>
      </c>
      <c r="J4" s="784"/>
      <c r="K4" s="784"/>
      <c r="L4" s="784"/>
      <c r="M4" s="69" t="s">
        <v>24</v>
      </c>
      <c r="N4" s="112" t="s">
        <v>159</v>
      </c>
      <c r="S4" s="204" t="s">
        <v>205</v>
      </c>
      <c r="T4" s="204"/>
      <c r="U4" s="213"/>
      <c r="V4" s="238">
        <v>42025</v>
      </c>
      <c r="Y4" s="249">
        <v>42016</v>
      </c>
      <c r="Z4" s="250">
        <v>8823</v>
      </c>
      <c r="AA4" s="251">
        <v>17336.5</v>
      </c>
      <c r="AB4" s="252">
        <v>42025</v>
      </c>
      <c r="AC4" s="253">
        <v>17336.5</v>
      </c>
      <c r="AD4" s="299">
        <f t="shared" ref="AD4:AD24" si="0">AA4-AC4</f>
        <v>0</v>
      </c>
      <c r="AE4" s="303"/>
    </row>
    <row r="5" spans="1:31" ht="19.5" thickTop="1" x14ac:dyDescent="0.3">
      <c r="A5" s="21"/>
      <c r="B5" s="40">
        <v>42005</v>
      </c>
      <c r="C5" s="181">
        <v>0</v>
      </c>
      <c r="D5" s="96"/>
      <c r="E5" s="28">
        <v>42005</v>
      </c>
      <c r="F5" s="185">
        <v>0</v>
      </c>
      <c r="G5" s="25"/>
      <c r="H5" s="26">
        <v>42005</v>
      </c>
      <c r="I5" s="186">
        <v>0</v>
      </c>
      <c r="J5" s="80"/>
      <c r="K5" s="122"/>
      <c r="L5" s="123"/>
      <c r="M5" s="188" t="s">
        <v>172</v>
      </c>
      <c r="N5" s="151"/>
      <c r="O5" s="196"/>
      <c r="P5" s="257"/>
      <c r="R5" s="205"/>
      <c r="S5" s="205"/>
      <c r="T5" s="205"/>
      <c r="U5" s="206"/>
      <c r="V5" s="207"/>
      <c r="W5" s="223"/>
      <c r="Y5" s="249">
        <v>42018</v>
      </c>
      <c r="Z5" s="250">
        <v>8992</v>
      </c>
      <c r="AA5" s="251">
        <v>26217.15</v>
      </c>
      <c r="AB5" s="252">
        <v>42025</v>
      </c>
      <c r="AC5" s="253">
        <v>26217.15</v>
      </c>
      <c r="AD5" s="299">
        <f t="shared" si="0"/>
        <v>0</v>
      </c>
      <c r="AE5" s="289"/>
    </row>
    <row r="6" spans="1:31" ht="15.75" x14ac:dyDescent="0.25">
      <c r="A6" s="21"/>
      <c r="B6" s="40">
        <v>42006</v>
      </c>
      <c r="C6" s="181">
        <v>0</v>
      </c>
      <c r="D6" s="96"/>
      <c r="E6" s="28">
        <v>42006</v>
      </c>
      <c r="F6" s="185">
        <v>0</v>
      </c>
      <c r="G6" s="20"/>
      <c r="H6" s="29">
        <v>42006</v>
      </c>
      <c r="I6" s="187">
        <v>0</v>
      </c>
      <c r="J6" s="81"/>
      <c r="K6" s="73" t="s">
        <v>5</v>
      </c>
      <c r="L6" s="124">
        <v>1006</v>
      </c>
      <c r="M6" s="189" t="s">
        <v>171</v>
      </c>
      <c r="N6" s="116">
        <v>0</v>
      </c>
      <c r="O6" s="196"/>
      <c r="P6" s="179"/>
      <c r="R6" s="212" t="s">
        <v>202</v>
      </c>
      <c r="S6" s="205" t="s">
        <v>195</v>
      </c>
      <c r="T6" s="205"/>
      <c r="U6" s="206" t="s">
        <v>203</v>
      </c>
      <c r="V6" s="207" t="s">
        <v>204</v>
      </c>
      <c r="W6" s="223"/>
      <c r="Y6" s="249">
        <v>42018</v>
      </c>
      <c r="Z6" s="250">
        <v>9021</v>
      </c>
      <c r="AA6" s="251">
        <v>72666.149999999994</v>
      </c>
      <c r="AB6" s="252">
        <v>42025</v>
      </c>
      <c r="AC6" s="253">
        <v>72666.149999999994</v>
      </c>
      <c r="AD6" s="299">
        <f t="shared" si="0"/>
        <v>0</v>
      </c>
      <c r="AE6" s="289"/>
    </row>
    <row r="7" spans="1:31" ht="15.75" x14ac:dyDescent="0.25">
      <c r="A7" s="21"/>
      <c r="B7" s="40">
        <v>42007</v>
      </c>
      <c r="C7" s="181">
        <v>0</v>
      </c>
      <c r="D7" s="96"/>
      <c r="E7" s="28">
        <v>42007</v>
      </c>
      <c r="F7" s="185">
        <v>0</v>
      </c>
      <c r="G7" s="25"/>
      <c r="H7" s="29">
        <v>42007</v>
      </c>
      <c r="I7" s="187">
        <v>0</v>
      </c>
      <c r="J7" s="81"/>
      <c r="K7" s="73" t="s">
        <v>3</v>
      </c>
      <c r="L7" s="125">
        <v>1596.15</v>
      </c>
      <c r="M7" s="190" t="s">
        <v>173</v>
      </c>
      <c r="N7" s="116">
        <v>0</v>
      </c>
      <c r="O7" s="196"/>
      <c r="P7" s="179"/>
      <c r="R7" s="215">
        <v>8823</v>
      </c>
      <c r="S7" s="216">
        <v>17336.5</v>
      </c>
      <c r="T7" s="216"/>
      <c r="U7" s="217">
        <v>2721544</v>
      </c>
      <c r="V7" s="241">
        <v>36790</v>
      </c>
      <c r="W7" s="224">
        <v>42016</v>
      </c>
      <c r="Y7" s="249">
        <v>42019</v>
      </c>
      <c r="Z7" s="250">
        <v>9123</v>
      </c>
      <c r="AA7" s="251">
        <v>5449.6</v>
      </c>
      <c r="AB7" s="252">
        <v>42025</v>
      </c>
      <c r="AC7" s="253">
        <v>5449.6</v>
      </c>
      <c r="AD7" s="299">
        <f t="shared" si="0"/>
        <v>0</v>
      </c>
      <c r="AE7" s="303"/>
    </row>
    <row r="8" spans="1:31" ht="15.75" x14ac:dyDescent="0.25">
      <c r="A8" s="21"/>
      <c r="B8" s="40">
        <v>42008</v>
      </c>
      <c r="C8" s="181">
        <v>0</v>
      </c>
      <c r="D8" s="96"/>
      <c r="E8" s="28">
        <v>42008</v>
      </c>
      <c r="F8" s="185">
        <v>0</v>
      </c>
      <c r="G8" s="25"/>
      <c r="H8" s="29">
        <v>42008</v>
      </c>
      <c r="I8" s="187">
        <v>0</v>
      </c>
      <c r="J8" s="81"/>
      <c r="K8" s="73" t="s">
        <v>6</v>
      </c>
      <c r="L8" s="124">
        <v>28750</v>
      </c>
      <c r="M8" s="190" t="s">
        <v>174</v>
      </c>
      <c r="N8" s="116">
        <v>0</v>
      </c>
      <c r="O8" s="196"/>
      <c r="P8" s="179"/>
      <c r="R8" s="215">
        <v>8992</v>
      </c>
      <c r="S8" s="216">
        <v>26217.15</v>
      </c>
      <c r="T8" s="216"/>
      <c r="U8" s="217">
        <v>2721548</v>
      </c>
      <c r="V8" s="241">
        <v>1390</v>
      </c>
      <c r="W8" s="224">
        <v>42016</v>
      </c>
      <c r="Y8" s="249">
        <v>42019</v>
      </c>
      <c r="Z8" s="250">
        <v>9168</v>
      </c>
      <c r="AA8" s="251">
        <v>81876.41</v>
      </c>
      <c r="AB8" s="254" t="s">
        <v>226</v>
      </c>
      <c r="AC8" s="253">
        <f>61395.1+20481.31</f>
        <v>81876.41</v>
      </c>
      <c r="AD8" s="299">
        <f t="shared" si="0"/>
        <v>0</v>
      </c>
      <c r="AE8" s="289"/>
    </row>
    <row r="9" spans="1:31" ht="15.75" x14ac:dyDescent="0.25">
      <c r="A9" s="21"/>
      <c r="B9" s="40">
        <v>42009</v>
      </c>
      <c r="C9" s="181">
        <v>0</v>
      </c>
      <c r="D9" s="96"/>
      <c r="E9" s="28">
        <v>42009</v>
      </c>
      <c r="F9" s="185">
        <v>0</v>
      </c>
      <c r="G9" s="25"/>
      <c r="H9" s="29">
        <v>42009</v>
      </c>
      <c r="I9" s="187">
        <v>0</v>
      </c>
      <c r="J9" s="81"/>
      <c r="K9" s="73" t="s">
        <v>7</v>
      </c>
      <c r="L9" s="193">
        <v>0</v>
      </c>
      <c r="M9" s="190" t="s">
        <v>175</v>
      </c>
      <c r="N9" s="116">
        <v>0</v>
      </c>
      <c r="O9" s="196"/>
      <c r="P9" s="179"/>
      <c r="R9" s="215">
        <v>9021</v>
      </c>
      <c r="S9" s="216">
        <v>72666.149999999994</v>
      </c>
      <c r="T9" s="216"/>
      <c r="U9" s="217">
        <v>2721543</v>
      </c>
      <c r="V9" s="218">
        <v>20155</v>
      </c>
      <c r="W9" s="224">
        <v>42017</v>
      </c>
      <c r="Y9" s="249">
        <v>42021</v>
      </c>
      <c r="Z9" s="250">
        <v>9367</v>
      </c>
      <c r="AA9" s="251">
        <v>26115.17</v>
      </c>
      <c r="AB9" s="252">
        <v>42032</v>
      </c>
      <c r="AC9" s="253">
        <v>26115.17</v>
      </c>
      <c r="AD9" s="299">
        <f t="shared" si="0"/>
        <v>0</v>
      </c>
      <c r="AE9" s="289"/>
    </row>
    <row r="10" spans="1:31" ht="15.75" x14ac:dyDescent="0.25">
      <c r="A10" s="21"/>
      <c r="B10" s="40">
        <v>42010</v>
      </c>
      <c r="C10" s="181">
        <v>0</v>
      </c>
      <c r="D10" s="96"/>
      <c r="E10" s="28">
        <v>42010</v>
      </c>
      <c r="F10" s="185">
        <v>0</v>
      </c>
      <c r="G10" s="25"/>
      <c r="H10" s="29">
        <v>42010</v>
      </c>
      <c r="I10" s="187">
        <v>0</v>
      </c>
      <c r="J10" s="81"/>
      <c r="K10" s="73" t="s">
        <v>8</v>
      </c>
      <c r="L10" s="193">
        <v>0</v>
      </c>
      <c r="M10" s="190" t="s">
        <v>179</v>
      </c>
      <c r="N10" s="116">
        <v>0</v>
      </c>
      <c r="O10" s="196"/>
      <c r="P10" s="179"/>
      <c r="R10" s="215">
        <v>9123</v>
      </c>
      <c r="S10" s="216">
        <v>5449.6</v>
      </c>
      <c r="T10" s="216"/>
      <c r="U10" s="217">
        <v>2721552</v>
      </c>
      <c r="V10" s="218">
        <v>27533</v>
      </c>
      <c r="W10" s="224">
        <v>42018</v>
      </c>
      <c r="Y10" s="249">
        <v>42022</v>
      </c>
      <c r="Z10" s="250">
        <v>9392</v>
      </c>
      <c r="AA10" s="251">
        <v>44915.31</v>
      </c>
      <c r="AB10" s="255">
        <v>42032</v>
      </c>
      <c r="AC10" s="253">
        <v>44915.31</v>
      </c>
      <c r="AD10" s="299">
        <f t="shared" si="0"/>
        <v>0</v>
      </c>
      <c r="AE10" s="289"/>
    </row>
    <row r="11" spans="1:31" ht="15.75" x14ac:dyDescent="0.25">
      <c r="A11" s="21"/>
      <c r="B11" s="40">
        <v>42011</v>
      </c>
      <c r="C11" s="181">
        <v>0</v>
      </c>
      <c r="D11" s="96"/>
      <c r="E11" s="28">
        <v>42011</v>
      </c>
      <c r="F11" s="185">
        <v>0</v>
      </c>
      <c r="G11" s="25"/>
      <c r="H11" s="29">
        <v>42011</v>
      </c>
      <c r="I11" s="187">
        <v>0</v>
      </c>
      <c r="J11" s="81"/>
      <c r="K11" s="73" t="s">
        <v>9</v>
      </c>
      <c r="L11" s="126">
        <v>8500</v>
      </c>
      <c r="M11" s="190" t="s">
        <v>180</v>
      </c>
      <c r="N11" s="116">
        <v>0</v>
      </c>
      <c r="O11" s="196"/>
      <c r="P11" s="239"/>
      <c r="R11" s="215">
        <v>9168</v>
      </c>
      <c r="S11" s="216">
        <v>61395.1</v>
      </c>
      <c r="T11" s="216" t="s">
        <v>227</v>
      </c>
      <c r="U11" s="217">
        <v>2721547</v>
      </c>
      <c r="V11" s="218">
        <v>36340</v>
      </c>
      <c r="W11" s="224">
        <v>42019</v>
      </c>
      <c r="Y11" s="249">
        <v>42023</v>
      </c>
      <c r="Z11" s="250">
        <v>9448</v>
      </c>
      <c r="AA11" s="251">
        <v>15481.8</v>
      </c>
      <c r="AB11" s="252">
        <v>42032</v>
      </c>
      <c r="AC11" s="253">
        <v>15481.8</v>
      </c>
      <c r="AD11" s="299">
        <f t="shared" si="0"/>
        <v>0</v>
      </c>
      <c r="AE11" s="289"/>
    </row>
    <row r="12" spans="1:31" ht="15.75" x14ac:dyDescent="0.25">
      <c r="A12" s="21"/>
      <c r="B12" s="40">
        <v>42012</v>
      </c>
      <c r="C12" s="181">
        <v>0</v>
      </c>
      <c r="D12" s="96"/>
      <c r="E12" s="28">
        <v>42012</v>
      </c>
      <c r="F12" s="185">
        <v>0</v>
      </c>
      <c r="G12" s="25"/>
      <c r="H12" s="29">
        <v>42012</v>
      </c>
      <c r="I12" s="187">
        <v>0</v>
      </c>
      <c r="J12" s="81"/>
      <c r="K12" s="73" t="s">
        <v>14</v>
      </c>
      <c r="L12" s="126">
        <v>8250</v>
      </c>
      <c r="M12" s="190" t="s">
        <v>181</v>
      </c>
      <c r="N12" s="116">
        <v>0</v>
      </c>
      <c r="O12" s="196"/>
      <c r="P12" s="179"/>
      <c r="R12" s="219"/>
      <c r="S12" s="220">
        <v>0</v>
      </c>
      <c r="T12" s="220"/>
      <c r="U12" s="217">
        <v>2721546</v>
      </c>
      <c r="V12" s="218">
        <v>60856.5</v>
      </c>
      <c r="W12" s="224">
        <v>42020</v>
      </c>
      <c r="Y12" s="249">
        <v>42023</v>
      </c>
      <c r="Z12" s="250">
        <v>9473</v>
      </c>
      <c r="AA12" s="251">
        <v>24697.1</v>
      </c>
      <c r="AB12" s="252">
        <v>42035</v>
      </c>
      <c r="AC12" s="253">
        <v>24697.1</v>
      </c>
      <c r="AD12" s="299">
        <f t="shared" si="0"/>
        <v>0</v>
      </c>
      <c r="AE12" s="289"/>
    </row>
    <row r="13" spans="1:31" ht="16.5" thickBot="1" x14ac:dyDescent="0.3">
      <c r="A13" s="21"/>
      <c r="B13" s="40">
        <v>42013</v>
      </c>
      <c r="C13" s="181">
        <v>0</v>
      </c>
      <c r="D13" s="96"/>
      <c r="E13" s="28">
        <v>42013</v>
      </c>
      <c r="F13" s="185">
        <v>0</v>
      </c>
      <c r="G13" s="25"/>
      <c r="H13" s="29">
        <v>42013</v>
      </c>
      <c r="I13" s="187">
        <v>0</v>
      </c>
      <c r="J13" s="81"/>
      <c r="K13" s="73" t="s">
        <v>10</v>
      </c>
      <c r="L13" s="126">
        <v>643</v>
      </c>
      <c r="M13" s="191" t="s">
        <v>182</v>
      </c>
      <c r="N13" s="116">
        <v>0</v>
      </c>
      <c r="O13" s="194"/>
      <c r="P13" s="179"/>
      <c r="R13" s="205"/>
      <c r="S13" s="209">
        <v>0</v>
      </c>
      <c r="T13" s="209"/>
      <c r="U13" s="210"/>
      <c r="V13" s="211">
        <v>0</v>
      </c>
      <c r="W13" s="223"/>
      <c r="Y13" s="249">
        <v>42024</v>
      </c>
      <c r="Z13" s="250">
        <v>9582</v>
      </c>
      <c r="AA13" s="251">
        <v>3575.7</v>
      </c>
      <c r="AB13" s="252">
        <v>42032</v>
      </c>
      <c r="AC13" s="253">
        <v>3575.7</v>
      </c>
      <c r="AD13" s="299">
        <f t="shared" si="0"/>
        <v>0</v>
      </c>
      <c r="AE13" s="303"/>
    </row>
    <row r="14" spans="1:31" ht="16.5" thickTop="1" x14ac:dyDescent="0.25">
      <c r="A14" s="21"/>
      <c r="B14" s="40">
        <v>42014</v>
      </c>
      <c r="C14" s="181">
        <v>0</v>
      </c>
      <c r="D14" s="96"/>
      <c r="E14" s="28">
        <v>42014</v>
      </c>
      <c r="F14" s="185">
        <v>0</v>
      </c>
      <c r="G14" s="25"/>
      <c r="H14" s="29">
        <v>42014</v>
      </c>
      <c r="I14" s="187">
        <v>0</v>
      </c>
      <c r="J14" s="81"/>
      <c r="K14" s="165" t="s">
        <v>268</v>
      </c>
      <c r="L14" s="126">
        <v>0</v>
      </c>
      <c r="M14" s="191" t="s">
        <v>184</v>
      </c>
      <c r="N14" s="116">
        <v>0</v>
      </c>
      <c r="O14" s="194"/>
      <c r="P14" s="179"/>
      <c r="R14" s="205"/>
      <c r="S14" s="208">
        <f>SUM(S7:S13)</f>
        <v>183064.5</v>
      </c>
      <c r="T14" s="208"/>
      <c r="U14" s="206"/>
      <c r="V14" s="207">
        <f>SUM(V7:V13)</f>
        <v>183064.5</v>
      </c>
      <c r="W14" s="223"/>
      <c r="Y14" s="249">
        <v>42024</v>
      </c>
      <c r="Z14" s="250">
        <v>9646</v>
      </c>
      <c r="AA14" s="251">
        <v>91512</v>
      </c>
      <c r="AB14" s="252">
        <v>42032</v>
      </c>
      <c r="AC14" s="202">
        <v>91512</v>
      </c>
      <c r="AD14" s="299">
        <f t="shared" si="0"/>
        <v>0</v>
      </c>
      <c r="AE14" s="291"/>
    </row>
    <row r="15" spans="1:31" ht="15.75" x14ac:dyDescent="0.25">
      <c r="A15" s="21"/>
      <c r="B15" s="40">
        <v>42015</v>
      </c>
      <c r="C15" s="181">
        <v>0</v>
      </c>
      <c r="D15" s="96"/>
      <c r="E15" s="28">
        <v>42015</v>
      </c>
      <c r="F15" s="185">
        <v>0</v>
      </c>
      <c r="G15" s="25"/>
      <c r="H15" s="29">
        <v>42015</v>
      </c>
      <c r="I15" s="187">
        <v>0</v>
      </c>
      <c r="J15" s="81"/>
      <c r="K15" s="73" t="s">
        <v>57</v>
      </c>
      <c r="L15" s="126">
        <v>0</v>
      </c>
      <c r="M15" s="191" t="s">
        <v>185</v>
      </c>
      <c r="N15" s="116">
        <v>0</v>
      </c>
      <c r="O15" s="194"/>
      <c r="P15" s="179"/>
      <c r="R15" s="205"/>
      <c r="S15" s="205"/>
      <c r="T15" s="205"/>
      <c r="U15" s="206"/>
      <c r="V15" s="207"/>
      <c r="W15" s="223"/>
      <c r="Y15" s="249">
        <v>42026</v>
      </c>
      <c r="Z15" s="250">
        <v>9739</v>
      </c>
      <c r="AA15" s="251">
        <v>8371.2000000000007</v>
      </c>
      <c r="AB15" s="252">
        <v>42032</v>
      </c>
      <c r="AC15" s="202">
        <v>8371.2000000000007</v>
      </c>
      <c r="AD15" s="299">
        <f t="shared" si="0"/>
        <v>0</v>
      </c>
      <c r="AE15" s="286"/>
    </row>
    <row r="16" spans="1:31" ht="16.5" thickBot="1" x14ac:dyDescent="0.3">
      <c r="A16" s="21"/>
      <c r="B16" s="40">
        <v>42016</v>
      </c>
      <c r="C16" s="46">
        <v>0</v>
      </c>
      <c r="D16" s="96"/>
      <c r="E16" s="28">
        <v>42016</v>
      </c>
      <c r="F16" s="52">
        <v>39142.5</v>
      </c>
      <c r="G16" s="25"/>
      <c r="H16" s="29">
        <v>42016</v>
      </c>
      <c r="I16" s="62">
        <v>961.8</v>
      </c>
      <c r="J16" s="81"/>
      <c r="K16" s="192" t="s">
        <v>61</v>
      </c>
      <c r="L16" s="128">
        <v>0</v>
      </c>
      <c r="M16" s="174" t="s">
        <v>192</v>
      </c>
      <c r="N16" s="116">
        <f>36790+1390</f>
        <v>38180</v>
      </c>
      <c r="O16" s="194"/>
      <c r="P16" s="179"/>
      <c r="R16" s="205"/>
      <c r="S16" s="205"/>
      <c r="T16" s="205"/>
      <c r="U16" s="206"/>
      <c r="V16" s="207"/>
      <c r="W16" s="223"/>
      <c r="Y16" s="249">
        <v>42026</v>
      </c>
      <c r="Z16" s="250">
        <v>9766</v>
      </c>
      <c r="AA16" s="251">
        <v>136207.35</v>
      </c>
      <c r="AB16" s="252">
        <v>42032</v>
      </c>
      <c r="AC16" s="202">
        <v>136207.35</v>
      </c>
      <c r="AD16" s="299">
        <f t="shared" si="0"/>
        <v>0</v>
      </c>
      <c r="AE16" s="286"/>
    </row>
    <row r="17" spans="1:32" ht="19.5" thickBot="1" x14ac:dyDescent="0.35">
      <c r="A17" s="21"/>
      <c r="B17" s="40">
        <v>42017</v>
      </c>
      <c r="C17" s="46">
        <v>904</v>
      </c>
      <c r="D17" s="96"/>
      <c r="E17" s="28">
        <v>42017</v>
      </c>
      <c r="F17" s="52">
        <v>22552.5</v>
      </c>
      <c r="G17" s="25"/>
      <c r="H17" s="29">
        <v>42017</v>
      </c>
      <c r="I17" s="62">
        <v>487</v>
      </c>
      <c r="J17" s="81"/>
      <c r="K17" s="73" t="s">
        <v>108</v>
      </c>
      <c r="L17" s="129">
        <v>0</v>
      </c>
      <c r="M17" s="174" t="s">
        <v>193</v>
      </c>
      <c r="N17" s="116">
        <v>20155</v>
      </c>
      <c r="O17" s="194"/>
      <c r="P17" s="179"/>
      <c r="S17" s="204" t="s">
        <v>205</v>
      </c>
      <c r="T17" s="204"/>
      <c r="U17" s="213"/>
      <c r="V17" s="238">
        <v>42032</v>
      </c>
      <c r="Y17" s="249">
        <v>42027</v>
      </c>
      <c r="Z17" s="250">
        <v>9881</v>
      </c>
      <c r="AA17" s="251">
        <v>61284.69</v>
      </c>
      <c r="AB17" s="254" t="s">
        <v>245</v>
      </c>
      <c r="AC17" s="202">
        <f>14270.66+47014.03</f>
        <v>61284.69</v>
      </c>
      <c r="AD17" s="299">
        <f t="shared" si="0"/>
        <v>0</v>
      </c>
      <c r="AE17" s="286"/>
    </row>
    <row r="18" spans="1:32" ht="15.75" x14ac:dyDescent="0.25">
      <c r="A18" s="21"/>
      <c r="B18" s="40">
        <v>42018</v>
      </c>
      <c r="C18" s="46">
        <v>0</v>
      </c>
      <c r="D18" s="96"/>
      <c r="E18" s="28">
        <v>42018</v>
      </c>
      <c r="F18" s="52">
        <v>28592.5</v>
      </c>
      <c r="G18" s="25"/>
      <c r="H18" s="29">
        <v>42018</v>
      </c>
      <c r="I18" s="62">
        <v>1059.83</v>
      </c>
      <c r="J18" s="81"/>
      <c r="K18" s="73" t="s">
        <v>109</v>
      </c>
      <c r="L18" s="88">
        <v>764</v>
      </c>
      <c r="M18" s="174" t="s">
        <v>194</v>
      </c>
      <c r="N18" s="116">
        <v>27533</v>
      </c>
      <c r="O18" s="194"/>
      <c r="P18" s="179"/>
      <c r="R18" s="205"/>
      <c r="S18" s="205"/>
      <c r="T18" s="205"/>
      <c r="U18" s="206"/>
      <c r="V18" s="207"/>
      <c r="W18" s="223"/>
      <c r="Y18" s="249">
        <v>42027</v>
      </c>
      <c r="Z18" s="250">
        <v>9923</v>
      </c>
      <c r="AA18" s="251">
        <v>4060.8</v>
      </c>
      <c r="AB18" s="252">
        <v>42035</v>
      </c>
      <c r="AC18" s="202">
        <v>4060.8</v>
      </c>
      <c r="AD18" s="299">
        <f t="shared" si="0"/>
        <v>0</v>
      </c>
      <c r="AE18" s="286"/>
    </row>
    <row r="19" spans="1:32" ht="15.75" x14ac:dyDescent="0.25">
      <c r="A19" s="21"/>
      <c r="B19" s="40">
        <v>42019</v>
      </c>
      <c r="C19" s="46">
        <v>2800</v>
      </c>
      <c r="D19" s="96" t="s">
        <v>208</v>
      </c>
      <c r="E19" s="28">
        <v>42019</v>
      </c>
      <c r="F19" s="52">
        <v>39860.5</v>
      </c>
      <c r="G19" s="25"/>
      <c r="H19" s="29">
        <v>42019</v>
      </c>
      <c r="I19" s="62">
        <v>720</v>
      </c>
      <c r="J19" s="81"/>
      <c r="K19" s="73" t="s">
        <v>186</v>
      </c>
      <c r="L19" s="88">
        <v>0</v>
      </c>
      <c r="M19" s="174" t="s">
        <v>211</v>
      </c>
      <c r="N19" s="116">
        <v>36340.5</v>
      </c>
      <c r="O19" s="194"/>
      <c r="P19" s="179"/>
      <c r="R19" s="212" t="s">
        <v>202</v>
      </c>
      <c r="S19" s="205" t="s">
        <v>195</v>
      </c>
      <c r="T19" s="205"/>
      <c r="U19" s="206" t="s">
        <v>203</v>
      </c>
      <c r="V19" s="207" t="s">
        <v>204</v>
      </c>
      <c r="W19" s="223"/>
      <c r="Y19" s="249">
        <v>42031</v>
      </c>
      <c r="Z19" s="250">
        <v>10249</v>
      </c>
      <c r="AA19" s="251">
        <v>7291.2</v>
      </c>
      <c r="AB19" s="252">
        <v>42035</v>
      </c>
      <c r="AC19" s="253">
        <v>7291.2</v>
      </c>
      <c r="AD19" s="299">
        <f t="shared" si="0"/>
        <v>0</v>
      </c>
      <c r="AE19" s="289"/>
    </row>
    <row r="20" spans="1:32" ht="15.75" x14ac:dyDescent="0.25">
      <c r="A20" s="21"/>
      <c r="B20" s="40">
        <v>42020</v>
      </c>
      <c r="C20" s="46">
        <v>1158</v>
      </c>
      <c r="D20" s="96" t="s">
        <v>209</v>
      </c>
      <c r="E20" s="28">
        <v>42020</v>
      </c>
      <c r="F20" s="52">
        <v>63337.5</v>
      </c>
      <c r="G20" s="25"/>
      <c r="H20" s="29">
        <v>42020</v>
      </c>
      <c r="I20" s="63">
        <v>1322.95</v>
      </c>
      <c r="J20" s="81"/>
      <c r="K20" s="130" t="s">
        <v>111</v>
      </c>
      <c r="L20" s="129">
        <v>0</v>
      </c>
      <c r="M20" s="174" t="s">
        <v>210</v>
      </c>
      <c r="N20" s="116">
        <v>60856.5</v>
      </c>
      <c r="O20" s="194"/>
      <c r="P20" s="239"/>
      <c r="R20" s="215">
        <v>9168</v>
      </c>
      <c r="S20" s="216">
        <v>20481.310000000001</v>
      </c>
      <c r="T20" s="216"/>
      <c r="U20" s="217">
        <v>2719758</v>
      </c>
      <c r="V20" s="218">
        <v>51485</v>
      </c>
      <c r="W20" s="224">
        <v>42021</v>
      </c>
      <c r="Y20" s="249">
        <v>42032</v>
      </c>
      <c r="Z20" s="268">
        <v>10332</v>
      </c>
      <c r="AA20" s="251">
        <v>18449.400000000001</v>
      </c>
      <c r="AB20" s="256">
        <v>42037</v>
      </c>
      <c r="AC20" s="266">
        <v>18449.400000000001</v>
      </c>
      <c r="AD20" s="301">
        <f t="shared" si="0"/>
        <v>0</v>
      </c>
      <c r="AE20" s="304" t="s">
        <v>256</v>
      </c>
      <c r="AF20" s="267"/>
    </row>
    <row r="21" spans="1:32" ht="15.75" x14ac:dyDescent="0.25">
      <c r="A21" s="21"/>
      <c r="B21" s="40">
        <v>42021</v>
      </c>
      <c r="C21" s="46">
        <v>0</v>
      </c>
      <c r="D21" s="96"/>
      <c r="E21" s="28">
        <v>42021</v>
      </c>
      <c r="F21" s="52">
        <v>52269</v>
      </c>
      <c r="G21" s="25"/>
      <c r="H21" s="29">
        <v>42021</v>
      </c>
      <c r="I21" s="63">
        <v>20</v>
      </c>
      <c r="J21" s="82"/>
      <c r="K21" s="131" t="s">
        <v>240</v>
      </c>
      <c r="L21" s="129">
        <v>1875</v>
      </c>
      <c r="M21" s="174" t="s">
        <v>212</v>
      </c>
      <c r="N21" s="116">
        <v>51485</v>
      </c>
      <c r="O21" s="194"/>
      <c r="P21" s="179"/>
      <c r="R21" s="233">
        <v>9367</v>
      </c>
      <c r="S21" s="234">
        <v>26115.17</v>
      </c>
      <c r="T21" s="234"/>
      <c r="U21" s="217">
        <v>2719747</v>
      </c>
      <c r="V21" s="218">
        <v>37436.5</v>
      </c>
      <c r="W21" s="224">
        <v>42022</v>
      </c>
      <c r="Y21" s="249">
        <v>42033</v>
      </c>
      <c r="Z21" s="250">
        <v>10403</v>
      </c>
      <c r="AA21" s="251">
        <v>10249.799999999999</v>
      </c>
      <c r="AB21" s="256">
        <v>42035</v>
      </c>
      <c r="AC21" s="253">
        <v>10249.799999999999</v>
      </c>
      <c r="AD21" s="299">
        <f t="shared" si="0"/>
        <v>0</v>
      </c>
      <c r="AE21" s="289"/>
    </row>
    <row r="22" spans="1:32" ht="15.75" x14ac:dyDescent="0.25">
      <c r="A22" s="21"/>
      <c r="B22" s="40">
        <v>42022</v>
      </c>
      <c r="C22" s="46">
        <v>520</v>
      </c>
      <c r="D22" s="96" t="s">
        <v>213</v>
      </c>
      <c r="E22" s="28">
        <v>42022</v>
      </c>
      <c r="F22" s="52">
        <v>46956.5</v>
      </c>
      <c r="G22" s="25"/>
      <c r="H22" s="29">
        <v>42022</v>
      </c>
      <c r="I22" s="63">
        <v>500</v>
      </c>
      <c r="J22" s="149"/>
      <c r="K22" s="150"/>
      <c r="L22" s="129"/>
      <c r="M22" s="174" t="s">
        <v>214</v>
      </c>
      <c r="N22" s="116">
        <v>37436.5</v>
      </c>
      <c r="O22" s="194"/>
      <c r="P22" s="179"/>
      <c r="R22" s="233">
        <v>9392</v>
      </c>
      <c r="S22" s="234">
        <v>44915.31</v>
      </c>
      <c r="T22" s="234"/>
      <c r="U22" s="217">
        <v>2719756</v>
      </c>
      <c r="V22" s="218">
        <v>34982</v>
      </c>
      <c r="W22" s="224">
        <v>42023</v>
      </c>
      <c r="Y22" s="249">
        <v>42034</v>
      </c>
      <c r="Z22" s="250">
        <v>10501</v>
      </c>
      <c r="AA22" s="251">
        <v>92194.74</v>
      </c>
      <c r="AB22" s="256" t="s">
        <v>259</v>
      </c>
      <c r="AC22" s="253">
        <f>66266.07+25928.67</f>
        <v>92194.74</v>
      </c>
      <c r="AD22" s="299">
        <f t="shared" si="0"/>
        <v>0</v>
      </c>
      <c r="AE22" s="289"/>
    </row>
    <row r="23" spans="1:32" ht="29.25" customHeight="1" x14ac:dyDescent="0.25">
      <c r="A23" s="21"/>
      <c r="B23" s="40">
        <v>42023</v>
      </c>
      <c r="C23" s="46">
        <v>1136</v>
      </c>
      <c r="D23" s="96" t="s">
        <v>209</v>
      </c>
      <c r="E23" s="28">
        <v>42023</v>
      </c>
      <c r="F23" s="52">
        <v>36117</v>
      </c>
      <c r="G23" s="25"/>
      <c r="H23" s="29">
        <v>42023</v>
      </c>
      <c r="I23" s="63">
        <v>0</v>
      </c>
      <c r="J23" s="81"/>
      <c r="K23" s="132"/>
      <c r="L23" s="129"/>
      <c r="M23" s="174" t="s">
        <v>215</v>
      </c>
      <c r="N23" s="116">
        <v>34981</v>
      </c>
      <c r="O23" s="194"/>
      <c r="P23" s="239"/>
      <c r="R23" s="233">
        <v>9448</v>
      </c>
      <c r="S23" s="234">
        <v>15481.8</v>
      </c>
      <c r="T23" s="234"/>
      <c r="U23" s="217">
        <v>2719757</v>
      </c>
      <c r="V23" s="218">
        <v>36206</v>
      </c>
      <c r="W23" s="224">
        <v>42024</v>
      </c>
      <c r="Y23" s="249">
        <v>42035</v>
      </c>
      <c r="Z23" s="250">
        <v>10654</v>
      </c>
      <c r="AA23" s="251">
        <v>536.4</v>
      </c>
      <c r="AB23" s="256">
        <v>42038</v>
      </c>
      <c r="AC23" s="253">
        <v>536.4</v>
      </c>
      <c r="AD23" s="299">
        <f t="shared" si="0"/>
        <v>0</v>
      </c>
      <c r="AE23" s="289"/>
    </row>
    <row r="24" spans="1:32" ht="16.5" thickBot="1" x14ac:dyDescent="0.3">
      <c r="A24" s="21"/>
      <c r="B24" s="40">
        <v>42024</v>
      </c>
      <c r="C24" s="46">
        <v>0</v>
      </c>
      <c r="D24" s="96"/>
      <c r="E24" s="28">
        <v>42024</v>
      </c>
      <c r="F24" s="52">
        <v>42127.5</v>
      </c>
      <c r="G24" s="25"/>
      <c r="H24" s="29">
        <v>42024</v>
      </c>
      <c r="I24" s="63">
        <v>245</v>
      </c>
      <c r="J24" s="82"/>
      <c r="K24" s="132"/>
      <c r="L24" s="129"/>
      <c r="M24" s="174" t="s">
        <v>216</v>
      </c>
      <c r="N24" s="116">
        <v>41882.5</v>
      </c>
      <c r="O24" s="194"/>
      <c r="P24" s="179"/>
      <c r="R24" s="233">
        <v>9582</v>
      </c>
      <c r="S24" s="234">
        <v>3575.7</v>
      </c>
      <c r="T24" s="234"/>
      <c r="U24" s="217">
        <v>2719754</v>
      </c>
      <c r="V24" s="218">
        <v>32028.5</v>
      </c>
      <c r="W24" s="224">
        <v>42025</v>
      </c>
      <c r="Y24" s="249"/>
      <c r="Z24" s="250"/>
      <c r="AA24" s="260">
        <v>0</v>
      </c>
      <c r="AB24" s="262"/>
      <c r="AC24" s="263"/>
      <c r="AD24" s="302">
        <f t="shared" si="0"/>
        <v>0</v>
      </c>
      <c r="AE24" s="289"/>
    </row>
    <row r="25" spans="1:32" ht="16.5" thickTop="1" x14ac:dyDescent="0.25">
      <c r="A25" s="21"/>
      <c r="B25" s="40">
        <v>42025</v>
      </c>
      <c r="C25" s="46">
        <v>730</v>
      </c>
      <c r="D25" s="96" t="s">
        <v>209</v>
      </c>
      <c r="E25" s="28">
        <v>42025</v>
      </c>
      <c r="F25" s="52">
        <v>32784.5</v>
      </c>
      <c r="G25" s="25"/>
      <c r="H25" s="29">
        <v>42025</v>
      </c>
      <c r="I25" s="63">
        <v>26</v>
      </c>
      <c r="J25" s="81"/>
      <c r="K25" s="132"/>
      <c r="L25" s="129"/>
      <c r="M25" s="174" t="s">
        <v>217</v>
      </c>
      <c r="N25" s="116">
        <v>32028.5</v>
      </c>
      <c r="O25" s="194"/>
      <c r="P25" s="179"/>
      <c r="R25" s="233">
        <v>9646</v>
      </c>
      <c r="S25" s="235">
        <v>91512</v>
      </c>
      <c r="T25" s="240"/>
      <c r="U25" s="225">
        <v>2719755</v>
      </c>
      <c r="V25" s="228">
        <v>26034</v>
      </c>
      <c r="W25" s="224">
        <v>42026</v>
      </c>
      <c r="AA25" s="261">
        <f>SUM(AA2:AA24)</f>
        <v>748488.47</v>
      </c>
      <c r="AB25" s="212"/>
      <c r="AC25" s="261">
        <f>SUM(AC4:AC24)</f>
        <v>748488.47</v>
      </c>
      <c r="AD25" s="2">
        <f>SUM(AD4:AD24)</f>
        <v>0</v>
      </c>
    </row>
    <row r="26" spans="1:32" ht="15.75" x14ac:dyDescent="0.25">
      <c r="A26" s="21"/>
      <c r="B26" s="40">
        <v>42026</v>
      </c>
      <c r="C26" s="46">
        <v>259</v>
      </c>
      <c r="D26" s="96" t="s">
        <v>209</v>
      </c>
      <c r="E26" s="28">
        <v>42026</v>
      </c>
      <c r="F26" s="52">
        <v>27816.5</v>
      </c>
      <c r="G26" s="25"/>
      <c r="H26" s="29">
        <v>42026</v>
      </c>
      <c r="I26" s="63">
        <v>1424</v>
      </c>
      <c r="J26" s="98"/>
      <c r="K26" s="132"/>
      <c r="L26" s="129"/>
      <c r="M26" s="174" t="s">
        <v>218</v>
      </c>
      <c r="N26" s="116">
        <v>26034</v>
      </c>
      <c r="O26" s="194"/>
      <c r="P26" s="179"/>
      <c r="R26" s="236">
        <v>9739</v>
      </c>
      <c r="S26" s="235">
        <v>8371.2000000000007</v>
      </c>
      <c r="T26" s="235"/>
      <c r="U26" s="217">
        <v>2719746</v>
      </c>
      <c r="V26" s="218">
        <v>68952</v>
      </c>
      <c r="W26" s="224">
        <v>42027</v>
      </c>
    </row>
    <row r="27" spans="1:32" ht="15.75" x14ac:dyDescent="0.25">
      <c r="A27" s="21"/>
      <c r="B27" s="40">
        <v>42027</v>
      </c>
      <c r="C27" s="46">
        <v>0</v>
      </c>
      <c r="D27" s="96"/>
      <c r="E27" s="28">
        <v>42027</v>
      </c>
      <c r="F27" s="52">
        <v>69272</v>
      </c>
      <c r="G27" s="25"/>
      <c r="H27" s="29">
        <v>42027</v>
      </c>
      <c r="I27" s="63">
        <v>320</v>
      </c>
      <c r="J27" s="81" t="s">
        <v>219</v>
      </c>
      <c r="K27" s="132"/>
      <c r="L27" s="129"/>
      <c r="M27" s="174" t="s">
        <v>220</v>
      </c>
      <c r="N27" s="116">
        <v>68952</v>
      </c>
      <c r="O27" s="194"/>
      <c r="P27" s="179"/>
      <c r="R27" s="236">
        <v>9766</v>
      </c>
      <c r="S27" s="235">
        <v>136207.35</v>
      </c>
      <c r="T27" s="235"/>
      <c r="U27" s="231" t="s">
        <v>225</v>
      </c>
      <c r="V27" s="232">
        <v>44595</v>
      </c>
      <c r="W27" s="224">
        <v>42028</v>
      </c>
    </row>
    <row r="28" spans="1:32" ht="15.75" x14ac:dyDescent="0.25">
      <c r="A28" s="21"/>
      <c r="B28" s="40">
        <v>42028</v>
      </c>
      <c r="C28" s="46">
        <f>440+754</f>
        <v>1194</v>
      </c>
      <c r="D28" s="30" t="s">
        <v>221</v>
      </c>
      <c r="E28" s="28">
        <v>42028</v>
      </c>
      <c r="F28" s="52">
        <v>57889.5</v>
      </c>
      <c r="G28" s="25"/>
      <c r="H28" s="29">
        <v>42028</v>
      </c>
      <c r="I28" s="63">
        <v>1460</v>
      </c>
      <c r="J28" s="81"/>
      <c r="K28" s="132"/>
      <c r="L28" s="129"/>
      <c r="M28" s="174" t="s">
        <v>222</v>
      </c>
      <c r="N28" s="116">
        <v>44594.5</v>
      </c>
      <c r="O28" s="194"/>
      <c r="R28" s="237">
        <v>9881</v>
      </c>
      <c r="S28" s="216">
        <v>14270.66</v>
      </c>
      <c r="T28" s="216" t="s">
        <v>227</v>
      </c>
      <c r="U28" s="231" t="s">
        <v>225</v>
      </c>
      <c r="V28" s="232">
        <v>29211.5</v>
      </c>
      <c r="W28" s="229">
        <v>42029</v>
      </c>
      <c r="AA28" t="s">
        <v>101</v>
      </c>
    </row>
    <row r="29" spans="1:32" ht="16.5" thickBot="1" x14ac:dyDescent="0.3">
      <c r="A29" s="21"/>
      <c r="B29" s="40">
        <v>42029</v>
      </c>
      <c r="C29" s="46">
        <v>0</v>
      </c>
      <c r="D29" s="96"/>
      <c r="E29" s="28">
        <v>42029</v>
      </c>
      <c r="F29" s="52">
        <v>37461.5</v>
      </c>
      <c r="G29" s="25"/>
      <c r="H29" s="29">
        <v>42029</v>
      </c>
      <c r="I29" s="63">
        <v>0</v>
      </c>
      <c r="J29" s="81"/>
      <c r="K29" s="11"/>
      <c r="L29" s="87"/>
      <c r="M29" s="153" t="s">
        <v>223</v>
      </c>
      <c r="N29" s="116">
        <v>29211.5</v>
      </c>
      <c r="O29" s="194"/>
      <c r="R29" s="230"/>
      <c r="S29" s="226">
        <v>0</v>
      </c>
      <c r="T29" s="226"/>
      <c r="U29" s="227"/>
      <c r="V29" s="58">
        <v>0</v>
      </c>
      <c r="W29" s="229"/>
      <c r="Y29" s="249">
        <v>42035</v>
      </c>
      <c r="Z29" s="250">
        <v>10691</v>
      </c>
      <c r="AA29" s="44">
        <v>62418.6</v>
      </c>
      <c r="AB29" s="21" t="s">
        <v>258</v>
      </c>
      <c r="AC29" s="44">
        <f>5676+15448.46+41294.14</f>
        <v>62418.6</v>
      </c>
      <c r="AD29" s="299">
        <f t="shared" ref="AD29:AD36" si="1">AA29-AC29</f>
        <v>0</v>
      </c>
    </row>
    <row r="30" spans="1:32" ht="16.5" thickTop="1" x14ac:dyDescent="0.25">
      <c r="A30" s="21"/>
      <c r="B30" s="40">
        <v>42030</v>
      </c>
      <c r="C30" s="46">
        <v>548</v>
      </c>
      <c r="D30" s="96" t="s">
        <v>83</v>
      </c>
      <c r="E30" s="28">
        <v>42030</v>
      </c>
      <c r="F30" s="52">
        <v>30220</v>
      </c>
      <c r="G30" s="25"/>
      <c r="H30" s="29">
        <v>42030</v>
      </c>
      <c r="I30" s="63">
        <v>108.6</v>
      </c>
      <c r="J30" s="98"/>
      <c r="K30" s="11"/>
      <c r="L30" s="87"/>
      <c r="M30" s="174" t="s">
        <v>224</v>
      </c>
      <c r="N30" s="116">
        <v>29563.5</v>
      </c>
      <c r="O30" s="194"/>
      <c r="S30" s="208">
        <f>SUM(S20:S29)</f>
        <v>360930.49999999994</v>
      </c>
      <c r="T30" s="208"/>
      <c r="U30" s="206"/>
      <c r="V30" s="207">
        <f>SUM(V20:V29)</f>
        <v>360930.5</v>
      </c>
      <c r="Y30" s="277">
        <v>42038</v>
      </c>
      <c r="Z30" s="279">
        <v>10938</v>
      </c>
      <c r="AA30" s="44">
        <v>28921</v>
      </c>
      <c r="AC30" s="44">
        <v>0</v>
      </c>
      <c r="AD30" s="299">
        <f t="shared" si="1"/>
        <v>28921</v>
      </c>
    </row>
    <row r="31" spans="1:32" ht="15.75" x14ac:dyDescent="0.25">
      <c r="A31" s="21"/>
      <c r="B31" s="40">
        <v>42031</v>
      </c>
      <c r="C31" s="46">
        <v>720</v>
      </c>
      <c r="D31" s="96" t="s">
        <v>22</v>
      </c>
      <c r="E31" s="28">
        <v>42031</v>
      </c>
      <c r="F31" s="52">
        <v>28764</v>
      </c>
      <c r="G31" s="25"/>
      <c r="H31" s="29">
        <v>42031</v>
      </c>
      <c r="I31" s="63">
        <v>1789.85</v>
      </c>
      <c r="J31" s="82" t="s">
        <v>238</v>
      </c>
      <c r="K31" s="11"/>
      <c r="L31" s="87"/>
      <c r="M31" s="174" t="s">
        <v>237</v>
      </c>
      <c r="N31" s="116">
        <v>26254</v>
      </c>
      <c r="O31" s="196"/>
      <c r="Y31" s="277">
        <v>42038</v>
      </c>
      <c r="Z31" s="279">
        <v>10947</v>
      </c>
      <c r="AA31" s="44">
        <v>55946.879999999997</v>
      </c>
      <c r="AC31" s="44">
        <v>0</v>
      </c>
      <c r="AD31" s="299">
        <f t="shared" si="1"/>
        <v>55946.879999999997</v>
      </c>
    </row>
    <row r="32" spans="1:32" ht="15.75" x14ac:dyDescent="0.25">
      <c r="A32" s="21"/>
      <c r="B32" s="40">
        <v>42032</v>
      </c>
      <c r="C32" s="46">
        <v>0</v>
      </c>
      <c r="D32" s="96"/>
      <c r="E32" s="28">
        <v>42032</v>
      </c>
      <c r="F32" s="52">
        <v>39002.5</v>
      </c>
      <c r="G32" s="25"/>
      <c r="H32" s="29">
        <v>42032</v>
      </c>
      <c r="I32" s="63">
        <v>76</v>
      </c>
      <c r="J32" s="81"/>
      <c r="K32" s="11"/>
      <c r="L32" s="87"/>
      <c r="M32" s="174" t="s">
        <v>239</v>
      </c>
      <c r="N32" s="116">
        <v>38926.5</v>
      </c>
      <c r="O32" s="196"/>
      <c r="Y32" s="277"/>
      <c r="Z32" s="279"/>
      <c r="AA32" s="44">
        <v>0</v>
      </c>
      <c r="AC32" s="44">
        <v>0</v>
      </c>
      <c r="AD32" s="299">
        <f t="shared" si="1"/>
        <v>0</v>
      </c>
    </row>
    <row r="33" spans="1:30" ht="16.5" thickBot="1" x14ac:dyDescent="0.3">
      <c r="A33" s="21"/>
      <c r="B33" s="40">
        <v>42033</v>
      </c>
      <c r="C33" s="46">
        <v>1104</v>
      </c>
      <c r="D33" s="96" t="s">
        <v>22</v>
      </c>
      <c r="E33" s="28">
        <v>42033</v>
      </c>
      <c r="F33" s="52">
        <v>30662.5</v>
      </c>
      <c r="G33" s="25"/>
      <c r="H33" s="29">
        <v>42033</v>
      </c>
      <c r="I33" s="63">
        <v>20</v>
      </c>
      <c r="J33" s="81"/>
      <c r="K33" s="11"/>
      <c r="L33" s="86"/>
      <c r="M33" s="174" t="s">
        <v>241</v>
      </c>
      <c r="N33" s="116">
        <v>27020.5</v>
      </c>
      <c r="O33" s="196"/>
      <c r="Y33" s="277"/>
      <c r="Z33" s="279"/>
      <c r="AA33" s="44">
        <v>0</v>
      </c>
      <c r="AC33" s="44">
        <v>0</v>
      </c>
      <c r="AD33" s="299">
        <f t="shared" si="1"/>
        <v>0</v>
      </c>
    </row>
    <row r="34" spans="1:30" ht="19.5" thickBot="1" x14ac:dyDescent="0.35">
      <c r="A34" s="21"/>
      <c r="B34" s="40">
        <v>42034</v>
      </c>
      <c r="C34" s="46">
        <v>1487</v>
      </c>
      <c r="D34" s="96" t="s">
        <v>242</v>
      </c>
      <c r="E34" s="28">
        <v>42034</v>
      </c>
      <c r="F34" s="52">
        <v>68891.5</v>
      </c>
      <c r="G34" s="25"/>
      <c r="H34" s="29">
        <v>42034</v>
      </c>
      <c r="I34" s="63">
        <v>26</v>
      </c>
      <c r="J34" s="81"/>
      <c r="K34" s="11"/>
      <c r="L34" s="86"/>
      <c r="M34" s="174" t="s">
        <v>243</v>
      </c>
      <c r="N34" s="116">
        <v>67378.5</v>
      </c>
      <c r="O34" s="196"/>
      <c r="S34" s="204" t="s">
        <v>205</v>
      </c>
      <c r="T34" s="204"/>
      <c r="U34" s="213"/>
      <c r="V34" s="238">
        <v>42034</v>
      </c>
      <c r="Y34" s="277"/>
      <c r="Z34" s="279"/>
      <c r="AA34" s="44">
        <v>0</v>
      </c>
      <c r="AC34" s="44">
        <v>0</v>
      </c>
      <c r="AD34" s="299">
        <f t="shared" si="1"/>
        <v>0</v>
      </c>
    </row>
    <row r="35" spans="1:30" ht="16.5" thickBot="1" x14ac:dyDescent="0.3">
      <c r="A35" s="21"/>
      <c r="B35" s="40">
        <v>42035</v>
      </c>
      <c r="C35" s="46">
        <v>0</v>
      </c>
      <c r="D35" s="96"/>
      <c r="E35" s="28">
        <v>42035</v>
      </c>
      <c r="F35" s="52">
        <v>97675.5</v>
      </c>
      <c r="G35" s="25"/>
      <c r="H35" s="29">
        <v>42035</v>
      </c>
      <c r="I35" s="63">
        <v>610</v>
      </c>
      <c r="J35" s="81"/>
      <c r="K35" s="11"/>
      <c r="L35" s="7"/>
      <c r="M35" s="174" t="s">
        <v>250</v>
      </c>
      <c r="N35" s="116">
        <v>97065.5</v>
      </c>
      <c r="O35" s="196"/>
      <c r="R35" s="205"/>
      <c r="S35" s="205"/>
      <c r="T35" s="205"/>
      <c r="U35" s="206"/>
      <c r="V35" s="207"/>
      <c r="W35" s="223"/>
      <c r="Y35" s="277"/>
      <c r="Z35" s="279"/>
      <c r="AA35" s="44">
        <v>0</v>
      </c>
      <c r="AC35" s="44">
        <v>0</v>
      </c>
      <c r="AD35" s="299">
        <f t="shared" si="1"/>
        <v>0</v>
      </c>
    </row>
    <row r="36" spans="1:30" ht="16.5" thickBot="1" x14ac:dyDescent="0.3">
      <c r="A36" s="15"/>
      <c r="B36" s="145"/>
      <c r="C36" s="146">
        <v>0</v>
      </c>
      <c r="D36" s="156"/>
      <c r="E36" s="28"/>
      <c r="F36" s="52"/>
      <c r="G36" s="25"/>
      <c r="H36" s="147"/>
      <c r="I36" s="148"/>
      <c r="J36" s="56"/>
      <c r="K36" s="11"/>
      <c r="L36" s="7"/>
      <c r="M36" s="72"/>
      <c r="N36" s="115"/>
      <c r="R36" s="212" t="s">
        <v>202</v>
      </c>
      <c r="S36" s="205" t="s">
        <v>195</v>
      </c>
      <c r="T36" s="205"/>
      <c r="U36" s="206" t="s">
        <v>203</v>
      </c>
      <c r="V36" s="207" t="s">
        <v>204</v>
      </c>
      <c r="W36" s="223"/>
      <c r="Y36" s="278"/>
      <c r="Z36" s="120"/>
      <c r="AA36" s="58">
        <v>0</v>
      </c>
      <c r="AB36" s="19"/>
      <c r="AC36" s="58">
        <v>0</v>
      </c>
      <c r="AD36" s="302">
        <f t="shared" si="1"/>
        <v>0</v>
      </c>
    </row>
    <row r="37" spans="1:30" ht="16.5" thickBot="1" x14ac:dyDescent="0.3">
      <c r="A37" s="99"/>
      <c r="B37" s="42"/>
      <c r="C37" s="48">
        <v>0</v>
      </c>
      <c r="D37" s="156"/>
      <c r="E37" s="9"/>
      <c r="F37" s="54">
        <v>0</v>
      </c>
      <c r="H37" s="32"/>
      <c r="I37" s="65"/>
      <c r="J37" s="56"/>
      <c r="K37" s="17"/>
      <c r="L37" s="117"/>
      <c r="M37" s="801">
        <f>SUM(N5:N36)</f>
        <v>835879</v>
      </c>
      <c r="N37" s="802"/>
      <c r="R37" s="215" t="s">
        <v>231</v>
      </c>
      <c r="S37" s="216">
        <v>47014.03</v>
      </c>
      <c r="T37" s="216"/>
      <c r="U37" s="217" t="s">
        <v>229</v>
      </c>
      <c r="V37" s="218">
        <v>26254</v>
      </c>
      <c r="W37" s="224">
        <v>42031</v>
      </c>
      <c r="AA37" s="201">
        <f>SUM(AA29:AA36)</f>
        <v>147286.48000000001</v>
      </c>
      <c r="AC37" s="201">
        <f>SUM(AC29:AC36)</f>
        <v>62418.6</v>
      </c>
      <c r="AD37" s="2">
        <f>SUM(AD29:AD36)</f>
        <v>84867.88</v>
      </c>
    </row>
    <row r="38" spans="1:30" ht="15.75" x14ac:dyDescent="0.25">
      <c r="B38" s="43" t="s">
        <v>1</v>
      </c>
      <c r="C38" s="49">
        <f>SUM(C5:C37)</f>
        <v>12560</v>
      </c>
      <c r="E38" s="161" t="s">
        <v>1</v>
      </c>
      <c r="F38" s="55">
        <f>SUM(F5:F37)</f>
        <v>891395.5</v>
      </c>
      <c r="H38" s="163" t="s">
        <v>1</v>
      </c>
      <c r="I38" s="59">
        <f>SUM(I5:I37)</f>
        <v>11177.03</v>
      </c>
      <c r="J38" s="59"/>
      <c r="K38" s="18" t="s">
        <v>1</v>
      </c>
      <c r="L38" s="4">
        <f t="shared" ref="L38" si="2">SUM(L5:L37)</f>
        <v>51384.15</v>
      </c>
      <c r="M38" s="72"/>
      <c r="R38" s="233" t="s">
        <v>234</v>
      </c>
      <c r="S38" s="234">
        <v>24697.1</v>
      </c>
      <c r="T38" s="234"/>
      <c r="U38" s="217" t="s">
        <v>230</v>
      </c>
      <c r="V38" s="218">
        <v>38926.5</v>
      </c>
      <c r="W38" s="224">
        <v>42032</v>
      </c>
    </row>
    <row r="39" spans="1:30" ht="16.5" thickBot="1" x14ac:dyDescent="0.3">
      <c r="M39" s="72"/>
      <c r="R39" s="233" t="s">
        <v>232</v>
      </c>
      <c r="S39" s="234">
        <v>4060.8</v>
      </c>
      <c r="T39" s="234"/>
      <c r="U39" s="217" t="s">
        <v>230</v>
      </c>
      <c r="V39" s="218">
        <v>27020.5</v>
      </c>
      <c r="W39" s="224">
        <v>42033</v>
      </c>
    </row>
    <row r="40" spans="1:30" ht="16.5" thickBot="1" x14ac:dyDescent="0.3">
      <c r="A40" s="5"/>
      <c r="B40" s="118" t="s">
        <v>246</v>
      </c>
      <c r="C40" s="119">
        <v>748488.47</v>
      </c>
      <c r="D40" s="157"/>
      <c r="E40" s="13"/>
      <c r="F40" s="56"/>
      <c r="H40" s="785" t="s">
        <v>11</v>
      </c>
      <c r="I40" s="786"/>
      <c r="J40" s="162"/>
      <c r="K40" s="787">
        <f>I38+L38</f>
        <v>62561.18</v>
      </c>
      <c r="L40" s="788"/>
      <c r="M40" s="72"/>
      <c r="R40" s="233" t="s">
        <v>233</v>
      </c>
      <c r="S40" s="234">
        <v>7291.2</v>
      </c>
      <c r="T40" s="234"/>
      <c r="U40" s="217"/>
      <c r="V40" s="218"/>
      <c r="W40" s="224"/>
      <c r="AB40" t="s">
        <v>252</v>
      </c>
      <c r="AC40" s="4">
        <f>AC25+AC37</f>
        <v>810907.07</v>
      </c>
    </row>
    <row r="41" spans="1:30" ht="15.75" x14ac:dyDescent="0.25">
      <c r="D41" s="779" t="s">
        <v>12</v>
      </c>
      <c r="E41" s="779"/>
      <c r="F41" s="57">
        <f>F38-K40</f>
        <v>828834.32</v>
      </c>
      <c r="I41" s="66"/>
      <c r="J41" s="66"/>
      <c r="M41" s="72"/>
      <c r="R41" s="233" t="s">
        <v>235</v>
      </c>
      <c r="S41" s="234">
        <v>9137.8700000000008</v>
      </c>
      <c r="T41" s="234" t="s">
        <v>236</v>
      </c>
      <c r="U41" s="217"/>
      <c r="V41" s="218"/>
      <c r="W41" s="224"/>
    </row>
    <row r="42" spans="1:30" ht="15.75" x14ac:dyDescent="0.25">
      <c r="D42" s="805" t="s">
        <v>246</v>
      </c>
      <c r="E42" s="805"/>
      <c r="F42" s="57">
        <v>-748488.47</v>
      </c>
      <c r="I42" s="66"/>
      <c r="J42" s="66"/>
      <c r="M42" s="72"/>
      <c r="R42" s="242"/>
      <c r="S42" s="240"/>
      <c r="T42" s="240"/>
      <c r="U42" s="225"/>
      <c r="V42" s="228"/>
      <c r="W42" s="243"/>
    </row>
    <row r="43" spans="1:30" ht="16.5" thickBot="1" x14ac:dyDescent="0.3">
      <c r="D43" s="159"/>
      <c r="E43" s="120" t="s">
        <v>0</v>
      </c>
      <c r="F43" s="121">
        <f>-C38</f>
        <v>-12560</v>
      </c>
      <c r="R43" s="244"/>
      <c r="S43" s="226">
        <v>0</v>
      </c>
      <c r="T43" s="226"/>
      <c r="U43" s="227"/>
      <c r="V43" s="58">
        <v>0</v>
      </c>
      <c r="W43" s="245"/>
    </row>
    <row r="44" spans="1:30" ht="16.5" thickTop="1" x14ac:dyDescent="0.25">
      <c r="C44" s="44" t="s">
        <v>17</v>
      </c>
      <c r="E44" s="5" t="s">
        <v>15</v>
      </c>
      <c r="F44" s="59">
        <f>SUM(F41:F43)</f>
        <v>67785.849999999977</v>
      </c>
      <c r="I44" s="813" t="s">
        <v>248</v>
      </c>
      <c r="J44" s="814"/>
      <c r="K44" s="803">
        <f>F48+L46</f>
        <v>211149.93</v>
      </c>
      <c r="L44" s="795"/>
      <c r="S44" s="208">
        <f>SUM(S37:S43)</f>
        <v>92201</v>
      </c>
      <c r="T44" s="208"/>
      <c r="U44" s="206"/>
      <c r="V44" s="207">
        <f>SUM(V37:V43)</f>
        <v>92201</v>
      </c>
    </row>
    <row r="45" spans="1:30" ht="16.5" thickBot="1" x14ac:dyDescent="0.3">
      <c r="D45" s="265" t="s">
        <v>253</v>
      </c>
      <c r="E45" s="5" t="s">
        <v>247</v>
      </c>
      <c r="F45" s="59">
        <v>58927.1</v>
      </c>
      <c r="I45" s="815"/>
      <c r="J45" s="816"/>
      <c r="K45" s="804"/>
      <c r="L45" s="796"/>
      <c r="M45" s="110"/>
      <c r="R45" s="140"/>
      <c r="S45" s="246"/>
      <c r="T45" s="246"/>
      <c r="U45" s="136"/>
      <c r="V45" s="56"/>
      <c r="W45" s="247"/>
    </row>
    <row r="46" spans="1:30" ht="17.25" thickTop="1" thickBot="1" x14ac:dyDescent="0.3">
      <c r="C46" s="55"/>
      <c r="D46" s="778" t="s">
        <v>13</v>
      </c>
      <c r="E46" s="778"/>
      <c r="F46" s="60">
        <v>84436.98</v>
      </c>
      <c r="I46" s="790"/>
      <c r="J46" s="790"/>
      <c r="K46" s="812"/>
      <c r="L46" s="34"/>
    </row>
    <row r="47" spans="1:30" ht="19.5" thickBot="1" x14ac:dyDescent="0.35">
      <c r="C47" s="55"/>
      <c r="D47" s="161"/>
      <c r="E47" s="161"/>
      <c r="F47" s="139"/>
      <c r="H47" s="19"/>
      <c r="I47" s="248" t="s">
        <v>254</v>
      </c>
      <c r="J47" s="248"/>
      <c r="K47" s="806">
        <v>142316.12</v>
      </c>
      <c r="L47" s="807"/>
      <c r="S47" s="204" t="s">
        <v>205</v>
      </c>
      <c r="T47" s="204"/>
      <c r="U47" s="213"/>
      <c r="V47" s="238">
        <v>42035</v>
      </c>
    </row>
    <row r="48" spans="1:30" ht="17.25" thickTop="1" thickBot="1" x14ac:dyDescent="0.3">
      <c r="E48" s="6" t="s">
        <v>16</v>
      </c>
      <c r="F48" s="264">
        <f>F44+F45+F46</f>
        <v>211149.93</v>
      </c>
      <c r="R48" s="205"/>
      <c r="S48" s="205"/>
      <c r="T48" s="205"/>
      <c r="U48" s="206"/>
      <c r="V48" s="207"/>
      <c r="W48" s="223"/>
    </row>
    <row r="49" spans="4:31" customFormat="1" ht="21.75" customHeight="1" thickBot="1" x14ac:dyDescent="0.35">
      <c r="D49" s="777"/>
      <c r="E49" s="777"/>
      <c r="F49" s="56"/>
      <c r="I49" s="810" t="s">
        <v>249</v>
      </c>
      <c r="J49" s="811"/>
      <c r="K49" s="808">
        <f>K44-K47</f>
        <v>68833.81</v>
      </c>
      <c r="L49" s="809"/>
      <c r="N49" s="113"/>
      <c r="O49" s="195"/>
      <c r="P49" s="5"/>
      <c r="R49" s="212" t="s">
        <v>202</v>
      </c>
      <c r="S49" s="205" t="s">
        <v>195</v>
      </c>
      <c r="T49" s="205"/>
      <c r="U49" s="206" t="s">
        <v>203</v>
      </c>
      <c r="V49" s="207" t="s">
        <v>204</v>
      </c>
      <c r="W49" s="223"/>
      <c r="Y49" s="276"/>
      <c r="Z49" s="5"/>
      <c r="AE49" s="13"/>
    </row>
    <row r="50" spans="4:31" customFormat="1" ht="15.75" x14ac:dyDescent="0.25">
      <c r="D50" s="155"/>
      <c r="F50" s="44"/>
      <c r="I50" s="44"/>
      <c r="J50" s="44"/>
      <c r="M50" s="107"/>
      <c r="N50" s="113"/>
      <c r="O50" s="195"/>
      <c r="P50" s="5"/>
      <c r="R50" s="215" t="s">
        <v>235</v>
      </c>
      <c r="S50" s="216">
        <v>1111.93</v>
      </c>
      <c r="T50" s="216"/>
      <c r="U50" s="217" t="s">
        <v>229</v>
      </c>
      <c r="V50" s="218">
        <v>67378</v>
      </c>
      <c r="W50" s="224">
        <v>42035</v>
      </c>
      <c r="Y50" s="276"/>
      <c r="Z50" s="5"/>
      <c r="AE50" s="13"/>
    </row>
    <row r="51" spans="4:31" customFormat="1" ht="15.75" x14ac:dyDescent="0.25">
      <c r="D51" s="155"/>
      <c r="F51" s="44"/>
      <c r="I51" s="44"/>
      <c r="J51" s="44"/>
      <c r="N51" s="44"/>
      <c r="O51" s="195"/>
      <c r="P51" s="5"/>
      <c r="R51" s="233" t="s">
        <v>244</v>
      </c>
      <c r="S51" s="234">
        <v>66266.070000000007</v>
      </c>
      <c r="T51" s="234"/>
      <c r="U51" s="217"/>
      <c r="V51" s="218"/>
      <c r="W51" s="224"/>
      <c r="Y51" s="276"/>
      <c r="Z51" s="5"/>
      <c r="AE51" s="13"/>
    </row>
    <row r="52" spans="4:31" customFormat="1" ht="15.75" x14ac:dyDescent="0.25">
      <c r="D52" s="155"/>
      <c r="O52" s="195"/>
      <c r="P52" s="5"/>
      <c r="R52" s="233"/>
      <c r="S52" s="234"/>
      <c r="T52" s="234"/>
      <c r="U52" s="217"/>
      <c r="V52" s="218"/>
      <c r="W52" s="224"/>
      <c r="Y52" s="276"/>
      <c r="Z52" s="5"/>
      <c r="AE52" s="13"/>
    </row>
    <row r="53" spans="4:31" customFormat="1" ht="15.75" x14ac:dyDescent="0.25">
      <c r="D53" s="155"/>
      <c r="F53" s="44"/>
      <c r="I53" s="44"/>
      <c r="J53" s="44"/>
      <c r="N53" s="44"/>
      <c r="O53" s="195"/>
      <c r="P53" s="5"/>
      <c r="R53" s="233"/>
      <c r="S53" s="234"/>
      <c r="T53" s="234"/>
      <c r="U53" s="217"/>
      <c r="V53" s="218"/>
      <c r="W53" s="224"/>
      <c r="Y53" s="276"/>
      <c r="Z53" s="5"/>
      <c r="AE53" s="13"/>
    </row>
    <row r="54" spans="4:31" customFormat="1" ht="15.75" x14ac:dyDescent="0.25">
      <c r="D54" s="155"/>
      <c r="F54" s="44"/>
      <c r="I54" s="44"/>
      <c r="J54" s="44"/>
      <c r="N54" s="44"/>
      <c r="O54" s="195"/>
      <c r="P54" s="5"/>
      <c r="R54" s="233"/>
      <c r="S54" s="234"/>
      <c r="T54" s="234" t="s">
        <v>236</v>
      </c>
      <c r="U54" s="217"/>
      <c r="V54" s="218"/>
      <c r="W54" s="224"/>
      <c r="Y54" s="276"/>
      <c r="Z54" s="5"/>
      <c r="AE54" s="13"/>
    </row>
    <row r="55" spans="4:31" customFormat="1" ht="15.75" x14ac:dyDescent="0.25">
      <c r="D55" s="155"/>
      <c r="F55" s="44"/>
      <c r="I55" s="44"/>
      <c r="J55" s="44"/>
      <c r="N55" s="44"/>
      <c r="O55" s="195"/>
      <c r="P55" s="5"/>
      <c r="R55" s="242"/>
      <c r="S55" s="240"/>
      <c r="T55" s="240"/>
      <c r="U55" s="225"/>
      <c r="V55" s="228"/>
      <c r="W55" s="243"/>
      <c r="Y55" s="276"/>
      <c r="Z55" s="5"/>
      <c r="AE55" s="13"/>
    </row>
    <row r="56" spans="4:31" customFormat="1" ht="16.5" thickBot="1" x14ac:dyDescent="0.3">
      <c r="D56" s="155"/>
      <c r="F56" s="44"/>
      <c r="I56" s="44"/>
      <c r="J56" s="44"/>
      <c r="N56" s="44"/>
      <c r="O56" s="195"/>
      <c r="P56" s="5"/>
      <c r="R56" s="244"/>
      <c r="S56" s="226">
        <v>0</v>
      </c>
      <c r="T56" s="226"/>
      <c r="U56" s="227"/>
      <c r="V56" s="58">
        <v>0</v>
      </c>
      <c r="W56" s="245"/>
      <c r="Y56" s="276"/>
      <c r="Z56" s="5"/>
      <c r="AE56" s="13"/>
    </row>
    <row r="57" spans="4:31" customFormat="1" ht="16.5" thickTop="1" x14ac:dyDescent="0.25">
      <c r="D57" s="155"/>
      <c r="F57" s="44"/>
      <c r="I57" s="44"/>
      <c r="J57" s="44"/>
      <c r="N57" s="44"/>
      <c r="O57" s="195"/>
      <c r="P57" s="5"/>
      <c r="S57" s="208">
        <f>SUM(S50:S56)</f>
        <v>67378</v>
      </c>
      <c r="T57" s="208"/>
      <c r="U57" s="206"/>
      <c r="V57" s="207">
        <f>SUM(V50:V56)</f>
        <v>67378</v>
      </c>
      <c r="W57" s="222"/>
      <c r="Y57" s="276"/>
      <c r="Z57" s="5"/>
      <c r="AE57" s="13"/>
    </row>
    <row r="58" spans="4:31" customFormat="1" x14ac:dyDescent="0.25">
      <c r="D58" s="155"/>
      <c r="F58" s="44"/>
      <c r="I58" s="44"/>
      <c r="J58" s="44"/>
      <c r="N58" s="44"/>
      <c r="O58" s="195"/>
      <c r="P58" s="5"/>
      <c r="U58" s="111"/>
      <c r="V58" s="44"/>
      <c r="W58" s="222"/>
      <c r="Y58" s="276"/>
      <c r="Z58" s="5"/>
      <c r="AE58" s="13"/>
    </row>
    <row r="59" spans="4:31" customFormat="1" ht="15.75" thickBot="1" x14ac:dyDescent="0.3">
      <c r="D59" s="155"/>
      <c r="F59" s="44"/>
      <c r="I59" s="44"/>
      <c r="J59" s="44"/>
      <c r="N59" s="44"/>
      <c r="O59" s="195"/>
      <c r="P59" s="5"/>
      <c r="U59" s="111"/>
      <c r="V59" s="44"/>
      <c r="W59" s="222"/>
      <c r="Y59" s="276"/>
      <c r="Z59" s="5"/>
      <c r="AE59" s="13"/>
    </row>
    <row r="60" spans="4:31" customFormat="1" ht="19.5" thickBot="1" x14ac:dyDescent="0.35">
      <c r="D60" s="155"/>
      <c r="F60" s="44"/>
      <c r="I60" s="44"/>
      <c r="J60" s="44"/>
      <c r="N60" s="44"/>
      <c r="O60" s="195"/>
      <c r="P60" s="5"/>
      <c r="S60" s="204" t="s">
        <v>205</v>
      </c>
      <c r="T60" s="204"/>
      <c r="U60" s="213"/>
      <c r="V60" s="238">
        <v>42037</v>
      </c>
      <c r="W60" s="222"/>
      <c r="Y60" s="276"/>
      <c r="Z60" s="5"/>
      <c r="AE60" s="13"/>
    </row>
    <row r="61" spans="4:31" customFormat="1" ht="15.75" x14ac:dyDescent="0.25">
      <c r="D61" s="155"/>
      <c r="F61" s="44"/>
      <c r="I61" s="44"/>
      <c r="J61" s="44"/>
      <c r="N61" s="44"/>
      <c r="O61" s="195"/>
      <c r="P61" s="5"/>
      <c r="R61" s="205"/>
      <c r="S61" s="205"/>
      <c r="T61" s="205"/>
      <c r="U61" s="206"/>
      <c r="V61" s="207"/>
      <c r="W61" s="223"/>
      <c r="X61" s="13"/>
      <c r="Y61" s="276"/>
      <c r="Z61" s="5"/>
      <c r="AE61" s="13"/>
    </row>
    <row r="62" spans="4:31" customFormat="1" ht="15.75" x14ac:dyDescent="0.25">
      <c r="D62" s="155"/>
      <c r="F62" s="44"/>
      <c r="I62" s="44"/>
      <c r="J62" s="44"/>
      <c r="N62" s="44"/>
      <c r="O62" s="195"/>
      <c r="P62" s="5"/>
      <c r="R62" s="212" t="s">
        <v>202</v>
      </c>
      <c r="S62" s="205" t="s">
        <v>195</v>
      </c>
      <c r="T62" s="205"/>
      <c r="U62" s="206" t="s">
        <v>203</v>
      </c>
      <c r="V62" s="207" t="s">
        <v>204</v>
      </c>
      <c r="W62" s="223"/>
      <c r="X62" s="13"/>
      <c r="Y62" s="276"/>
      <c r="Z62" s="5"/>
      <c r="AE62" s="13"/>
    </row>
    <row r="63" spans="4:31" customFormat="1" ht="15.75" x14ac:dyDescent="0.25">
      <c r="D63" s="155"/>
      <c r="F63" s="44"/>
      <c r="I63" s="44"/>
      <c r="J63" s="44"/>
      <c r="N63" s="44"/>
      <c r="O63" s="195"/>
      <c r="P63" s="5"/>
      <c r="R63" s="215">
        <v>10691</v>
      </c>
      <c r="S63" s="216">
        <v>5676</v>
      </c>
      <c r="T63" s="216"/>
      <c r="U63" s="217" t="s">
        <v>229</v>
      </c>
      <c r="V63" s="218">
        <v>5676</v>
      </c>
      <c r="W63" s="224">
        <v>42025</v>
      </c>
      <c r="X63" s="13"/>
      <c r="Y63" s="276"/>
      <c r="Z63" s="5"/>
      <c r="AE63" s="13"/>
    </row>
    <row r="64" spans="4:31" customFormat="1" ht="15.75" x14ac:dyDescent="0.25">
      <c r="D64" s="155"/>
      <c r="F64" s="44"/>
      <c r="I64" s="44"/>
      <c r="J64" s="44"/>
      <c r="N64" s="44"/>
      <c r="O64" s="195"/>
      <c r="P64" s="5"/>
      <c r="R64" s="233"/>
      <c r="S64" s="234"/>
      <c r="T64" s="234"/>
      <c r="U64" s="217" t="s">
        <v>251</v>
      </c>
      <c r="V64" s="218"/>
      <c r="W64" s="224"/>
      <c r="X64" s="13"/>
      <c r="Y64" s="276"/>
      <c r="Z64" s="5"/>
      <c r="AE64" s="13"/>
    </row>
    <row r="65" spans="18:31" customFormat="1" ht="15.75" x14ac:dyDescent="0.25">
      <c r="R65" s="233"/>
      <c r="S65" s="234"/>
      <c r="T65" s="234"/>
      <c r="U65" s="217"/>
      <c r="V65" s="218"/>
      <c r="W65" s="224"/>
      <c r="X65" s="13"/>
      <c r="AE65" s="13"/>
    </row>
    <row r="66" spans="18:31" customFormat="1" ht="15.75" x14ac:dyDescent="0.25">
      <c r="R66" s="233"/>
      <c r="S66" s="234"/>
      <c r="T66" s="234"/>
      <c r="U66" s="217"/>
      <c r="V66" s="218"/>
      <c r="W66" s="224"/>
      <c r="X66" s="13"/>
      <c r="AE66" s="13"/>
    </row>
    <row r="67" spans="18:31" customFormat="1" ht="15.75" x14ac:dyDescent="0.25">
      <c r="R67" s="233"/>
      <c r="S67" s="234"/>
      <c r="T67" s="234"/>
      <c r="U67" s="217"/>
      <c r="V67" s="218"/>
      <c r="W67" s="224"/>
      <c r="X67" s="13"/>
      <c r="AE67" s="13"/>
    </row>
    <row r="68" spans="18:31" customFormat="1" ht="15.75" x14ac:dyDescent="0.25">
      <c r="R68" s="242"/>
      <c r="S68" s="240"/>
      <c r="T68" s="240"/>
      <c r="U68" s="225"/>
      <c r="V68" s="228"/>
      <c r="W68" s="243"/>
      <c r="X68" s="13"/>
      <c r="AE68" s="13"/>
    </row>
    <row r="69" spans="18:31" customFormat="1" ht="16.5" thickBot="1" x14ac:dyDescent="0.3">
      <c r="R69" s="244"/>
      <c r="S69" s="226">
        <v>0</v>
      </c>
      <c r="T69" s="226"/>
      <c r="U69" s="227"/>
      <c r="V69" s="58">
        <v>0</v>
      </c>
      <c r="W69" s="245"/>
      <c r="X69" s="13"/>
      <c r="AE69" s="13"/>
    </row>
    <row r="70" spans="18:31" customFormat="1" ht="16.5" thickTop="1" x14ac:dyDescent="0.25">
      <c r="S70" s="208">
        <f>SUM(S63:S69)</f>
        <v>5676</v>
      </c>
      <c r="T70" s="208"/>
      <c r="U70" s="206"/>
      <c r="V70" s="207">
        <f>SUM(V63:V69)</f>
        <v>5676</v>
      </c>
      <c r="W70" s="222"/>
      <c r="X70" s="13"/>
      <c r="AE70" s="13"/>
    </row>
    <row r="71" spans="18:31" customFormat="1" ht="15.75" x14ac:dyDescent="0.25">
      <c r="R71" s="13"/>
      <c r="S71" s="275"/>
      <c r="T71" s="275"/>
      <c r="U71" s="271"/>
      <c r="V71" s="272"/>
      <c r="W71" s="247"/>
      <c r="X71" s="13"/>
      <c r="AE71" s="13"/>
    </row>
    <row r="72" spans="18:31" customFormat="1" x14ac:dyDescent="0.25">
      <c r="R72" s="13"/>
      <c r="S72" s="13"/>
      <c r="T72" s="13"/>
      <c r="U72" s="136"/>
      <c r="V72" s="56"/>
      <c r="W72" s="247"/>
      <c r="X72" s="13"/>
      <c r="AE72" s="13"/>
    </row>
    <row r="73" spans="18:31" customFormat="1" ht="15.75" thickBot="1" x14ac:dyDescent="0.3">
      <c r="U73" s="111"/>
      <c r="V73" s="44"/>
      <c r="W73" s="222"/>
      <c r="AE73" s="13"/>
    </row>
    <row r="74" spans="18:31" customFormat="1" ht="19.5" thickBot="1" x14ac:dyDescent="0.35">
      <c r="S74" s="204" t="s">
        <v>205</v>
      </c>
      <c r="T74" s="204"/>
      <c r="U74" s="213"/>
      <c r="V74" s="238">
        <v>42038</v>
      </c>
      <c r="W74" s="222"/>
      <c r="AE74" s="13"/>
    </row>
    <row r="75" spans="18:31" customFormat="1" ht="15.75" x14ac:dyDescent="0.25">
      <c r="R75" s="205"/>
      <c r="S75" s="205"/>
      <c r="T75" s="205"/>
      <c r="U75" s="206"/>
      <c r="V75" s="207"/>
      <c r="W75" s="223"/>
      <c r="AE75" s="13"/>
    </row>
    <row r="76" spans="18:31" customFormat="1" ht="15.75" x14ac:dyDescent="0.25">
      <c r="R76" s="212" t="s">
        <v>202</v>
      </c>
      <c r="S76" s="205" t="s">
        <v>195</v>
      </c>
      <c r="T76" s="205"/>
      <c r="U76" s="206" t="s">
        <v>203</v>
      </c>
      <c r="V76" s="207" t="s">
        <v>204</v>
      </c>
      <c r="W76" s="223"/>
      <c r="AE76" s="13"/>
    </row>
    <row r="77" spans="18:31" customFormat="1" ht="15.75" x14ac:dyDescent="0.25">
      <c r="R77" s="215">
        <v>10332</v>
      </c>
      <c r="S77" s="216">
        <v>18449.400000000001</v>
      </c>
      <c r="T77" s="216"/>
      <c r="U77" s="217">
        <v>2719748</v>
      </c>
      <c r="V77" s="218">
        <v>29563.5</v>
      </c>
      <c r="W77" s="224">
        <v>42030</v>
      </c>
      <c r="AE77" s="13"/>
    </row>
    <row r="78" spans="18:31" customFormat="1" ht="15.75" x14ac:dyDescent="0.25">
      <c r="R78" s="233">
        <v>10501</v>
      </c>
      <c r="S78" s="234">
        <v>25928.67</v>
      </c>
      <c r="T78" s="234" t="s">
        <v>257</v>
      </c>
      <c r="U78" s="217">
        <v>2720771</v>
      </c>
      <c r="V78" s="218">
        <v>97065.5</v>
      </c>
      <c r="W78" s="224">
        <v>42035</v>
      </c>
      <c r="AE78" s="13"/>
    </row>
    <row r="79" spans="18:31" customFormat="1" ht="15.75" x14ac:dyDescent="0.25">
      <c r="R79" s="233">
        <v>10654</v>
      </c>
      <c r="S79" s="234">
        <v>536.4</v>
      </c>
      <c r="T79" s="234"/>
      <c r="U79" s="217"/>
      <c r="V79" s="218"/>
      <c r="W79" s="224"/>
      <c r="AE79" s="13"/>
    </row>
    <row r="80" spans="18:31" customFormat="1" ht="15.75" x14ac:dyDescent="0.25">
      <c r="R80" s="233">
        <v>10691</v>
      </c>
      <c r="S80" s="234">
        <v>15448.46</v>
      </c>
      <c r="T80" s="234" t="s">
        <v>236</v>
      </c>
      <c r="U80" s="217"/>
      <c r="V80" s="218"/>
      <c r="W80" s="224"/>
      <c r="AE80" s="13"/>
    </row>
    <row r="81" spans="18:31" customFormat="1" ht="15.75" x14ac:dyDescent="0.25">
      <c r="R81" s="233">
        <v>10691</v>
      </c>
      <c r="S81" s="234">
        <v>41294.14</v>
      </c>
      <c r="T81" s="234"/>
      <c r="U81" s="217"/>
      <c r="V81" s="218"/>
      <c r="W81" s="224"/>
      <c r="AE81" s="13"/>
    </row>
    <row r="82" spans="18:31" customFormat="1" ht="15.75" x14ac:dyDescent="0.25">
      <c r="R82" s="242">
        <v>10938</v>
      </c>
      <c r="S82" s="240">
        <v>24971.93</v>
      </c>
      <c r="T82" s="240" t="s">
        <v>236</v>
      </c>
      <c r="U82" s="225"/>
      <c r="V82" s="228"/>
      <c r="W82" s="243"/>
      <c r="AE82" s="13"/>
    </row>
    <row r="83" spans="18:31" customFormat="1" ht="16.5" thickBot="1" x14ac:dyDescent="0.3">
      <c r="R83" s="244"/>
      <c r="S83" s="226">
        <v>0</v>
      </c>
      <c r="T83" s="226"/>
      <c r="U83" s="227"/>
      <c r="V83" s="58">
        <v>0</v>
      </c>
      <c r="W83" s="245"/>
      <c r="AE83" s="13"/>
    </row>
    <row r="84" spans="18:31" customFormat="1" ht="16.5" thickTop="1" x14ac:dyDescent="0.25">
      <c r="S84" s="208">
        <f>SUM(S77:S83)</f>
        <v>126629</v>
      </c>
      <c r="T84" s="208"/>
      <c r="U84" s="206"/>
      <c r="V84" s="207">
        <f>SUM(V77:V83)</f>
        <v>126629</v>
      </c>
      <c r="W84" s="222"/>
      <c r="AE84" s="13"/>
    </row>
    <row r="85" spans="18:31" customFormat="1" ht="15.75" x14ac:dyDescent="0.25">
      <c r="R85" s="13"/>
      <c r="S85" s="275"/>
      <c r="T85" s="275"/>
      <c r="U85" s="271"/>
      <c r="V85" s="272"/>
      <c r="W85" s="247"/>
      <c r="AE85" s="13"/>
    </row>
  </sheetData>
  <mergeCells count="16">
    <mergeCell ref="D42:E42"/>
    <mergeCell ref="K47:L47"/>
    <mergeCell ref="K49:L49"/>
    <mergeCell ref="I49:J49"/>
    <mergeCell ref="D41:E41"/>
    <mergeCell ref="D46:E46"/>
    <mergeCell ref="I46:K46"/>
    <mergeCell ref="I44:J45"/>
    <mergeCell ref="K44:L45"/>
    <mergeCell ref="D49:E49"/>
    <mergeCell ref="C1:K1"/>
    <mergeCell ref="E4:F4"/>
    <mergeCell ref="I4:L4"/>
    <mergeCell ref="M37:N37"/>
    <mergeCell ref="H40:I40"/>
    <mergeCell ref="K40:L40"/>
  </mergeCells>
  <pageMargins left="0.51181102362204722" right="0.11811023622047245" top="0.74803149606299213" bottom="0.15748031496062992" header="0.31496062992125984" footer="0.31496062992125984"/>
  <pageSetup scale="70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AF85"/>
  <sheetViews>
    <sheetView topLeftCell="A16" workbookViewId="0">
      <selection activeCell="F51" sqref="F51"/>
    </sheetView>
  </sheetViews>
  <sheetFormatPr baseColWidth="10" defaultRowHeight="15" x14ac:dyDescent="0.25"/>
  <cols>
    <col min="1" max="1" width="2.5703125" customWidth="1"/>
    <col min="2" max="2" width="17.7109375" style="38" customWidth="1"/>
    <col min="3" max="3" width="16.42578125" style="44" customWidth="1"/>
    <col min="4" max="4" width="9" style="155" customWidth="1"/>
    <col min="6" max="6" width="17.85546875" style="44" customWidth="1"/>
    <col min="7" max="7" width="2.85546875" customWidth="1"/>
    <col min="9" max="9" width="12.140625" style="44" customWidth="1"/>
    <col min="10" max="10" width="9.85546875" style="44" customWidth="1"/>
    <col min="12" max="12" width="11.28515625" customWidth="1"/>
    <col min="13" max="13" width="17.140625" customWidth="1"/>
    <col min="14" max="14" width="12.5703125" style="44" bestFit="1" customWidth="1"/>
    <col min="15" max="15" width="12.140625" style="195" customWidth="1"/>
    <col min="16" max="16" width="12.5703125" style="5" customWidth="1"/>
    <col min="19" max="19" width="18.7109375" bestFit="1" customWidth="1"/>
    <col min="20" max="20" width="10.140625" customWidth="1"/>
    <col min="21" max="21" width="15.28515625" style="111" customWidth="1"/>
    <col min="22" max="22" width="25.140625" style="44" bestFit="1" customWidth="1"/>
    <col min="23" max="23" width="11.42578125" style="222"/>
    <col min="25" max="25" width="11.42578125" style="276"/>
    <col min="26" max="26" width="11.42578125" style="5"/>
    <col min="27" max="27" width="12.85546875" bestFit="1" customWidth="1"/>
    <col min="28" max="28" width="14.140625" style="44" bestFit="1" customWidth="1"/>
    <col min="29" max="29" width="12.42578125" bestFit="1" customWidth="1"/>
    <col min="30" max="30" width="14.140625" style="44" bestFit="1" customWidth="1"/>
    <col min="31" max="31" width="18.5703125" style="44" bestFit="1" customWidth="1"/>
  </cols>
  <sheetData>
    <row r="1" spans="1:31" ht="24" thickBot="1" x14ac:dyDescent="0.4">
      <c r="C1" s="780" t="s">
        <v>260</v>
      </c>
      <c r="D1" s="780"/>
      <c r="E1" s="780"/>
      <c r="F1" s="780"/>
      <c r="G1" s="780"/>
      <c r="H1" s="780"/>
      <c r="I1" s="780"/>
      <c r="J1" s="780"/>
      <c r="K1" s="780"/>
      <c r="L1" s="133" t="s">
        <v>158</v>
      </c>
      <c r="M1" s="134"/>
      <c r="R1" s="73"/>
      <c r="S1" s="282"/>
      <c r="T1" s="282"/>
      <c r="U1" s="283"/>
      <c r="V1" s="284"/>
      <c r="W1" s="285"/>
      <c r="X1" s="73"/>
      <c r="AA1" s="204" t="s">
        <v>261</v>
      </c>
    </row>
    <row r="2" spans="1:31" ht="19.5" thickBot="1" x14ac:dyDescent="0.35">
      <c r="E2" s="379"/>
      <c r="F2" s="51"/>
      <c r="S2" s="204" t="s">
        <v>205</v>
      </c>
      <c r="T2" s="204"/>
      <c r="U2" s="213"/>
      <c r="V2" s="238">
        <v>42037</v>
      </c>
      <c r="X2" s="73"/>
    </row>
    <row r="3" spans="1:31" ht="16.5" thickBot="1" x14ac:dyDescent="0.3">
      <c r="C3" s="45" t="s">
        <v>0</v>
      </c>
      <c r="D3" s="3"/>
      <c r="R3" s="205"/>
      <c r="S3" s="205"/>
      <c r="T3" s="205"/>
      <c r="U3" s="206"/>
      <c r="V3" s="207"/>
      <c r="W3" s="223"/>
      <c r="X3" s="73"/>
      <c r="Z3" s="249">
        <v>42035</v>
      </c>
      <c r="AA3" s="339">
        <v>10691</v>
      </c>
      <c r="AB3" s="44">
        <v>62418.6</v>
      </c>
      <c r="AC3" s="21" t="s">
        <v>258</v>
      </c>
      <c r="AD3" s="44">
        <f>5676+15448.46+41294.14</f>
        <v>62418.6</v>
      </c>
      <c r="AE3" s="296">
        <f t="shared" ref="AE3:AE37" si="0">AB3-AD3</f>
        <v>0</v>
      </c>
    </row>
    <row r="4" spans="1:31" ht="20.25" thickTop="1" thickBot="1" x14ac:dyDescent="0.35">
      <c r="A4" s="79" t="s">
        <v>2</v>
      </c>
      <c r="B4" s="39"/>
      <c r="C4" s="97">
        <v>84436.98</v>
      </c>
      <c r="D4" s="156"/>
      <c r="E4" s="797" t="s">
        <v>19</v>
      </c>
      <c r="F4" s="798"/>
      <c r="I4" s="783" t="s">
        <v>4</v>
      </c>
      <c r="J4" s="784"/>
      <c r="K4" s="784"/>
      <c r="L4" s="784"/>
      <c r="M4" s="69" t="s">
        <v>24</v>
      </c>
      <c r="N4" s="112" t="s">
        <v>159</v>
      </c>
      <c r="R4" s="212" t="s">
        <v>202</v>
      </c>
      <c r="S4" s="205" t="s">
        <v>195</v>
      </c>
      <c r="T4" s="205"/>
      <c r="U4" s="206" t="s">
        <v>203</v>
      </c>
      <c r="V4" s="207" t="s">
        <v>204</v>
      </c>
      <c r="W4" s="223"/>
      <c r="X4" s="73"/>
      <c r="Z4" s="340">
        <v>42038</v>
      </c>
      <c r="AA4" s="341">
        <v>10938</v>
      </c>
      <c r="AB4" s="44">
        <v>28921</v>
      </c>
      <c r="AC4" s="335" t="s">
        <v>293</v>
      </c>
      <c r="AD4" s="336">
        <f>24971.93+3949.07</f>
        <v>28921</v>
      </c>
      <c r="AE4" s="296">
        <f t="shared" si="0"/>
        <v>0</v>
      </c>
    </row>
    <row r="5" spans="1:31" ht="20.25" thickTop="1" thickBot="1" x14ac:dyDescent="0.35">
      <c r="A5" s="21"/>
      <c r="B5" s="382">
        <v>42036</v>
      </c>
      <c r="C5" s="46" t="s">
        <v>101</v>
      </c>
      <c r="D5" s="96"/>
      <c r="E5" s="383">
        <v>42036</v>
      </c>
      <c r="F5" s="52">
        <v>46871</v>
      </c>
      <c r="G5" s="25"/>
      <c r="H5" s="384">
        <v>42036</v>
      </c>
      <c r="I5" s="385">
        <v>0</v>
      </c>
      <c r="J5" s="80"/>
      <c r="K5" s="122"/>
      <c r="L5" s="386"/>
      <c r="M5" s="152" t="s">
        <v>270</v>
      </c>
      <c r="N5" s="387">
        <v>40121</v>
      </c>
      <c r="O5" s="196"/>
      <c r="P5" s="257"/>
      <c r="R5" s="215">
        <v>10691</v>
      </c>
      <c r="S5" s="216">
        <v>5676</v>
      </c>
      <c r="T5" s="216"/>
      <c r="U5" s="217" t="s">
        <v>229</v>
      </c>
      <c r="V5" s="218">
        <v>5676</v>
      </c>
      <c r="W5" s="224">
        <v>42025</v>
      </c>
      <c r="X5" s="73"/>
      <c r="Z5" s="340">
        <v>42038</v>
      </c>
      <c r="AA5" s="341">
        <v>10947</v>
      </c>
      <c r="AB5" s="44">
        <v>55946.879999999997</v>
      </c>
      <c r="AC5" s="222">
        <v>42055</v>
      </c>
      <c r="AD5" s="44">
        <v>55946.879999999997</v>
      </c>
      <c r="AE5" s="296">
        <f t="shared" si="0"/>
        <v>0</v>
      </c>
    </row>
    <row r="6" spans="1:31" ht="16.5" thickBot="1" x14ac:dyDescent="0.3">
      <c r="A6" s="21"/>
      <c r="B6" s="388">
        <v>42037</v>
      </c>
      <c r="C6" s="46">
        <v>179.48</v>
      </c>
      <c r="D6" s="70" t="s">
        <v>269</v>
      </c>
      <c r="E6" s="389">
        <v>42037</v>
      </c>
      <c r="F6" s="52">
        <v>27833</v>
      </c>
      <c r="G6" s="20"/>
      <c r="H6" s="390">
        <v>42037</v>
      </c>
      <c r="I6" s="63">
        <v>1270.3900000000001</v>
      </c>
      <c r="J6" s="81"/>
      <c r="K6" s="73" t="s">
        <v>5</v>
      </c>
      <c r="L6" s="391">
        <v>1133</v>
      </c>
      <c r="M6" s="392" t="s">
        <v>271</v>
      </c>
      <c r="N6" s="393">
        <v>69725.63</v>
      </c>
      <c r="O6" s="196"/>
      <c r="P6" s="179"/>
      <c r="R6" s="233"/>
      <c r="S6" s="234"/>
      <c r="T6" s="234"/>
      <c r="U6" s="217" t="s">
        <v>251</v>
      </c>
      <c r="V6" s="218"/>
      <c r="W6" s="224"/>
      <c r="X6" s="73"/>
      <c r="Z6" s="340">
        <v>42040</v>
      </c>
      <c r="AA6" s="341">
        <v>11130</v>
      </c>
      <c r="AB6" s="44">
        <v>104632.41</v>
      </c>
      <c r="AC6" s="222">
        <v>42055</v>
      </c>
      <c r="AD6" s="44">
        <v>104632.41</v>
      </c>
      <c r="AE6" s="296">
        <f t="shared" si="0"/>
        <v>0</v>
      </c>
    </row>
    <row r="7" spans="1:31" ht="16.5" thickBot="1" x14ac:dyDescent="0.3">
      <c r="A7" s="21"/>
      <c r="B7" s="388">
        <v>42038</v>
      </c>
      <c r="C7" s="46">
        <v>0</v>
      </c>
      <c r="D7" s="96"/>
      <c r="E7" s="389">
        <v>42038</v>
      </c>
      <c r="F7" s="52">
        <v>23187</v>
      </c>
      <c r="G7" s="25"/>
      <c r="H7" s="390">
        <v>42038</v>
      </c>
      <c r="I7" s="63">
        <v>0</v>
      </c>
      <c r="J7" s="81"/>
      <c r="K7" s="73" t="s">
        <v>3</v>
      </c>
      <c r="L7" s="394">
        <v>0</v>
      </c>
      <c r="M7" s="395" t="s">
        <v>272</v>
      </c>
      <c r="N7" s="393">
        <v>23187</v>
      </c>
      <c r="O7" s="196"/>
      <c r="P7" s="179"/>
      <c r="R7" s="233"/>
      <c r="S7" s="234"/>
      <c r="T7" s="234"/>
      <c r="U7" s="217"/>
      <c r="V7" s="218"/>
      <c r="W7" s="224"/>
      <c r="X7" s="73"/>
      <c r="Z7" s="340">
        <v>42041</v>
      </c>
      <c r="AA7" s="341">
        <v>11253</v>
      </c>
      <c r="AB7" s="44">
        <v>5632.2</v>
      </c>
      <c r="AC7" s="222">
        <v>42055</v>
      </c>
      <c r="AD7" s="44">
        <v>5632.2</v>
      </c>
      <c r="AE7" s="296">
        <f t="shared" si="0"/>
        <v>0</v>
      </c>
    </row>
    <row r="8" spans="1:31" ht="16.5" thickBot="1" x14ac:dyDescent="0.3">
      <c r="A8" s="21"/>
      <c r="B8" s="388">
        <v>42039</v>
      </c>
      <c r="C8" s="46">
        <v>2212</v>
      </c>
      <c r="D8" s="33" t="s">
        <v>273</v>
      </c>
      <c r="E8" s="389">
        <v>42039</v>
      </c>
      <c r="F8" s="52">
        <v>35190</v>
      </c>
      <c r="G8" s="25"/>
      <c r="H8" s="390">
        <v>42039</v>
      </c>
      <c r="I8" s="63">
        <v>370</v>
      </c>
      <c r="J8" s="81"/>
      <c r="K8" s="73" t="s">
        <v>6</v>
      </c>
      <c r="L8" s="396">
        <v>28750</v>
      </c>
      <c r="M8" s="395" t="s">
        <v>275</v>
      </c>
      <c r="N8" s="393">
        <v>38554</v>
      </c>
      <c r="O8" s="196"/>
      <c r="P8" s="179"/>
      <c r="R8" s="244"/>
      <c r="S8" s="226">
        <v>0</v>
      </c>
      <c r="T8" s="226"/>
      <c r="U8" s="227"/>
      <c r="V8" s="58">
        <v>0</v>
      </c>
      <c r="W8" s="245"/>
      <c r="X8" s="73"/>
      <c r="Z8" s="340">
        <v>42041</v>
      </c>
      <c r="AA8" s="341">
        <v>11316</v>
      </c>
      <c r="AB8" s="44">
        <v>54303.14</v>
      </c>
      <c r="AC8" s="222">
        <v>42055</v>
      </c>
      <c r="AD8" s="44">
        <v>54303.14</v>
      </c>
      <c r="AE8" s="296">
        <f t="shared" si="0"/>
        <v>0</v>
      </c>
    </row>
    <row r="9" spans="1:31" ht="16.5" thickBot="1" x14ac:dyDescent="0.3">
      <c r="A9" s="21"/>
      <c r="B9" s="388">
        <v>42040</v>
      </c>
      <c r="C9" s="46">
        <v>0</v>
      </c>
      <c r="D9" s="96"/>
      <c r="E9" s="389">
        <v>42040</v>
      </c>
      <c r="F9" s="52">
        <v>25612</v>
      </c>
      <c r="G9" s="25"/>
      <c r="H9" s="390">
        <v>42040</v>
      </c>
      <c r="I9" s="63">
        <v>81</v>
      </c>
      <c r="J9" s="82"/>
      <c r="K9" s="73" t="s">
        <v>263</v>
      </c>
      <c r="L9" s="394">
        <v>8657.33</v>
      </c>
      <c r="M9" s="395" t="s">
        <v>274</v>
      </c>
      <c r="N9" s="393">
        <v>28128</v>
      </c>
      <c r="O9" s="196"/>
      <c r="P9" s="179"/>
      <c r="S9" s="208">
        <f>SUM(S5:S8)</f>
        <v>5676</v>
      </c>
      <c r="T9" s="208"/>
      <c r="U9" s="206"/>
      <c r="V9" s="207">
        <f>SUM(V5:V8)</f>
        <v>5676</v>
      </c>
      <c r="X9" s="73"/>
      <c r="Z9" s="340">
        <v>42042</v>
      </c>
      <c r="AA9" s="341">
        <v>11352</v>
      </c>
      <c r="AB9" s="56">
        <v>5875.2</v>
      </c>
      <c r="AC9" s="247">
        <v>42055</v>
      </c>
      <c r="AD9" s="56">
        <v>5875.2</v>
      </c>
      <c r="AE9" s="296">
        <f t="shared" si="0"/>
        <v>0</v>
      </c>
    </row>
    <row r="10" spans="1:31" ht="16.5" thickBot="1" x14ac:dyDescent="0.3">
      <c r="A10" s="21"/>
      <c r="B10" s="388">
        <v>42041</v>
      </c>
      <c r="C10" s="46">
        <v>0</v>
      </c>
      <c r="D10" s="96"/>
      <c r="E10" s="389">
        <v>42041</v>
      </c>
      <c r="F10" s="52">
        <v>59415.5</v>
      </c>
      <c r="G10" s="25"/>
      <c r="H10" s="390">
        <v>42041</v>
      </c>
      <c r="I10" s="63">
        <v>1826</v>
      </c>
      <c r="J10" s="82" t="s">
        <v>276</v>
      </c>
      <c r="K10" s="73" t="s">
        <v>264</v>
      </c>
      <c r="L10" s="394">
        <v>7750</v>
      </c>
      <c r="M10" s="395" t="s">
        <v>279</v>
      </c>
      <c r="N10" s="393">
        <v>57589.5</v>
      </c>
      <c r="O10" s="196"/>
      <c r="P10" s="179"/>
      <c r="R10" s="197"/>
      <c r="S10" s="274"/>
      <c r="T10" s="274"/>
      <c r="U10" s="271"/>
      <c r="V10" s="272"/>
      <c r="W10" s="273"/>
      <c r="X10" s="73"/>
      <c r="Z10" s="340">
        <v>42042</v>
      </c>
      <c r="AA10" s="342">
        <v>11404</v>
      </c>
      <c r="AB10" s="56">
        <v>46068.75</v>
      </c>
      <c r="AC10" s="247">
        <v>42055</v>
      </c>
      <c r="AD10" s="56">
        <v>46068.75</v>
      </c>
      <c r="AE10" s="296">
        <f t="shared" si="0"/>
        <v>0</v>
      </c>
    </row>
    <row r="11" spans="1:31" ht="16.5" thickBot="1" x14ac:dyDescent="0.3">
      <c r="A11" s="21"/>
      <c r="B11" s="388">
        <v>42042</v>
      </c>
      <c r="C11" s="46">
        <v>1372</v>
      </c>
      <c r="D11" s="96" t="s">
        <v>242</v>
      </c>
      <c r="E11" s="389">
        <v>42042</v>
      </c>
      <c r="F11" s="52">
        <v>85546.5</v>
      </c>
      <c r="G11" s="25"/>
      <c r="H11" s="390">
        <v>42042</v>
      </c>
      <c r="I11" s="63">
        <v>232</v>
      </c>
      <c r="J11" s="82" t="s">
        <v>277</v>
      </c>
      <c r="K11" s="73" t="s">
        <v>265</v>
      </c>
      <c r="L11" s="397">
        <v>5625</v>
      </c>
      <c r="M11" s="395" t="s">
        <v>280</v>
      </c>
      <c r="N11" s="393">
        <v>89942.5</v>
      </c>
      <c r="O11" s="196"/>
      <c r="P11" s="239"/>
      <c r="R11" s="13"/>
      <c r="S11" s="13"/>
      <c r="T11" s="13"/>
      <c r="U11" s="136"/>
      <c r="V11" s="56"/>
      <c r="W11" s="247"/>
      <c r="X11" s="73"/>
      <c r="Z11" s="340">
        <v>42043</v>
      </c>
      <c r="AA11" s="342">
        <v>11438</v>
      </c>
      <c r="AB11" s="50">
        <v>5312</v>
      </c>
      <c r="AC11" s="222">
        <v>42055</v>
      </c>
      <c r="AD11" s="50">
        <v>5312</v>
      </c>
      <c r="AE11" s="297">
        <f t="shared" si="0"/>
        <v>0</v>
      </c>
    </row>
    <row r="12" spans="1:31" ht="19.5" thickBot="1" x14ac:dyDescent="0.35">
      <c r="A12" s="21"/>
      <c r="B12" s="388">
        <v>42043</v>
      </c>
      <c r="C12" s="46">
        <v>0</v>
      </c>
      <c r="D12" s="96"/>
      <c r="E12" s="389">
        <v>42043</v>
      </c>
      <c r="F12" s="52">
        <v>37309</v>
      </c>
      <c r="G12" s="25"/>
      <c r="H12" s="390">
        <v>42043</v>
      </c>
      <c r="I12" s="63">
        <v>476</v>
      </c>
      <c r="J12" s="82" t="s">
        <v>278</v>
      </c>
      <c r="K12" s="73" t="s">
        <v>266</v>
      </c>
      <c r="L12" s="397">
        <v>9171</v>
      </c>
      <c r="M12" s="395" t="s">
        <v>281</v>
      </c>
      <c r="N12" s="393">
        <v>28176</v>
      </c>
      <c r="O12" s="196"/>
      <c r="P12" s="179"/>
      <c r="S12" s="204" t="s">
        <v>205</v>
      </c>
      <c r="T12" s="204"/>
      <c r="U12" s="213"/>
      <c r="V12" s="238">
        <v>42038</v>
      </c>
      <c r="Y12" s="252"/>
      <c r="Z12" s="340">
        <v>42044</v>
      </c>
      <c r="AA12" s="342">
        <v>11503</v>
      </c>
      <c r="AB12" s="50">
        <v>11924.3</v>
      </c>
      <c r="AC12" s="222">
        <v>42055</v>
      </c>
      <c r="AD12" s="50">
        <v>11924.3</v>
      </c>
      <c r="AE12" s="297">
        <f t="shared" si="0"/>
        <v>0</v>
      </c>
    </row>
    <row r="13" spans="1:31" ht="16.5" thickBot="1" x14ac:dyDescent="0.3">
      <c r="A13" s="21"/>
      <c r="B13" s="388">
        <v>42044</v>
      </c>
      <c r="C13" s="46">
        <v>0</v>
      </c>
      <c r="D13" s="96"/>
      <c r="E13" s="389">
        <v>42044</v>
      </c>
      <c r="F13" s="52">
        <v>30191.5</v>
      </c>
      <c r="G13" s="25"/>
      <c r="H13" s="390">
        <v>42044</v>
      </c>
      <c r="I13" s="63">
        <v>195.5</v>
      </c>
      <c r="J13" s="82" t="s">
        <v>282</v>
      </c>
      <c r="K13" s="73" t="s">
        <v>267</v>
      </c>
      <c r="L13" s="397">
        <v>0</v>
      </c>
      <c r="M13" s="395" t="s">
        <v>283</v>
      </c>
      <c r="N13" s="393">
        <f>29496+500</f>
        <v>29996</v>
      </c>
      <c r="O13" s="194"/>
      <c r="P13" s="179"/>
      <c r="R13" s="205"/>
      <c r="S13" s="205"/>
      <c r="T13" s="205"/>
      <c r="U13" s="206"/>
      <c r="V13" s="207"/>
      <c r="W13" s="223"/>
      <c r="Y13" s="252"/>
      <c r="Z13" s="340">
        <v>42045</v>
      </c>
      <c r="AA13" s="342">
        <v>11622</v>
      </c>
      <c r="AB13" s="50">
        <v>42684.95</v>
      </c>
      <c r="AC13" s="222">
        <v>42055</v>
      </c>
      <c r="AD13" s="50">
        <v>42684.95</v>
      </c>
      <c r="AE13" s="297">
        <f t="shared" si="0"/>
        <v>0</v>
      </c>
    </row>
    <row r="14" spans="1:31" ht="16.5" thickBot="1" x14ac:dyDescent="0.3">
      <c r="A14" s="21"/>
      <c r="B14" s="388">
        <v>42045</v>
      </c>
      <c r="C14" s="46">
        <v>2015</v>
      </c>
      <c r="D14" s="30" t="s">
        <v>284</v>
      </c>
      <c r="E14" s="389">
        <v>42045</v>
      </c>
      <c r="F14" s="52">
        <v>41214.5</v>
      </c>
      <c r="G14" s="25"/>
      <c r="H14" s="390">
        <v>42045</v>
      </c>
      <c r="I14" s="63">
        <v>902.96</v>
      </c>
      <c r="J14" s="82" t="s">
        <v>285</v>
      </c>
      <c r="K14" s="165" t="s">
        <v>268</v>
      </c>
      <c r="L14" s="397">
        <v>0</v>
      </c>
      <c r="M14" s="395" t="s">
        <v>286</v>
      </c>
      <c r="N14" s="393">
        <v>37519.54</v>
      </c>
      <c r="O14" s="194"/>
      <c r="P14" s="179"/>
      <c r="R14" s="212" t="s">
        <v>202</v>
      </c>
      <c r="S14" s="205" t="s">
        <v>195</v>
      </c>
      <c r="T14" s="205"/>
      <c r="U14" s="206" t="s">
        <v>203</v>
      </c>
      <c r="V14" s="207" t="s">
        <v>204</v>
      </c>
      <c r="W14" s="223"/>
      <c r="Y14" s="287"/>
      <c r="Z14" s="343">
        <v>42045</v>
      </c>
      <c r="AA14" s="344">
        <v>11631</v>
      </c>
      <c r="AB14" s="81">
        <v>6026.24</v>
      </c>
      <c r="AC14" s="337">
        <v>42055</v>
      </c>
      <c r="AD14" s="81">
        <v>6026.24</v>
      </c>
      <c r="AE14" s="297">
        <f t="shared" si="0"/>
        <v>0</v>
      </c>
    </row>
    <row r="15" spans="1:31" ht="16.5" thickBot="1" x14ac:dyDescent="0.3">
      <c r="A15" s="21"/>
      <c r="B15" s="388">
        <v>42046</v>
      </c>
      <c r="C15" s="46">
        <v>376</v>
      </c>
      <c r="D15" s="96" t="s">
        <v>22</v>
      </c>
      <c r="E15" s="389">
        <v>42046</v>
      </c>
      <c r="F15" s="52">
        <v>34708.5</v>
      </c>
      <c r="G15" s="25"/>
      <c r="H15" s="390">
        <v>42046</v>
      </c>
      <c r="I15" s="63">
        <v>764</v>
      </c>
      <c r="J15" s="82" t="s">
        <v>287</v>
      </c>
      <c r="K15" s="73" t="s">
        <v>57</v>
      </c>
      <c r="L15" s="397">
        <v>6090</v>
      </c>
      <c r="M15" s="395" t="s">
        <v>288</v>
      </c>
      <c r="N15" s="393">
        <v>27478.5</v>
      </c>
      <c r="O15" s="194"/>
      <c r="P15" s="179"/>
      <c r="R15" s="215">
        <v>10332</v>
      </c>
      <c r="S15" s="216">
        <v>18449.400000000001</v>
      </c>
      <c r="T15" s="216"/>
      <c r="U15" s="217">
        <v>2719748</v>
      </c>
      <c r="V15" s="218">
        <v>29563.5</v>
      </c>
      <c r="W15" s="224">
        <v>42030</v>
      </c>
      <c r="Y15" s="287"/>
      <c r="Z15" s="343">
        <v>42046</v>
      </c>
      <c r="AA15" s="344">
        <v>11715</v>
      </c>
      <c r="AB15" s="81">
        <v>18927.400000000001</v>
      </c>
      <c r="AC15" s="337">
        <v>42055</v>
      </c>
      <c r="AD15" s="81">
        <v>18927.400000000001</v>
      </c>
      <c r="AE15" s="297">
        <f t="shared" si="0"/>
        <v>0</v>
      </c>
    </row>
    <row r="16" spans="1:31" ht="16.5" thickBot="1" x14ac:dyDescent="0.3">
      <c r="A16" s="21"/>
      <c r="B16" s="388">
        <v>42047</v>
      </c>
      <c r="C16" s="46">
        <v>0</v>
      </c>
      <c r="D16" s="96"/>
      <c r="E16" s="389">
        <v>42047</v>
      </c>
      <c r="F16" s="52">
        <v>35672</v>
      </c>
      <c r="G16" s="25"/>
      <c r="H16" s="390">
        <v>42047</v>
      </c>
      <c r="I16" s="63">
        <v>100</v>
      </c>
      <c r="J16" s="82"/>
      <c r="K16" s="192" t="s">
        <v>61</v>
      </c>
      <c r="L16" s="398">
        <v>0</v>
      </c>
      <c r="M16" s="395" t="s">
        <v>295</v>
      </c>
      <c r="N16" s="393">
        <v>33719</v>
      </c>
      <c r="O16" s="194"/>
      <c r="P16" s="179"/>
      <c r="R16" s="233">
        <v>10501</v>
      </c>
      <c r="S16" s="234">
        <v>25928.67</v>
      </c>
      <c r="T16" s="234" t="s">
        <v>257</v>
      </c>
      <c r="U16" s="217">
        <v>2720771</v>
      </c>
      <c r="V16" s="218">
        <v>97065.5</v>
      </c>
      <c r="W16" s="224">
        <v>42035</v>
      </c>
      <c r="Y16" s="287"/>
      <c r="Z16" s="343">
        <v>42047</v>
      </c>
      <c r="AA16" s="344">
        <v>11817</v>
      </c>
      <c r="AB16" s="81">
        <v>1486.8</v>
      </c>
      <c r="AC16" s="337">
        <v>42055</v>
      </c>
      <c r="AD16" s="81">
        <v>1486.8</v>
      </c>
      <c r="AE16" s="297">
        <f t="shared" si="0"/>
        <v>0</v>
      </c>
    </row>
    <row r="17" spans="1:31" ht="16.5" thickBot="1" x14ac:dyDescent="0.3">
      <c r="A17" s="21"/>
      <c r="B17" s="388">
        <v>42048</v>
      </c>
      <c r="C17" s="46">
        <v>4064</v>
      </c>
      <c r="D17" s="96" t="s">
        <v>296</v>
      </c>
      <c r="E17" s="389">
        <v>42048</v>
      </c>
      <c r="F17" s="52">
        <v>55797</v>
      </c>
      <c r="G17" s="25"/>
      <c r="H17" s="390">
        <v>42048</v>
      </c>
      <c r="I17" s="63">
        <v>800</v>
      </c>
      <c r="J17" s="82"/>
      <c r="K17" s="73" t="s">
        <v>108</v>
      </c>
      <c r="L17" s="399">
        <v>0</v>
      </c>
      <c r="M17" s="395" t="s">
        <v>297</v>
      </c>
      <c r="N17" s="393">
        <v>50933</v>
      </c>
      <c r="O17" s="194"/>
      <c r="P17" s="179"/>
      <c r="R17" s="233">
        <v>10654</v>
      </c>
      <c r="S17" s="234">
        <v>536.4</v>
      </c>
      <c r="T17" s="234"/>
      <c r="U17" s="217"/>
      <c r="V17" s="218"/>
      <c r="W17" s="224"/>
      <c r="Y17" s="287"/>
      <c r="Z17" s="343">
        <v>42047</v>
      </c>
      <c r="AA17" s="344">
        <v>11863</v>
      </c>
      <c r="AB17" s="81">
        <v>105272.66</v>
      </c>
      <c r="AC17" s="337">
        <v>42055</v>
      </c>
      <c r="AD17" s="81">
        <v>105272.66</v>
      </c>
      <c r="AE17" s="297">
        <f t="shared" si="0"/>
        <v>0</v>
      </c>
    </row>
    <row r="18" spans="1:31" ht="16.5" thickBot="1" x14ac:dyDescent="0.3">
      <c r="A18" s="21"/>
      <c r="B18" s="388">
        <v>42049</v>
      </c>
      <c r="C18" s="46">
        <v>0</v>
      </c>
      <c r="D18" s="96"/>
      <c r="E18" s="389">
        <v>42049</v>
      </c>
      <c r="F18" s="52">
        <v>64547</v>
      </c>
      <c r="G18" s="25"/>
      <c r="H18" s="390">
        <v>42049</v>
      </c>
      <c r="I18" s="63">
        <v>100</v>
      </c>
      <c r="J18" s="82"/>
      <c r="K18" s="73" t="s">
        <v>109</v>
      </c>
      <c r="L18" s="399">
        <v>0</v>
      </c>
      <c r="M18" s="395" t="s">
        <v>298</v>
      </c>
      <c r="N18" s="393">
        <v>64547</v>
      </c>
      <c r="O18" s="194"/>
      <c r="P18" s="179"/>
      <c r="R18" s="233">
        <v>10691</v>
      </c>
      <c r="S18" s="234">
        <v>15448.46</v>
      </c>
      <c r="T18" s="234" t="s">
        <v>236</v>
      </c>
      <c r="U18" s="217"/>
      <c r="V18" s="218"/>
      <c r="W18" s="224"/>
      <c r="Y18" s="287"/>
      <c r="Z18" s="343">
        <v>42048</v>
      </c>
      <c r="AA18" s="344">
        <v>11943</v>
      </c>
      <c r="AB18" s="81">
        <v>12795.2</v>
      </c>
      <c r="AC18" s="349" t="s">
        <v>314</v>
      </c>
      <c r="AD18" s="350">
        <f>1092.5+11702.7</f>
        <v>12795.2</v>
      </c>
      <c r="AE18" s="297">
        <f t="shared" si="0"/>
        <v>0</v>
      </c>
    </row>
    <row r="19" spans="1:31" ht="16.5" thickBot="1" x14ac:dyDescent="0.3">
      <c r="A19" s="21"/>
      <c r="B19" s="388">
        <v>42050</v>
      </c>
      <c r="C19" s="46">
        <v>0</v>
      </c>
      <c r="D19" s="96"/>
      <c r="E19" s="389">
        <v>42050</v>
      </c>
      <c r="F19" s="52">
        <v>53832.5</v>
      </c>
      <c r="G19" s="25"/>
      <c r="H19" s="390">
        <v>42050</v>
      </c>
      <c r="I19" s="63">
        <v>400</v>
      </c>
      <c r="J19" s="82"/>
      <c r="K19" s="73" t="s">
        <v>186</v>
      </c>
      <c r="L19" s="399">
        <v>0</v>
      </c>
      <c r="M19" s="395" t="s">
        <v>300</v>
      </c>
      <c r="N19" s="393">
        <v>44582.5</v>
      </c>
      <c r="O19" s="194"/>
      <c r="P19" s="179"/>
      <c r="R19" s="233">
        <v>10691</v>
      </c>
      <c r="S19" s="234">
        <v>41294.14</v>
      </c>
      <c r="T19" s="234"/>
      <c r="U19" s="217"/>
      <c r="V19" s="218"/>
      <c r="W19" s="224"/>
      <c r="Y19" s="287"/>
      <c r="Z19" s="343">
        <v>42049</v>
      </c>
      <c r="AA19" s="344">
        <v>12013</v>
      </c>
      <c r="AB19" s="81">
        <v>5974.5</v>
      </c>
      <c r="AC19" s="347">
        <v>42061</v>
      </c>
      <c r="AD19" s="348">
        <v>5974.5</v>
      </c>
      <c r="AE19" s="297">
        <f t="shared" si="0"/>
        <v>0</v>
      </c>
    </row>
    <row r="20" spans="1:31" ht="16.5" thickBot="1" x14ac:dyDescent="0.3">
      <c r="A20" s="21"/>
      <c r="B20" s="388">
        <v>42051</v>
      </c>
      <c r="C20" s="46">
        <v>1356</v>
      </c>
      <c r="D20" s="96" t="s">
        <v>273</v>
      </c>
      <c r="E20" s="389">
        <v>42051</v>
      </c>
      <c r="F20" s="52">
        <v>24383</v>
      </c>
      <c r="G20" s="25"/>
      <c r="H20" s="390">
        <v>42051</v>
      </c>
      <c r="I20" s="63">
        <v>576</v>
      </c>
      <c r="J20" s="82"/>
      <c r="K20" s="130" t="s">
        <v>111</v>
      </c>
      <c r="L20" s="399">
        <v>0</v>
      </c>
      <c r="M20" s="395" t="s">
        <v>303</v>
      </c>
      <c r="N20" s="393">
        <v>22451</v>
      </c>
      <c r="O20" s="194"/>
      <c r="P20" s="239"/>
      <c r="R20" s="242">
        <v>10938</v>
      </c>
      <c r="S20" s="240">
        <v>24971.93</v>
      </c>
      <c r="T20" s="240" t="s">
        <v>236</v>
      </c>
      <c r="U20" s="225"/>
      <c r="V20" s="228"/>
      <c r="W20" s="243"/>
      <c r="Y20" s="287"/>
      <c r="Z20" s="343">
        <v>42050</v>
      </c>
      <c r="AA20" s="344">
        <v>12113</v>
      </c>
      <c r="AB20" s="81">
        <v>23987.85</v>
      </c>
      <c r="AC20" s="347">
        <v>42061</v>
      </c>
      <c r="AD20" s="348">
        <v>23987.85</v>
      </c>
      <c r="AE20" s="297">
        <f t="shared" si="0"/>
        <v>0</v>
      </c>
    </row>
    <row r="21" spans="1:31" ht="16.5" thickBot="1" x14ac:dyDescent="0.3">
      <c r="A21" s="21"/>
      <c r="B21" s="388">
        <v>42052</v>
      </c>
      <c r="C21" s="46">
        <v>1900</v>
      </c>
      <c r="D21" s="96" t="s">
        <v>301</v>
      </c>
      <c r="E21" s="389">
        <v>42052</v>
      </c>
      <c r="F21" s="52">
        <v>44011</v>
      </c>
      <c r="G21" s="25"/>
      <c r="H21" s="390">
        <v>42052</v>
      </c>
      <c r="I21" s="63">
        <v>20</v>
      </c>
      <c r="J21" s="82"/>
      <c r="K21" s="131" t="s">
        <v>240</v>
      </c>
      <c r="L21" s="399">
        <v>0</v>
      </c>
      <c r="M21" s="395" t="s">
        <v>306</v>
      </c>
      <c r="N21" s="393">
        <v>41938</v>
      </c>
      <c r="O21" s="194"/>
      <c r="P21" s="179"/>
      <c r="R21" s="244"/>
      <c r="S21" s="226">
        <v>0</v>
      </c>
      <c r="T21" s="226"/>
      <c r="U21" s="227"/>
      <c r="V21" s="58">
        <v>0</v>
      </c>
      <c r="W21" s="245"/>
      <c r="Y21" s="287"/>
      <c r="Z21" s="343">
        <v>42051</v>
      </c>
      <c r="AA21" s="344">
        <v>12216</v>
      </c>
      <c r="AB21" s="81">
        <v>74819.97</v>
      </c>
      <c r="AC21" s="347">
        <v>42061</v>
      </c>
      <c r="AD21" s="348">
        <v>74819.97</v>
      </c>
      <c r="AE21" s="297">
        <f t="shared" si="0"/>
        <v>0</v>
      </c>
    </row>
    <row r="22" spans="1:31" ht="16.5" thickBot="1" x14ac:dyDescent="0.3">
      <c r="A22" s="21"/>
      <c r="B22" s="388">
        <v>42053</v>
      </c>
      <c r="C22" s="46">
        <v>1951</v>
      </c>
      <c r="D22" s="96" t="s">
        <v>304</v>
      </c>
      <c r="E22" s="389">
        <v>42053</v>
      </c>
      <c r="F22" s="52">
        <v>25311.5</v>
      </c>
      <c r="G22" s="25"/>
      <c r="H22" s="390">
        <v>42053</v>
      </c>
      <c r="I22" s="63">
        <v>500</v>
      </c>
      <c r="J22" s="149"/>
      <c r="K22" s="346" t="s">
        <v>299</v>
      </c>
      <c r="L22" s="399">
        <v>1000</v>
      </c>
      <c r="M22" s="395" t="s">
        <v>305</v>
      </c>
      <c r="N22" s="393">
        <v>22860.5</v>
      </c>
      <c r="O22" s="194"/>
      <c r="P22" s="179"/>
      <c r="S22" s="208">
        <f>SUM(S15:S21)</f>
        <v>126629</v>
      </c>
      <c r="T22" s="208"/>
      <c r="U22" s="206"/>
      <c r="V22" s="207">
        <f>SUM(V15:V21)</f>
        <v>126629</v>
      </c>
      <c r="Y22" s="287"/>
      <c r="Z22" s="343">
        <v>42051</v>
      </c>
      <c r="AA22" s="344">
        <v>12256</v>
      </c>
      <c r="AB22" s="81">
        <v>15291.4</v>
      </c>
      <c r="AC22" s="347">
        <v>42061</v>
      </c>
      <c r="AD22" s="348">
        <v>15291.4</v>
      </c>
      <c r="AE22" s="297">
        <f t="shared" si="0"/>
        <v>0</v>
      </c>
    </row>
    <row r="23" spans="1:31" ht="18.75" customHeight="1" thickBot="1" x14ac:dyDescent="0.3">
      <c r="A23" s="21"/>
      <c r="B23" s="388">
        <v>42054</v>
      </c>
      <c r="C23" s="46">
        <v>0</v>
      </c>
      <c r="D23" s="96"/>
      <c r="E23" s="389">
        <v>42054</v>
      </c>
      <c r="F23" s="52">
        <v>29447</v>
      </c>
      <c r="G23" s="25"/>
      <c r="H23" s="390">
        <v>42054</v>
      </c>
      <c r="I23" s="63">
        <v>20</v>
      </c>
      <c r="J23" s="81"/>
      <c r="K23" s="132" t="s">
        <v>302</v>
      </c>
      <c r="L23" s="400">
        <v>1153</v>
      </c>
      <c r="M23" s="395" t="s">
        <v>307</v>
      </c>
      <c r="N23" s="393">
        <v>29427</v>
      </c>
      <c r="O23" s="194"/>
      <c r="P23" s="239"/>
      <c r="Y23" s="287"/>
      <c r="Z23" s="343">
        <v>42052</v>
      </c>
      <c r="AA23" s="344">
        <v>12324</v>
      </c>
      <c r="AB23" s="322">
        <v>2958.4</v>
      </c>
      <c r="AC23" s="351">
        <v>42061</v>
      </c>
      <c r="AD23" s="348">
        <v>2958.4</v>
      </c>
      <c r="AE23" s="297">
        <f t="shared" si="0"/>
        <v>0</v>
      </c>
    </row>
    <row r="24" spans="1:31" ht="16.5" thickBot="1" x14ac:dyDescent="0.3">
      <c r="A24" s="21"/>
      <c r="B24" s="388">
        <v>42055</v>
      </c>
      <c r="C24" s="46">
        <v>0</v>
      </c>
      <c r="D24" s="96"/>
      <c r="E24" s="389">
        <v>42055</v>
      </c>
      <c r="F24" s="52">
        <v>49131</v>
      </c>
      <c r="G24" s="25"/>
      <c r="H24" s="390">
        <v>42055</v>
      </c>
      <c r="I24" s="63">
        <v>301</v>
      </c>
      <c r="J24" s="82"/>
      <c r="K24" s="132"/>
      <c r="L24" s="129"/>
      <c r="M24" s="395" t="s">
        <v>308</v>
      </c>
      <c r="N24" s="393">
        <v>48830.5</v>
      </c>
      <c r="O24" s="194"/>
      <c r="P24" s="179"/>
      <c r="Y24" s="287"/>
      <c r="Z24" s="343">
        <v>42053</v>
      </c>
      <c r="AA24" s="344">
        <v>12393</v>
      </c>
      <c r="AB24" s="81">
        <v>8257</v>
      </c>
      <c r="AC24" s="347">
        <v>42061</v>
      </c>
      <c r="AD24" s="348">
        <v>8257</v>
      </c>
      <c r="AE24" s="297">
        <f t="shared" si="0"/>
        <v>0</v>
      </c>
    </row>
    <row r="25" spans="1:31" ht="16.5" thickBot="1" x14ac:dyDescent="0.3">
      <c r="A25" s="21"/>
      <c r="B25" s="388">
        <v>42056</v>
      </c>
      <c r="C25" s="46">
        <v>0</v>
      </c>
      <c r="D25" s="96"/>
      <c r="E25" s="389">
        <v>42056</v>
      </c>
      <c r="F25" s="52">
        <v>63499</v>
      </c>
      <c r="G25" s="25"/>
      <c r="H25" s="390">
        <v>42056</v>
      </c>
      <c r="I25" s="63">
        <v>2357</v>
      </c>
      <c r="J25" s="81"/>
      <c r="K25" s="132"/>
      <c r="L25" s="129"/>
      <c r="M25" s="395" t="s">
        <v>309</v>
      </c>
      <c r="N25" s="393">
        <v>61142</v>
      </c>
      <c r="O25" s="194"/>
      <c r="P25" s="179"/>
      <c r="Y25" s="287"/>
      <c r="Z25" s="343">
        <v>42054</v>
      </c>
      <c r="AA25" s="344">
        <v>12467</v>
      </c>
      <c r="AB25" s="81">
        <v>9009</v>
      </c>
      <c r="AC25" s="347">
        <v>42061</v>
      </c>
      <c r="AD25" s="348">
        <v>9009</v>
      </c>
      <c r="AE25" s="297">
        <f t="shared" si="0"/>
        <v>0</v>
      </c>
    </row>
    <row r="26" spans="1:31" ht="19.5" thickBot="1" x14ac:dyDescent="0.35">
      <c r="A26" s="21"/>
      <c r="B26" s="388">
        <v>42057</v>
      </c>
      <c r="C26" s="46">
        <v>0</v>
      </c>
      <c r="D26" s="96"/>
      <c r="E26" s="389">
        <v>42057</v>
      </c>
      <c r="F26" s="52">
        <v>43294</v>
      </c>
      <c r="G26" s="25"/>
      <c r="H26" s="390">
        <v>42057</v>
      </c>
      <c r="I26" s="63">
        <v>0</v>
      </c>
      <c r="J26" s="98"/>
      <c r="K26" s="132"/>
      <c r="L26" s="129"/>
      <c r="M26" s="395" t="s">
        <v>310</v>
      </c>
      <c r="N26" s="393">
        <v>37669</v>
      </c>
      <c r="O26" s="194"/>
      <c r="P26" s="179"/>
      <c r="S26" s="204" t="s">
        <v>205</v>
      </c>
      <c r="T26" s="204"/>
      <c r="U26" s="213"/>
      <c r="V26" s="323">
        <v>42055</v>
      </c>
      <c r="Y26" s="287"/>
      <c r="Z26" s="343">
        <v>42054</v>
      </c>
      <c r="AA26" s="344">
        <v>12487</v>
      </c>
      <c r="AB26" s="81">
        <v>86062.9</v>
      </c>
      <c r="AC26" s="347">
        <v>42061</v>
      </c>
      <c r="AD26" s="348">
        <v>86062.9</v>
      </c>
      <c r="AE26" s="297">
        <f t="shared" si="0"/>
        <v>0</v>
      </c>
    </row>
    <row r="27" spans="1:31" ht="16.5" thickBot="1" x14ac:dyDescent="0.3">
      <c r="A27" s="21"/>
      <c r="B27" s="388">
        <v>42058</v>
      </c>
      <c r="C27" s="46">
        <v>675</v>
      </c>
      <c r="D27" s="96" t="s">
        <v>269</v>
      </c>
      <c r="E27" s="389">
        <v>42058</v>
      </c>
      <c r="F27" s="52">
        <v>29561.5</v>
      </c>
      <c r="G27" s="25"/>
      <c r="H27" s="390">
        <v>42058</v>
      </c>
      <c r="I27" s="63">
        <v>402</v>
      </c>
      <c r="J27" s="81"/>
      <c r="K27" s="132"/>
      <c r="L27" s="129"/>
      <c r="M27" s="395" t="s">
        <v>311</v>
      </c>
      <c r="N27" s="393">
        <v>28484.5</v>
      </c>
      <c r="O27" s="194"/>
      <c r="P27" s="179"/>
      <c r="R27" s="205"/>
      <c r="S27" s="205"/>
      <c r="T27" s="205"/>
      <c r="U27" s="206"/>
      <c r="V27" s="207"/>
      <c r="W27" s="223"/>
      <c r="Y27" s="287"/>
      <c r="Z27" s="343">
        <v>42056</v>
      </c>
      <c r="AA27" s="344">
        <v>12767</v>
      </c>
      <c r="AB27" s="81">
        <v>15944.6</v>
      </c>
      <c r="AC27" s="347">
        <v>42061</v>
      </c>
      <c r="AD27" s="348">
        <v>15944.6</v>
      </c>
      <c r="AE27" s="297">
        <f t="shared" si="0"/>
        <v>0</v>
      </c>
    </row>
    <row r="28" spans="1:31" ht="16.5" thickBot="1" x14ac:dyDescent="0.3">
      <c r="A28" s="21"/>
      <c r="B28" s="388">
        <v>42059</v>
      </c>
      <c r="C28" s="46">
        <v>939</v>
      </c>
      <c r="D28" s="30" t="s">
        <v>83</v>
      </c>
      <c r="E28" s="389">
        <v>42059</v>
      </c>
      <c r="F28" s="52">
        <v>33024.5</v>
      </c>
      <c r="G28" s="25"/>
      <c r="H28" s="390">
        <v>42059</v>
      </c>
      <c r="I28" s="63">
        <v>34.5</v>
      </c>
      <c r="J28" s="81"/>
      <c r="K28" s="132"/>
      <c r="L28" s="129"/>
      <c r="M28" s="395" t="s">
        <v>312</v>
      </c>
      <c r="N28" s="393">
        <v>32051</v>
      </c>
      <c r="O28" s="194"/>
      <c r="R28" s="212" t="s">
        <v>202</v>
      </c>
      <c r="S28" s="205" t="s">
        <v>195</v>
      </c>
      <c r="T28" s="205"/>
      <c r="U28" s="206" t="s">
        <v>203</v>
      </c>
      <c r="V28" s="207" t="s">
        <v>204</v>
      </c>
      <c r="W28" s="223"/>
      <c r="Y28" s="287"/>
      <c r="Z28" s="343">
        <v>42056</v>
      </c>
      <c r="AA28" s="342">
        <v>12773</v>
      </c>
      <c r="AB28" s="59">
        <v>470.4</v>
      </c>
      <c r="AC28" s="352">
        <v>42061</v>
      </c>
      <c r="AD28" s="353">
        <v>470.4</v>
      </c>
      <c r="AE28" s="297">
        <f t="shared" si="0"/>
        <v>0</v>
      </c>
    </row>
    <row r="29" spans="1:31" ht="16.5" thickBot="1" x14ac:dyDescent="0.3">
      <c r="A29" s="21"/>
      <c r="B29" s="388">
        <v>42060</v>
      </c>
      <c r="C29" s="46">
        <v>7945</v>
      </c>
      <c r="D29" s="96" t="s">
        <v>316</v>
      </c>
      <c r="E29" s="389">
        <v>42060</v>
      </c>
      <c r="F29" s="52">
        <v>41096</v>
      </c>
      <c r="G29" s="25"/>
      <c r="H29" s="390">
        <v>42060</v>
      </c>
      <c r="I29" s="63">
        <v>20</v>
      </c>
      <c r="J29" s="81"/>
      <c r="K29" s="11"/>
      <c r="L29" s="87"/>
      <c r="M29" s="361" t="s">
        <v>317</v>
      </c>
      <c r="N29" s="393">
        <v>33131</v>
      </c>
      <c r="O29" s="194"/>
      <c r="R29" s="215">
        <v>10938</v>
      </c>
      <c r="S29" s="216">
        <v>3949.07</v>
      </c>
      <c r="T29" s="216"/>
      <c r="U29" s="331">
        <v>2720770</v>
      </c>
      <c r="V29" s="332">
        <v>40121</v>
      </c>
      <c r="W29" s="333">
        <v>42036</v>
      </c>
      <c r="Y29" s="287"/>
      <c r="Z29" s="340">
        <v>42056</v>
      </c>
      <c r="AA29" s="342">
        <v>12790</v>
      </c>
      <c r="AB29" s="59">
        <v>80540.429999999993</v>
      </c>
      <c r="AC29" s="368" t="s">
        <v>326</v>
      </c>
      <c r="AD29" s="369">
        <f>57158.28+23382.15</f>
        <v>80540.429999999993</v>
      </c>
      <c r="AE29" s="297">
        <f t="shared" si="0"/>
        <v>0</v>
      </c>
    </row>
    <row r="30" spans="1:31" ht="16.5" thickBot="1" x14ac:dyDescent="0.3">
      <c r="A30" s="21"/>
      <c r="B30" s="388">
        <v>42061</v>
      </c>
      <c r="C30" s="46">
        <v>0</v>
      </c>
      <c r="D30" s="96"/>
      <c r="E30" s="389">
        <v>42061</v>
      </c>
      <c r="F30" s="52">
        <v>42322.5</v>
      </c>
      <c r="G30" s="25"/>
      <c r="H30" s="390">
        <v>42061</v>
      </c>
      <c r="I30" s="63">
        <v>472.82</v>
      </c>
      <c r="J30" s="98"/>
      <c r="K30" s="11"/>
      <c r="L30" s="87"/>
      <c r="M30" s="395" t="s">
        <v>318</v>
      </c>
      <c r="N30" s="393">
        <v>41849.68</v>
      </c>
      <c r="O30" s="194"/>
      <c r="R30" s="233">
        <v>10947</v>
      </c>
      <c r="S30" s="234">
        <v>55946.879999999997</v>
      </c>
      <c r="T30" s="234"/>
      <c r="U30" s="331">
        <v>2720556</v>
      </c>
      <c r="V30" s="332">
        <v>69725.5</v>
      </c>
      <c r="W30" s="333">
        <v>42037</v>
      </c>
      <c r="Y30" s="287"/>
      <c r="Z30" s="343">
        <v>42059</v>
      </c>
      <c r="AA30" s="344">
        <v>13032</v>
      </c>
      <c r="AB30" s="81">
        <v>17191.400000000001</v>
      </c>
      <c r="AC30" s="365">
        <v>42066</v>
      </c>
      <c r="AD30" s="366">
        <v>17191.400000000001</v>
      </c>
      <c r="AE30" s="297">
        <f t="shared" si="0"/>
        <v>0</v>
      </c>
    </row>
    <row r="31" spans="1:31" ht="16.5" thickBot="1" x14ac:dyDescent="0.3">
      <c r="A31" s="21"/>
      <c r="B31" s="388">
        <v>42062</v>
      </c>
      <c r="C31" s="46">
        <v>1034</v>
      </c>
      <c r="D31" s="96" t="s">
        <v>83</v>
      </c>
      <c r="E31" s="389">
        <v>42062</v>
      </c>
      <c r="F31" s="52">
        <v>63969</v>
      </c>
      <c r="G31" s="25"/>
      <c r="H31" s="390">
        <v>42062</v>
      </c>
      <c r="I31" s="63">
        <v>326</v>
      </c>
      <c r="J31" s="82"/>
      <c r="K31" s="11"/>
      <c r="L31" s="87"/>
      <c r="M31" s="395" t="s">
        <v>319</v>
      </c>
      <c r="N31" s="393">
        <v>62609</v>
      </c>
      <c r="O31" s="196"/>
      <c r="R31" s="233">
        <v>11130</v>
      </c>
      <c r="S31" s="234">
        <v>104632.41</v>
      </c>
      <c r="T31" s="234"/>
      <c r="U31" s="331">
        <v>2720554</v>
      </c>
      <c r="V31" s="332">
        <v>23187</v>
      </c>
      <c r="W31" s="333">
        <v>42038</v>
      </c>
      <c r="Y31" s="287"/>
      <c r="Z31" s="343">
        <v>42060</v>
      </c>
      <c r="AA31" s="344">
        <v>13101</v>
      </c>
      <c r="AB31" s="292">
        <v>1303.2</v>
      </c>
      <c r="AC31" s="365">
        <v>42066</v>
      </c>
      <c r="AD31" s="366">
        <v>1303.2</v>
      </c>
      <c r="AE31" s="297">
        <f t="shared" si="0"/>
        <v>0</v>
      </c>
    </row>
    <row r="32" spans="1:31" ht="15.75" x14ac:dyDescent="0.25">
      <c r="A32" s="21"/>
      <c r="B32" s="401">
        <v>42063</v>
      </c>
      <c r="C32" s="46">
        <v>0</v>
      </c>
      <c r="D32" s="96"/>
      <c r="E32" s="402">
        <v>42063</v>
      </c>
      <c r="F32" s="52">
        <v>86001.8</v>
      </c>
      <c r="G32" s="25"/>
      <c r="H32" s="403">
        <v>42063</v>
      </c>
      <c r="I32" s="63">
        <v>575.5</v>
      </c>
      <c r="J32" s="81"/>
      <c r="K32" s="11"/>
      <c r="L32" s="87"/>
      <c r="M32" s="395" t="s">
        <v>331</v>
      </c>
      <c r="N32" s="404">
        <v>85426.3</v>
      </c>
      <c r="O32" s="196"/>
      <c r="R32" s="233">
        <v>11253</v>
      </c>
      <c r="S32" s="234">
        <v>5632.2</v>
      </c>
      <c r="T32" s="234"/>
      <c r="U32" s="331">
        <v>2720555</v>
      </c>
      <c r="V32" s="332">
        <v>38554</v>
      </c>
      <c r="W32" s="333">
        <v>42039</v>
      </c>
      <c r="Y32" s="287"/>
      <c r="Z32" s="343">
        <v>42060</v>
      </c>
      <c r="AA32" s="344">
        <v>13115</v>
      </c>
      <c r="AB32" s="81">
        <v>67289.59</v>
      </c>
      <c r="AC32" s="365">
        <v>42066</v>
      </c>
      <c r="AD32" s="366">
        <v>67289.59</v>
      </c>
      <c r="AE32" s="297">
        <f t="shared" si="0"/>
        <v>0</v>
      </c>
    </row>
    <row r="33" spans="1:32" ht="15.75" x14ac:dyDescent="0.25">
      <c r="A33" s="21"/>
      <c r="B33" s="40"/>
      <c r="C33" s="46"/>
      <c r="D33" s="96"/>
      <c r="E33" s="28"/>
      <c r="F33" s="52"/>
      <c r="G33" s="25"/>
      <c r="H33" s="29"/>
      <c r="I33" s="63"/>
      <c r="J33" s="81"/>
      <c r="K33" s="11"/>
      <c r="L33" s="86"/>
      <c r="M33" s="174"/>
      <c r="N33" s="116"/>
      <c r="O33" s="196"/>
      <c r="R33" s="233">
        <v>11316</v>
      </c>
      <c r="S33" s="234">
        <v>54303.14</v>
      </c>
      <c r="T33" s="234"/>
      <c r="U33" s="331">
        <v>2720522</v>
      </c>
      <c r="V33" s="332">
        <v>28127</v>
      </c>
      <c r="W33" s="333">
        <v>42040</v>
      </c>
      <c r="Y33" s="287"/>
      <c r="Z33" s="343">
        <v>42061</v>
      </c>
      <c r="AA33" s="344">
        <v>13200</v>
      </c>
      <c r="AB33" s="81">
        <v>5418.4</v>
      </c>
      <c r="AC33" s="365">
        <v>42066</v>
      </c>
      <c r="AD33" s="366">
        <v>5418.4</v>
      </c>
      <c r="AE33" s="297">
        <f t="shared" si="0"/>
        <v>0</v>
      </c>
    </row>
    <row r="34" spans="1:32" ht="15.75" x14ac:dyDescent="0.25">
      <c r="A34" s="21"/>
      <c r="B34" s="40"/>
      <c r="C34" s="46"/>
      <c r="D34" s="96"/>
      <c r="E34" s="28"/>
      <c r="F34" s="52"/>
      <c r="G34" s="25"/>
      <c r="H34" s="29"/>
      <c r="I34" s="63"/>
      <c r="J34" s="81"/>
      <c r="K34" s="11"/>
      <c r="L34" s="86"/>
      <c r="M34" s="174"/>
      <c r="N34" s="116"/>
      <c r="O34" s="196"/>
      <c r="R34" s="233">
        <v>11352</v>
      </c>
      <c r="S34" s="235">
        <v>5875.2</v>
      </c>
      <c r="T34" s="235"/>
      <c r="U34" s="331">
        <v>2720523</v>
      </c>
      <c r="V34" s="332">
        <v>57589.5</v>
      </c>
      <c r="W34" s="333">
        <v>42041</v>
      </c>
      <c r="Y34" s="287"/>
      <c r="Z34" s="343">
        <v>42062</v>
      </c>
      <c r="AA34" s="344">
        <v>13305</v>
      </c>
      <c r="AB34" s="81">
        <v>17398.55</v>
      </c>
      <c r="AC34" s="365">
        <v>42066</v>
      </c>
      <c r="AD34" s="366">
        <v>17398.55</v>
      </c>
      <c r="AE34" s="297">
        <f t="shared" si="0"/>
        <v>0</v>
      </c>
    </row>
    <row r="35" spans="1:32" ht="16.5" thickBot="1" x14ac:dyDescent="0.3">
      <c r="A35" s="21"/>
      <c r="B35" s="40"/>
      <c r="C35" s="46"/>
      <c r="D35" s="96"/>
      <c r="E35" s="28"/>
      <c r="F35" s="52"/>
      <c r="G35" s="25"/>
      <c r="H35" s="29"/>
      <c r="I35" s="63"/>
      <c r="J35" s="81"/>
      <c r="K35" s="11"/>
      <c r="L35" s="7"/>
      <c r="M35" s="174"/>
      <c r="N35" s="116"/>
      <c r="O35" s="196"/>
      <c r="R35" s="237">
        <v>11404</v>
      </c>
      <c r="S35" s="324">
        <v>46068.75</v>
      </c>
      <c r="T35" s="230"/>
      <c r="U35" s="237">
        <v>2720524</v>
      </c>
      <c r="V35" s="324">
        <v>89942.5</v>
      </c>
      <c r="W35" s="334">
        <v>42042</v>
      </c>
      <c r="Y35" s="287"/>
      <c r="Z35" s="343">
        <v>42062</v>
      </c>
      <c r="AA35" s="344">
        <v>13358</v>
      </c>
      <c r="AB35" s="81">
        <v>80548.7</v>
      </c>
      <c r="AC35" s="367">
        <v>42066</v>
      </c>
      <c r="AD35" s="366">
        <v>76193.710000000006</v>
      </c>
      <c r="AE35" s="297">
        <f t="shared" si="0"/>
        <v>4354.9899999999907</v>
      </c>
    </row>
    <row r="36" spans="1:32" ht="16.5" thickBot="1" x14ac:dyDescent="0.3">
      <c r="A36" s="15"/>
      <c r="B36" s="145"/>
      <c r="C36" s="146">
        <v>0</v>
      </c>
      <c r="D36" s="156"/>
      <c r="E36" s="28"/>
      <c r="F36" s="52"/>
      <c r="G36" s="25"/>
      <c r="H36" s="147"/>
      <c r="I36" s="148"/>
      <c r="J36" s="56"/>
      <c r="K36" s="11"/>
      <c r="L36" s="7"/>
      <c r="M36" s="72"/>
      <c r="N36" s="115"/>
      <c r="R36" s="237">
        <v>11438</v>
      </c>
      <c r="S36" s="324">
        <v>5312</v>
      </c>
      <c r="T36" s="230"/>
      <c r="U36" s="237">
        <v>2720525</v>
      </c>
      <c r="V36" s="324">
        <v>28176</v>
      </c>
      <c r="W36" s="334">
        <v>42043</v>
      </c>
      <c r="Y36" s="287"/>
      <c r="Z36" s="343"/>
      <c r="AA36" s="344"/>
      <c r="AB36" s="81">
        <v>0</v>
      </c>
      <c r="AC36" s="252"/>
      <c r="AD36" s="294"/>
      <c r="AE36" s="297">
        <f t="shared" si="0"/>
        <v>0</v>
      </c>
    </row>
    <row r="37" spans="1:32" ht="16.5" thickBot="1" x14ac:dyDescent="0.3">
      <c r="A37" s="99"/>
      <c r="B37" s="42"/>
      <c r="C37" s="48">
        <v>0</v>
      </c>
      <c r="D37" s="156"/>
      <c r="E37" s="9"/>
      <c r="F37" s="54">
        <v>0</v>
      </c>
      <c r="H37" s="32"/>
      <c r="I37" s="65"/>
      <c r="J37" s="56"/>
      <c r="K37" s="17"/>
      <c r="L37" s="117"/>
      <c r="M37" s="801">
        <f>SUM(N5:N36)</f>
        <v>1212068.6499999999</v>
      </c>
      <c r="N37" s="802"/>
      <c r="R37" s="237">
        <v>11503</v>
      </c>
      <c r="S37" s="324">
        <v>11924.3</v>
      </c>
      <c r="T37" s="230"/>
      <c r="U37" s="237" t="s">
        <v>292</v>
      </c>
      <c r="V37" s="324">
        <v>500</v>
      </c>
      <c r="W37" s="334">
        <v>42049</v>
      </c>
      <c r="Y37" s="287"/>
      <c r="Z37" s="343"/>
      <c r="AA37" s="344"/>
      <c r="AB37" s="81">
        <v>0</v>
      </c>
      <c r="AC37" s="252"/>
      <c r="AD37" s="294">
        <v>0</v>
      </c>
      <c r="AE37" s="297">
        <f t="shared" si="0"/>
        <v>0</v>
      </c>
    </row>
    <row r="38" spans="1:32" ht="15.75" thickBot="1" x14ac:dyDescent="0.3">
      <c r="B38" s="43" t="s">
        <v>1</v>
      </c>
      <c r="C38" s="49">
        <f>SUM(C5:C37)</f>
        <v>26018.48</v>
      </c>
      <c r="E38" s="377" t="s">
        <v>1</v>
      </c>
      <c r="F38" s="55">
        <f>SUM(F5:F37)</f>
        <v>1231978.8</v>
      </c>
      <c r="H38" s="379" t="s">
        <v>1</v>
      </c>
      <c r="I38" s="59">
        <f>SUM(I5:I37)</f>
        <v>13122.67</v>
      </c>
      <c r="J38" s="59"/>
      <c r="K38" s="18" t="s">
        <v>1</v>
      </c>
      <c r="L38" s="4">
        <f t="shared" ref="L38" si="1">SUM(L5:L37)</f>
        <v>69329.33</v>
      </c>
      <c r="M38" s="72"/>
      <c r="R38" s="237">
        <v>11622</v>
      </c>
      <c r="S38" s="324">
        <v>42684.95</v>
      </c>
      <c r="T38" s="230"/>
      <c r="U38" s="237">
        <v>2720526</v>
      </c>
      <c r="V38" s="324">
        <v>29496</v>
      </c>
      <c r="W38" s="334">
        <v>42044</v>
      </c>
      <c r="Y38" s="287"/>
      <c r="Z38" s="288"/>
      <c r="AA38" s="263"/>
      <c r="AB38" s="180">
        <v>0</v>
      </c>
      <c r="AC38" s="338"/>
      <c r="AD38" s="295">
        <v>0</v>
      </c>
      <c r="AE38" s="298">
        <f>AB38-AD38</f>
        <v>0</v>
      </c>
    </row>
    <row r="39" spans="1:32" ht="15.75" thickTop="1" x14ac:dyDescent="0.25">
      <c r="M39" s="72"/>
      <c r="R39" s="237">
        <v>11631</v>
      </c>
      <c r="S39" s="324">
        <v>6026.24</v>
      </c>
      <c r="T39" s="230"/>
      <c r="U39" s="237">
        <v>2720527</v>
      </c>
      <c r="V39" s="324">
        <v>37516</v>
      </c>
      <c r="W39" s="334">
        <v>42045</v>
      </c>
      <c r="Y39" s="287"/>
      <c r="Z39" s="288"/>
      <c r="AA39" s="5"/>
      <c r="AB39" s="44">
        <f>SUM(AB3:AB38)</f>
        <v>1080694.02</v>
      </c>
      <c r="AD39" s="44">
        <f>SUM(AD3:AD38)</f>
        <v>1076339.03</v>
      </c>
      <c r="AE39" s="44">
        <f>SUM(AE3:AE38)</f>
        <v>4354.9899999999907</v>
      </c>
    </row>
    <row r="40" spans="1:32" ht="15.75" customHeight="1" x14ac:dyDescent="0.25">
      <c r="A40" s="5"/>
      <c r="B40" s="280"/>
      <c r="C40" s="81"/>
      <c r="D40" s="157"/>
      <c r="E40" s="13"/>
      <c r="F40" s="56"/>
      <c r="H40" s="785" t="s">
        <v>11</v>
      </c>
      <c r="I40" s="786"/>
      <c r="J40" s="378"/>
      <c r="K40" s="787">
        <f>I38+L38</f>
        <v>82452</v>
      </c>
      <c r="L40" s="788"/>
      <c r="M40" s="72"/>
      <c r="R40" s="237">
        <v>11715</v>
      </c>
      <c r="S40" s="324">
        <v>18927.400000000001</v>
      </c>
      <c r="T40" s="230"/>
      <c r="U40" s="237">
        <v>2720528</v>
      </c>
      <c r="V40" s="324">
        <v>26200</v>
      </c>
      <c r="W40" s="334">
        <v>42046</v>
      </c>
      <c r="Y40" s="287"/>
      <c r="Z40" s="288" t="s">
        <v>17</v>
      </c>
      <c r="AA40" s="253"/>
      <c r="AB40" s="81"/>
      <c r="AC40" s="253"/>
      <c r="AD40" s="294"/>
      <c r="AE40" s="294"/>
    </row>
    <row r="41" spans="1:32" ht="15.75" customHeight="1" x14ac:dyDescent="0.25">
      <c r="B41" s="281"/>
      <c r="C41" s="56"/>
      <c r="D41" s="779" t="s">
        <v>12</v>
      </c>
      <c r="E41" s="779"/>
      <c r="F41" s="57">
        <f>F38-K40</f>
        <v>1149526.8</v>
      </c>
      <c r="I41" s="66"/>
      <c r="J41" s="66"/>
      <c r="M41" s="72"/>
      <c r="R41" s="237">
        <v>11817</v>
      </c>
      <c r="S41" s="324">
        <v>1486.8</v>
      </c>
      <c r="T41" s="230"/>
      <c r="U41" s="231"/>
      <c r="V41" s="232">
        <v>0</v>
      </c>
      <c r="W41" s="229"/>
      <c r="Y41" s="287"/>
      <c r="Z41" s="288"/>
      <c r="AA41" s="253"/>
      <c r="AB41" s="81"/>
      <c r="AC41" s="253"/>
      <c r="AD41" s="294"/>
      <c r="AE41" s="294"/>
      <c r="AF41" s="25"/>
    </row>
    <row r="42" spans="1:32" ht="15.75" customHeight="1" x14ac:dyDescent="0.25">
      <c r="D42" s="805" t="s">
        <v>246</v>
      </c>
      <c r="E42" s="805"/>
      <c r="F42" s="57">
        <v>-1080684.02</v>
      </c>
      <c r="I42" s="66"/>
      <c r="J42" s="66"/>
      <c r="M42" s="72"/>
      <c r="R42" s="237">
        <v>11863</v>
      </c>
      <c r="S42" s="324">
        <v>105272.66</v>
      </c>
      <c r="T42" s="230"/>
      <c r="U42" s="231"/>
      <c r="V42" s="232">
        <v>0</v>
      </c>
      <c r="W42" s="229"/>
      <c r="Y42" s="287"/>
      <c r="Z42" s="288"/>
      <c r="AA42" s="253"/>
      <c r="AB42" s="81"/>
      <c r="AC42" s="253"/>
      <c r="AD42" s="294"/>
      <c r="AE42" s="294"/>
    </row>
    <row r="43" spans="1:32" ht="15.75" thickBot="1" x14ac:dyDescent="0.3">
      <c r="D43" s="159"/>
      <c r="E43" s="120" t="s">
        <v>0</v>
      </c>
      <c r="F43" s="121">
        <f>-C38</f>
        <v>-26018.48</v>
      </c>
      <c r="R43" s="237">
        <v>11943</v>
      </c>
      <c r="S43" s="324">
        <v>1092.5</v>
      </c>
      <c r="T43" s="230" t="s">
        <v>236</v>
      </c>
      <c r="U43" s="231"/>
      <c r="V43" s="232">
        <v>0</v>
      </c>
      <c r="W43" s="229"/>
      <c r="Y43" s="287"/>
      <c r="Z43" s="288"/>
      <c r="AA43" s="253"/>
      <c r="AB43" s="81"/>
      <c r="AC43" s="253"/>
      <c r="AD43" s="294"/>
      <c r="AE43" s="294"/>
    </row>
    <row r="44" spans="1:32" ht="16.5" customHeight="1" thickTop="1" x14ac:dyDescent="0.25">
      <c r="C44" s="44" t="s">
        <v>17</v>
      </c>
      <c r="E44" s="5" t="s">
        <v>15</v>
      </c>
      <c r="F44" s="59">
        <f>SUM(F41:F43)</f>
        <v>42824.300000000032</v>
      </c>
      <c r="I44" s="813" t="s">
        <v>248</v>
      </c>
      <c r="J44" s="814"/>
      <c r="K44" s="803">
        <f>F48+L46</f>
        <v>168656.53000000003</v>
      </c>
      <c r="L44" s="795"/>
      <c r="R44" s="329"/>
      <c r="S44" s="330">
        <v>0</v>
      </c>
      <c r="T44" s="325"/>
      <c r="U44" s="326"/>
      <c r="V44" s="327">
        <v>0</v>
      </c>
      <c r="W44" s="328"/>
      <c r="Y44" s="287"/>
      <c r="Z44" s="288"/>
      <c r="AA44" s="253"/>
      <c r="AB44" s="81"/>
      <c r="AC44" s="253"/>
      <c r="AD44" s="294"/>
      <c r="AE44" s="294"/>
    </row>
    <row r="45" spans="1:32" ht="16.5" customHeight="1" thickBot="1" x14ac:dyDescent="0.3">
      <c r="D45" s="265" t="s">
        <v>253</v>
      </c>
      <c r="E45" s="5" t="s">
        <v>247</v>
      </c>
      <c r="F45" s="59">
        <v>20663</v>
      </c>
      <c r="I45" s="815"/>
      <c r="J45" s="816"/>
      <c r="K45" s="804"/>
      <c r="L45" s="796"/>
      <c r="M45" s="110"/>
      <c r="R45" s="244"/>
      <c r="S45" s="226">
        <v>0</v>
      </c>
      <c r="T45" s="226"/>
      <c r="U45" s="227"/>
      <c r="V45" s="58">
        <v>0</v>
      </c>
      <c r="W45" s="245"/>
      <c r="Y45" s="287"/>
      <c r="Z45" s="288"/>
      <c r="AA45" s="253"/>
      <c r="AB45" s="81"/>
      <c r="AC45" s="253"/>
      <c r="AD45" s="294"/>
      <c r="AE45" s="294"/>
    </row>
    <row r="46" spans="1:32" ht="17.25" thickTop="1" thickBot="1" x14ac:dyDescent="0.3">
      <c r="C46" s="55"/>
      <c r="D46" s="778" t="s">
        <v>13</v>
      </c>
      <c r="E46" s="778"/>
      <c r="F46" s="60">
        <v>105169.23</v>
      </c>
      <c r="I46" s="790"/>
      <c r="J46" s="790"/>
      <c r="K46" s="812"/>
      <c r="L46" s="34"/>
      <c r="S46" s="208">
        <f>SUM(S29:S45)</f>
        <v>469134.5</v>
      </c>
      <c r="T46" s="208"/>
      <c r="U46" s="206"/>
      <c r="V46" s="207">
        <f>SUM(V29:V45)</f>
        <v>469134.5</v>
      </c>
      <c r="Y46" s="252"/>
      <c r="Z46" s="286"/>
      <c r="AA46" s="290"/>
      <c r="AB46" s="293"/>
      <c r="AC46" s="290"/>
      <c r="AD46" s="50"/>
      <c r="AE46" s="50"/>
    </row>
    <row r="47" spans="1:32" ht="19.5" thickBot="1" x14ac:dyDescent="0.35">
      <c r="C47" s="55"/>
      <c r="D47" s="377"/>
      <c r="E47" s="377"/>
      <c r="F47" s="139"/>
      <c r="H47" s="19"/>
      <c r="I47" s="380" t="s">
        <v>254</v>
      </c>
      <c r="J47" s="380"/>
      <c r="K47" s="806">
        <v>84436.98</v>
      </c>
      <c r="L47" s="807"/>
    </row>
    <row r="48" spans="1:32" ht="20.25" thickTop="1" thickBot="1" x14ac:dyDescent="0.35">
      <c r="E48" s="6" t="s">
        <v>16</v>
      </c>
      <c r="F48" s="264">
        <f>F44+F45+F46</f>
        <v>168656.53000000003</v>
      </c>
      <c r="S48" s="204" t="s">
        <v>205</v>
      </c>
      <c r="T48" s="204"/>
      <c r="U48" s="213"/>
      <c r="V48" s="323">
        <v>42061</v>
      </c>
    </row>
    <row r="49" spans="2:29" ht="19.5" thickBot="1" x14ac:dyDescent="0.35">
      <c r="B49"/>
      <c r="C49"/>
      <c r="D49" s="777"/>
      <c r="E49" s="777"/>
      <c r="F49" s="56"/>
      <c r="I49" s="810" t="s">
        <v>249</v>
      </c>
      <c r="J49" s="811"/>
      <c r="K49" s="808">
        <f>K44-K47</f>
        <v>84219.550000000032</v>
      </c>
      <c r="L49" s="809"/>
      <c r="N49" s="113"/>
      <c r="R49" s="205"/>
      <c r="S49" s="205"/>
      <c r="T49" s="205"/>
      <c r="U49" s="206"/>
      <c r="V49" s="207"/>
      <c r="W49" s="223"/>
      <c r="AA49" t="s">
        <v>101</v>
      </c>
    </row>
    <row r="50" spans="2:29" ht="15.75" x14ac:dyDescent="0.25">
      <c r="B50"/>
      <c r="C50"/>
      <c r="M50" s="107"/>
      <c r="N50" s="113"/>
      <c r="R50" s="212" t="s">
        <v>202</v>
      </c>
      <c r="S50" s="205" t="s">
        <v>195</v>
      </c>
      <c r="T50" s="205"/>
      <c r="U50" s="206" t="s">
        <v>203</v>
      </c>
      <c r="V50" s="207" t="s">
        <v>204</v>
      </c>
      <c r="W50" s="223"/>
      <c r="X50" t="s">
        <v>313</v>
      </c>
    </row>
    <row r="51" spans="2:29" ht="15.75" x14ac:dyDescent="0.25">
      <c r="B51"/>
      <c r="C51"/>
      <c r="R51" s="215">
        <v>11943</v>
      </c>
      <c r="S51" s="216">
        <v>11702.7</v>
      </c>
      <c r="T51" s="216"/>
      <c r="U51" s="331" t="s">
        <v>292</v>
      </c>
      <c r="V51" s="332">
        <v>1278.5</v>
      </c>
      <c r="W51" s="333">
        <v>42056</v>
      </c>
      <c r="X51" s="21">
        <v>42046</v>
      </c>
    </row>
    <row r="52" spans="2:29" ht="15.75" x14ac:dyDescent="0.25">
      <c r="B52"/>
      <c r="C52"/>
      <c r="F52"/>
      <c r="I52"/>
      <c r="J52"/>
      <c r="N52"/>
      <c r="R52" s="233">
        <v>12013</v>
      </c>
      <c r="S52" s="234">
        <v>5974.5</v>
      </c>
      <c r="T52" s="234"/>
      <c r="U52" s="331">
        <v>2720534</v>
      </c>
      <c r="V52" s="332">
        <v>33719</v>
      </c>
      <c r="W52" s="333">
        <v>42047</v>
      </c>
      <c r="X52" s="21">
        <v>42047</v>
      </c>
    </row>
    <row r="53" spans="2:29" ht="15.75" x14ac:dyDescent="0.25">
      <c r="B53"/>
      <c r="C53"/>
      <c r="R53" s="233">
        <v>12113</v>
      </c>
      <c r="S53" s="234">
        <v>23987.85</v>
      </c>
      <c r="T53" s="234"/>
      <c r="U53" s="331">
        <v>2720535</v>
      </c>
      <c r="V53" s="332">
        <v>50933</v>
      </c>
      <c r="W53" s="333">
        <v>42048</v>
      </c>
      <c r="X53" s="21">
        <v>42048</v>
      </c>
    </row>
    <row r="54" spans="2:29" ht="15.75" x14ac:dyDescent="0.25">
      <c r="B54"/>
      <c r="C54"/>
      <c r="R54" s="233">
        <v>12216</v>
      </c>
      <c r="S54" s="234">
        <v>74819.97</v>
      </c>
      <c r="T54" s="234"/>
      <c r="U54" s="331">
        <v>2720536</v>
      </c>
      <c r="V54" s="332">
        <v>64447</v>
      </c>
      <c r="W54" s="333">
        <v>42049</v>
      </c>
      <c r="X54" s="21">
        <v>42049</v>
      </c>
    </row>
    <row r="55" spans="2:29" ht="15.75" x14ac:dyDescent="0.25">
      <c r="B55"/>
      <c r="C55"/>
      <c r="R55" s="233">
        <v>12256</v>
      </c>
      <c r="S55" s="234">
        <v>15291.4</v>
      </c>
      <c r="T55" s="234"/>
      <c r="U55" s="331" t="s">
        <v>292</v>
      </c>
      <c r="V55" s="332">
        <v>1933</v>
      </c>
      <c r="W55" s="333">
        <v>42055</v>
      </c>
      <c r="X55" s="21">
        <v>42050</v>
      </c>
    </row>
    <row r="56" spans="2:29" ht="15.75" x14ac:dyDescent="0.25">
      <c r="B56"/>
      <c r="C56"/>
      <c r="R56" s="233">
        <v>12324</v>
      </c>
      <c r="S56" s="235">
        <v>2958.4</v>
      </c>
      <c r="T56" s="235"/>
      <c r="U56" s="331">
        <v>2720531</v>
      </c>
      <c r="V56" s="332">
        <v>42650</v>
      </c>
      <c r="W56" s="333">
        <v>42050</v>
      </c>
      <c r="X56" s="21">
        <v>42050</v>
      </c>
    </row>
    <row r="57" spans="2:29" ht="15.75" x14ac:dyDescent="0.25">
      <c r="B57"/>
      <c r="C57"/>
      <c r="R57" s="237">
        <v>12393</v>
      </c>
      <c r="S57" s="324">
        <v>8257</v>
      </c>
      <c r="T57" s="230"/>
      <c r="U57" s="331">
        <v>2720532</v>
      </c>
      <c r="V57" s="324">
        <v>22451</v>
      </c>
      <c r="W57" s="334">
        <v>42051</v>
      </c>
      <c r="X57" s="21">
        <v>42051</v>
      </c>
    </row>
    <row r="58" spans="2:29" ht="15.75" x14ac:dyDescent="0.25">
      <c r="B58"/>
      <c r="C58"/>
      <c r="R58" s="237">
        <v>12467</v>
      </c>
      <c r="S58" s="324">
        <v>9009</v>
      </c>
      <c r="T58" s="230"/>
      <c r="U58" s="331">
        <v>2720530</v>
      </c>
      <c r="V58" s="324">
        <v>39700</v>
      </c>
      <c r="W58" s="334">
        <v>42052</v>
      </c>
      <c r="X58" s="21">
        <v>42052</v>
      </c>
    </row>
    <row r="59" spans="2:29" ht="15.75" x14ac:dyDescent="0.25">
      <c r="B59"/>
      <c r="C59"/>
      <c r="R59" s="237">
        <v>12487</v>
      </c>
      <c r="S59" s="324">
        <v>86062.9</v>
      </c>
      <c r="T59" s="230"/>
      <c r="U59" s="331" t="s">
        <v>292</v>
      </c>
      <c r="V59" s="324">
        <v>2238</v>
      </c>
      <c r="W59" s="334">
        <v>42054</v>
      </c>
      <c r="X59" s="21">
        <v>42052</v>
      </c>
    </row>
    <row r="60" spans="2:29" ht="15.75" x14ac:dyDescent="0.25">
      <c r="B60"/>
      <c r="C60"/>
      <c r="R60" s="237">
        <v>12767</v>
      </c>
      <c r="S60" s="324">
        <v>15944.6</v>
      </c>
      <c r="T60" s="230"/>
      <c r="U60" s="331" t="s">
        <v>292</v>
      </c>
      <c r="V60" s="324">
        <v>22060.5</v>
      </c>
      <c r="W60" s="334">
        <v>42054</v>
      </c>
      <c r="X60" s="21">
        <v>42053</v>
      </c>
      <c r="Z60" s="5" t="s">
        <v>315</v>
      </c>
    </row>
    <row r="61" spans="2:29" ht="15.75" x14ac:dyDescent="0.25">
      <c r="B61"/>
      <c r="C61"/>
      <c r="R61" s="237">
        <v>12773</v>
      </c>
      <c r="S61" s="324">
        <v>470.4</v>
      </c>
      <c r="T61" s="230"/>
      <c r="U61" s="331" t="s">
        <v>292</v>
      </c>
      <c r="V61" s="324">
        <v>800</v>
      </c>
      <c r="W61" s="334">
        <v>42055</v>
      </c>
      <c r="X61" s="37">
        <v>42053</v>
      </c>
      <c r="AC61" s="4"/>
    </row>
    <row r="62" spans="2:29" ht="15.75" x14ac:dyDescent="0.25">
      <c r="B62"/>
      <c r="C62"/>
      <c r="R62" s="237">
        <v>12790</v>
      </c>
      <c r="S62" s="324">
        <v>57158.28</v>
      </c>
      <c r="T62" s="230" t="s">
        <v>236</v>
      </c>
      <c r="U62" s="331" t="s">
        <v>292</v>
      </c>
      <c r="V62" s="324">
        <v>27900</v>
      </c>
      <c r="W62" s="334">
        <v>42055</v>
      </c>
      <c r="X62" s="37">
        <v>42054</v>
      </c>
    </row>
    <row r="63" spans="2:29" ht="15.75" x14ac:dyDescent="0.25">
      <c r="B63"/>
      <c r="C63"/>
      <c r="R63" s="237"/>
      <c r="S63" s="324"/>
      <c r="T63" s="230"/>
      <c r="U63" s="331" t="s">
        <v>292</v>
      </c>
      <c r="V63" s="324">
        <v>1527</v>
      </c>
      <c r="W63" s="229">
        <v>42056</v>
      </c>
      <c r="X63" s="37">
        <v>42054</v>
      </c>
    </row>
    <row r="64" spans="2:29" ht="15.75" x14ac:dyDescent="0.25">
      <c r="B64"/>
      <c r="C64"/>
      <c r="R64" s="237"/>
      <c r="S64" s="324"/>
      <c r="T64" s="230"/>
      <c r="U64" s="217"/>
      <c r="V64" s="232"/>
      <c r="W64" s="229"/>
      <c r="X64" s="37"/>
    </row>
    <row r="65" spans="2:26" ht="15.75" x14ac:dyDescent="0.25">
      <c r="B65"/>
      <c r="C65"/>
      <c r="D65"/>
      <c r="F65"/>
      <c r="I65"/>
      <c r="J65"/>
      <c r="N65"/>
      <c r="O65"/>
      <c r="P65"/>
      <c r="R65" s="237"/>
      <c r="S65" s="324"/>
      <c r="T65" s="230"/>
      <c r="U65" s="217"/>
      <c r="V65" s="232"/>
      <c r="W65" s="229"/>
      <c r="X65" s="37"/>
      <c r="Y65"/>
      <c r="Z65"/>
    </row>
    <row r="66" spans="2:26" ht="15.75" x14ac:dyDescent="0.25">
      <c r="B66"/>
      <c r="C66"/>
      <c r="D66"/>
      <c r="F66"/>
      <c r="I66"/>
      <c r="J66"/>
      <c r="N66"/>
      <c r="O66"/>
      <c r="P66"/>
      <c r="R66" s="329"/>
      <c r="S66" s="330">
        <v>0</v>
      </c>
      <c r="T66" s="325"/>
      <c r="U66" s="326"/>
      <c r="V66" s="327">
        <v>0</v>
      </c>
      <c r="W66" s="328"/>
      <c r="X66" s="13"/>
      <c r="Y66"/>
      <c r="Z66"/>
    </row>
    <row r="67" spans="2:26" ht="16.5" thickBot="1" x14ac:dyDescent="0.3">
      <c r="B67"/>
      <c r="C67"/>
      <c r="D67"/>
      <c r="F67"/>
      <c r="I67"/>
      <c r="J67"/>
      <c r="N67"/>
      <c r="O67"/>
      <c r="P67"/>
      <c r="R67" s="244"/>
      <c r="S67" s="226">
        <v>0</v>
      </c>
      <c r="T67" s="226"/>
      <c r="U67" s="227"/>
      <c r="V67" s="58">
        <v>0</v>
      </c>
      <c r="W67" s="245"/>
      <c r="X67" s="13"/>
      <c r="Y67"/>
      <c r="Z67"/>
    </row>
    <row r="68" spans="2:26" ht="16.5" thickTop="1" x14ac:dyDescent="0.25">
      <c r="B68"/>
      <c r="C68"/>
      <c r="D68"/>
      <c r="F68"/>
      <c r="I68"/>
      <c r="J68"/>
      <c r="N68"/>
      <c r="O68"/>
      <c r="P68"/>
      <c r="S68" s="208">
        <f>SUM(S51:S67)</f>
        <v>311637</v>
      </c>
      <c r="T68" s="208"/>
      <c r="U68" s="206"/>
      <c r="V68" s="207">
        <f>SUM(V51:V67)</f>
        <v>311637</v>
      </c>
      <c r="X68" s="13"/>
      <c r="Y68"/>
      <c r="Z68"/>
    </row>
    <row r="69" spans="2:26" x14ac:dyDescent="0.25">
      <c r="B69"/>
      <c r="C69"/>
      <c r="D69"/>
      <c r="F69"/>
      <c r="I69"/>
      <c r="J69"/>
      <c r="N69"/>
      <c r="O69"/>
      <c r="P69"/>
      <c r="X69" s="13"/>
      <c r="Y69"/>
      <c r="Z69"/>
    </row>
    <row r="70" spans="2:26" x14ac:dyDescent="0.25">
      <c r="B70"/>
      <c r="C70"/>
      <c r="D70"/>
      <c r="F70"/>
      <c r="I70"/>
      <c r="J70"/>
      <c r="N70"/>
      <c r="O70"/>
      <c r="P70"/>
      <c r="X70" s="13"/>
      <c r="Y70"/>
      <c r="Z70"/>
    </row>
    <row r="71" spans="2:26" x14ac:dyDescent="0.25">
      <c r="B71"/>
      <c r="C71"/>
      <c r="D71"/>
      <c r="F71"/>
      <c r="I71"/>
      <c r="J71"/>
      <c r="N71"/>
      <c r="O71"/>
      <c r="P71"/>
      <c r="X71" s="13"/>
      <c r="Y71"/>
      <c r="Z71"/>
    </row>
    <row r="72" spans="2:26" x14ac:dyDescent="0.25">
      <c r="B72"/>
      <c r="C72"/>
      <c r="D72"/>
      <c r="F72"/>
      <c r="I72"/>
      <c r="J72"/>
      <c r="N72"/>
      <c r="O72"/>
      <c r="P72"/>
      <c r="X72" s="13"/>
      <c r="Y72"/>
      <c r="Z72"/>
    </row>
    <row r="73" spans="2:26" x14ac:dyDescent="0.25">
      <c r="B73"/>
      <c r="C73"/>
      <c r="D73"/>
      <c r="F73"/>
      <c r="I73"/>
      <c r="J73"/>
      <c r="N73"/>
      <c r="O73"/>
      <c r="P73"/>
      <c r="Y73"/>
      <c r="Z73"/>
    </row>
    <row r="74" spans="2:26" x14ac:dyDescent="0.25">
      <c r="B74"/>
      <c r="C74"/>
      <c r="D74"/>
      <c r="F74"/>
      <c r="I74"/>
      <c r="J74"/>
      <c r="N74"/>
      <c r="O74"/>
      <c r="P74"/>
      <c r="Y74"/>
      <c r="Z74"/>
    </row>
    <row r="75" spans="2:26" x14ac:dyDescent="0.25">
      <c r="B75"/>
      <c r="C75"/>
      <c r="D75"/>
      <c r="F75"/>
      <c r="I75"/>
      <c r="J75"/>
      <c r="N75"/>
      <c r="O75"/>
      <c r="P75"/>
      <c r="Y75"/>
      <c r="Z75"/>
    </row>
    <row r="76" spans="2:26" x14ac:dyDescent="0.25">
      <c r="B76"/>
      <c r="C76"/>
      <c r="D76"/>
      <c r="F76"/>
      <c r="I76"/>
      <c r="J76"/>
      <c r="N76"/>
      <c r="O76"/>
      <c r="P76"/>
      <c r="Y76"/>
      <c r="Z76"/>
    </row>
    <row r="77" spans="2:26" x14ac:dyDescent="0.25">
      <c r="B77"/>
      <c r="C77"/>
      <c r="D77"/>
      <c r="F77"/>
      <c r="I77"/>
      <c r="J77"/>
      <c r="N77"/>
      <c r="O77"/>
      <c r="P77"/>
      <c r="Y77"/>
      <c r="Z77"/>
    </row>
    <row r="78" spans="2:26" x14ac:dyDescent="0.25">
      <c r="B78"/>
      <c r="C78"/>
      <c r="D78"/>
      <c r="F78"/>
      <c r="I78"/>
      <c r="J78"/>
      <c r="N78"/>
      <c r="O78"/>
      <c r="P78"/>
      <c r="Y78"/>
      <c r="Z78"/>
    </row>
    <row r="79" spans="2:26" x14ac:dyDescent="0.25">
      <c r="B79"/>
      <c r="C79"/>
      <c r="D79"/>
      <c r="F79"/>
      <c r="I79"/>
      <c r="J79"/>
      <c r="N79"/>
      <c r="O79"/>
      <c r="P79"/>
      <c r="Y79"/>
      <c r="Z79"/>
    </row>
    <row r="80" spans="2:26" x14ac:dyDescent="0.25">
      <c r="B80"/>
      <c r="C80"/>
      <c r="D80"/>
      <c r="F80"/>
      <c r="I80"/>
      <c r="J80"/>
      <c r="N80"/>
      <c r="O80"/>
      <c r="P80"/>
      <c r="Y80"/>
      <c r="Z80"/>
    </row>
    <row r="81" spans="2:26" x14ac:dyDescent="0.25">
      <c r="B81"/>
      <c r="C81"/>
      <c r="D81"/>
      <c r="F81"/>
      <c r="I81"/>
      <c r="J81"/>
      <c r="N81"/>
      <c r="O81"/>
      <c r="P81"/>
      <c r="Y81"/>
      <c r="Z81"/>
    </row>
    <row r="82" spans="2:26" x14ac:dyDescent="0.25">
      <c r="B82"/>
      <c r="C82"/>
      <c r="D82"/>
      <c r="F82"/>
      <c r="I82"/>
      <c r="J82"/>
      <c r="N82"/>
      <c r="O82"/>
      <c r="P82"/>
      <c r="Y82"/>
      <c r="Z82"/>
    </row>
    <row r="83" spans="2:26" x14ac:dyDescent="0.25">
      <c r="B83"/>
      <c r="C83"/>
      <c r="D83"/>
      <c r="F83"/>
      <c r="I83"/>
      <c r="J83"/>
      <c r="N83"/>
      <c r="O83"/>
      <c r="P83"/>
      <c r="Y83"/>
      <c r="Z83"/>
    </row>
    <row r="84" spans="2:26" x14ac:dyDescent="0.25">
      <c r="B84"/>
      <c r="C84"/>
      <c r="D84"/>
      <c r="F84"/>
      <c r="I84"/>
      <c r="J84"/>
      <c r="N84"/>
      <c r="O84"/>
      <c r="P84"/>
      <c r="Y84"/>
      <c r="Z84"/>
    </row>
    <row r="85" spans="2:26" x14ac:dyDescent="0.25">
      <c r="B85"/>
      <c r="C85"/>
      <c r="D85"/>
      <c r="F85"/>
      <c r="I85"/>
      <c r="J85"/>
      <c r="N85"/>
      <c r="O85"/>
      <c r="P85"/>
      <c r="Y85"/>
      <c r="Z85"/>
    </row>
  </sheetData>
  <sortState ref="Z5:AB23">
    <sortCondition ref="AA5:AA23"/>
  </sortState>
  <mergeCells count="16">
    <mergeCell ref="C1:K1"/>
    <mergeCell ref="E4:F4"/>
    <mergeCell ref="I4:L4"/>
    <mergeCell ref="M37:N37"/>
    <mergeCell ref="H40:I40"/>
    <mergeCell ref="K40:L40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31496062992125984" right="0.11811023622047245" top="0.15748031496062992" bottom="0.19685039370078741" header="0.31496062992125984" footer="0.31496062992125984"/>
  <pageSetup scale="70" orientation="landscape" horizontalDpi="0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86"/>
  <sheetViews>
    <sheetView topLeftCell="A19" workbookViewId="0">
      <selection activeCell="L37" sqref="L37"/>
    </sheetView>
  </sheetViews>
  <sheetFormatPr baseColWidth="10" defaultRowHeight="15" x14ac:dyDescent="0.25"/>
  <cols>
    <col min="2" max="2" width="18.7109375" bestFit="1" customWidth="1"/>
    <col min="3" max="3" width="10.140625" customWidth="1"/>
    <col min="4" max="4" width="15.28515625" style="111" customWidth="1"/>
    <col min="5" max="5" width="25.140625" style="44" bestFit="1" customWidth="1"/>
    <col min="6" max="6" width="11.42578125" style="222"/>
    <col min="8" max="8" width="11.42578125" style="276"/>
    <col min="9" max="9" width="11.42578125" style="5"/>
    <col min="10" max="10" width="12.85546875" bestFit="1" customWidth="1"/>
    <col min="11" max="11" width="14.140625" style="44" bestFit="1" customWidth="1"/>
    <col min="12" max="12" width="12.42578125" bestFit="1" customWidth="1"/>
    <col min="13" max="13" width="14.140625" style="44" bestFit="1" customWidth="1"/>
    <col min="14" max="14" width="18.5703125" style="44" bestFit="1" customWidth="1"/>
  </cols>
  <sheetData>
    <row r="1" spans="1:14" ht="18.75" x14ac:dyDescent="0.3">
      <c r="A1" s="73"/>
      <c r="B1" s="282"/>
      <c r="C1" s="282"/>
      <c r="D1" s="283"/>
      <c r="E1" s="284"/>
      <c r="F1" s="285"/>
      <c r="G1" s="73"/>
      <c r="J1" s="817" t="s">
        <v>261</v>
      </c>
      <c r="K1" s="817"/>
      <c r="L1" s="817"/>
      <c r="M1" s="817"/>
    </row>
    <row r="2" spans="1:14" ht="19.5" thickBot="1" x14ac:dyDescent="0.35">
      <c r="A2" s="73"/>
      <c r="B2" s="282"/>
      <c r="C2" s="282"/>
      <c r="D2" s="283"/>
      <c r="E2" s="284"/>
      <c r="F2" s="285"/>
      <c r="G2" s="73"/>
      <c r="J2" s="204"/>
    </row>
    <row r="3" spans="1:14" ht="20.25" thickTop="1" thickBot="1" x14ac:dyDescent="0.35">
      <c r="B3" s="204" t="s">
        <v>205</v>
      </c>
      <c r="C3" s="204"/>
      <c r="D3" s="213"/>
      <c r="E3" s="238">
        <v>42037</v>
      </c>
      <c r="G3" s="73"/>
      <c r="I3" s="406" t="s">
        <v>329</v>
      </c>
      <c r="J3" s="407" t="s">
        <v>330</v>
      </c>
      <c r="K3" s="408" t="s">
        <v>195</v>
      </c>
      <c r="L3" s="409"/>
      <c r="M3" s="408" t="s">
        <v>196</v>
      </c>
      <c r="N3" s="410" t="s">
        <v>197</v>
      </c>
    </row>
    <row r="4" spans="1:14" ht="15.75" x14ac:dyDescent="0.25">
      <c r="A4" s="205"/>
      <c r="B4" s="205"/>
      <c r="C4" s="205"/>
      <c r="D4" s="206"/>
      <c r="E4" s="207"/>
      <c r="F4" s="223"/>
      <c r="G4" s="73"/>
      <c r="I4" s="411">
        <v>42035</v>
      </c>
      <c r="J4" s="412">
        <v>10691</v>
      </c>
      <c r="K4" s="44">
        <v>62418.6</v>
      </c>
      <c r="L4" s="21" t="s">
        <v>258</v>
      </c>
      <c r="M4" s="44">
        <f>5676+15448.46+41294.14</f>
        <v>62418.6</v>
      </c>
      <c r="N4" s="413">
        <f t="shared" ref="N4:N38" si="0">K4-M4</f>
        <v>0</v>
      </c>
    </row>
    <row r="5" spans="1:14" ht="15.75" x14ac:dyDescent="0.25">
      <c r="A5" s="212" t="s">
        <v>202</v>
      </c>
      <c r="B5" s="205" t="s">
        <v>195</v>
      </c>
      <c r="C5" s="205"/>
      <c r="D5" s="206" t="s">
        <v>203</v>
      </c>
      <c r="E5" s="207" t="s">
        <v>204</v>
      </c>
      <c r="F5" s="223"/>
      <c r="G5" s="73"/>
      <c r="I5" s="340">
        <v>42038</v>
      </c>
      <c r="J5" s="341">
        <v>10938</v>
      </c>
      <c r="K5" s="44">
        <v>28921</v>
      </c>
      <c r="L5" s="335" t="s">
        <v>293</v>
      </c>
      <c r="M5" s="336">
        <f>24971.93+3949.07</f>
        <v>28921</v>
      </c>
      <c r="N5" s="296">
        <f t="shared" si="0"/>
        <v>0</v>
      </c>
    </row>
    <row r="6" spans="1:14" ht="15.75" x14ac:dyDescent="0.25">
      <c r="A6" s="215">
        <v>10691</v>
      </c>
      <c r="B6" s="216">
        <v>5676</v>
      </c>
      <c r="C6" s="216"/>
      <c r="D6" s="217" t="s">
        <v>229</v>
      </c>
      <c r="E6" s="218">
        <v>5676</v>
      </c>
      <c r="F6" s="224">
        <v>42025</v>
      </c>
      <c r="G6" s="73"/>
      <c r="I6" s="340">
        <v>42038</v>
      </c>
      <c r="J6" s="341">
        <v>10947</v>
      </c>
      <c r="K6" s="44">
        <v>55946.879999999997</v>
      </c>
      <c r="L6" s="222">
        <v>42055</v>
      </c>
      <c r="M6" s="44">
        <v>55946.879999999997</v>
      </c>
      <c r="N6" s="296">
        <f t="shared" si="0"/>
        <v>0</v>
      </c>
    </row>
    <row r="7" spans="1:14" ht="15.75" x14ac:dyDescent="0.25">
      <c r="A7" s="233"/>
      <c r="B7" s="234"/>
      <c r="C7" s="234"/>
      <c r="D7" s="217" t="s">
        <v>251</v>
      </c>
      <c r="E7" s="218"/>
      <c r="F7" s="224"/>
      <c r="G7" s="73"/>
      <c r="I7" s="340">
        <v>42040</v>
      </c>
      <c r="J7" s="341">
        <v>11130</v>
      </c>
      <c r="K7" s="44">
        <v>104632.41</v>
      </c>
      <c r="L7" s="222">
        <v>42055</v>
      </c>
      <c r="M7" s="44">
        <v>104632.41</v>
      </c>
      <c r="N7" s="296">
        <f t="shared" si="0"/>
        <v>0</v>
      </c>
    </row>
    <row r="8" spans="1:14" ht="15.75" x14ac:dyDescent="0.25">
      <c r="A8" s="233"/>
      <c r="B8" s="234"/>
      <c r="C8" s="234"/>
      <c r="D8" s="217"/>
      <c r="E8" s="218"/>
      <c r="F8" s="224"/>
      <c r="G8" s="73"/>
      <c r="I8" s="340">
        <v>42041</v>
      </c>
      <c r="J8" s="341">
        <v>11253</v>
      </c>
      <c r="K8" s="44">
        <v>5632.2</v>
      </c>
      <c r="L8" s="222">
        <v>42055</v>
      </c>
      <c r="M8" s="44">
        <v>5632.2</v>
      </c>
      <c r="N8" s="296">
        <f t="shared" si="0"/>
        <v>0</v>
      </c>
    </row>
    <row r="9" spans="1:14" ht="16.5" thickBot="1" x14ac:dyDescent="0.3">
      <c r="A9" s="244"/>
      <c r="B9" s="226">
        <v>0</v>
      </c>
      <c r="C9" s="226"/>
      <c r="D9" s="227"/>
      <c r="E9" s="58">
        <v>0</v>
      </c>
      <c r="F9" s="245"/>
      <c r="G9" s="73"/>
      <c r="I9" s="340">
        <v>42041</v>
      </c>
      <c r="J9" s="341">
        <v>11316</v>
      </c>
      <c r="K9" s="44">
        <v>54303.14</v>
      </c>
      <c r="L9" s="222">
        <v>42055</v>
      </c>
      <c r="M9" s="44">
        <v>54303.14</v>
      </c>
      <c r="N9" s="296">
        <f t="shared" si="0"/>
        <v>0</v>
      </c>
    </row>
    <row r="10" spans="1:14" ht="16.5" thickTop="1" x14ac:dyDescent="0.25">
      <c r="B10" s="208">
        <f>SUM(B6:B9)</f>
        <v>5676</v>
      </c>
      <c r="C10" s="208"/>
      <c r="D10" s="206"/>
      <c r="E10" s="207">
        <f>SUM(E6:E9)</f>
        <v>5676</v>
      </c>
      <c r="G10" s="73"/>
      <c r="I10" s="340">
        <v>42042</v>
      </c>
      <c r="J10" s="341">
        <v>11352</v>
      </c>
      <c r="K10" s="56">
        <v>5875.2</v>
      </c>
      <c r="L10" s="247">
        <v>42055</v>
      </c>
      <c r="M10" s="56">
        <v>5875.2</v>
      </c>
      <c r="N10" s="296">
        <f t="shared" si="0"/>
        <v>0</v>
      </c>
    </row>
    <row r="11" spans="1:14" ht="15.75" x14ac:dyDescent="0.25">
      <c r="A11" s="197"/>
      <c r="B11" s="274"/>
      <c r="C11" s="274"/>
      <c r="D11" s="271"/>
      <c r="E11" s="272"/>
      <c r="F11" s="273"/>
      <c r="G11" s="73"/>
      <c r="I11" s="340">
        <v>42042</v>
      </c>
      <c r="J11" s="342">
        <v>11404</v>
      </c>
      <c r="K11" s="56">
        <v>46068.75</v>
      </c>
      <c r="L11" s="247">
        <v>42055</v>
      </c>
      <c r="M11" s="56">
        <v>46068.75</v>
      </c>
      <c r="N11" s="296">
        <f t="shared" si="0"/>
        <v>0</v>
      </c>
    </row>
    <row r="12" spans="1:14" ht="16.5" thickBot="1" x14ac:dyDescent="0.3">
      <c r="A12" s="13"/>
      <c r="B12" s="13"/>
      <c r="C12" s="13"/>
      <c r="D12" s="136"/>
      <c r="E12" s="56"/>
      <c r="F12" s="247"/>
      <c r="G12" s="73"/>
      <c r="I12" s="340">
        <v>42043</v>
      </c>
      <c r="J12" s="342">
        <v>11438</v>
      </c>
      <c r="K12" s="50">
        <v>5312</v>
      </c>
      <c r="L12" s="222">
        <v>42055</v>
      </c>
      <c r="M12" s="50">
        <v>5312</v>
      </c>
      <c r="N12" s="297">
        <f t="shared" si="0"/>
        <v>0</v>
      </c>
    </row>
    <row r="13" spans="1:14" ht="19.5" thickBot="1" x14ac:dyDescent="0.35">
      <c r="B13" s="204" t="s">
        <v>205</v>
      </c>
      <c r="C13" s="204"/>
      <c r="D13" s="213"/>
      <c r="E13" s="238">
        <v>42038</v>
      </c>
      <c r="H13" s="252"/>
      <c r="I13" s="340">
        <v>42044</v>
      </c>
      <c r="J13" s="342">
        <v>11503</v>
      </c>
      <c r="K13" s="50">
        <v>11924.3</v>
      </c>
      <c r="L13" s="222">
        <v>42055</v>
      </c>
      <c r="M13" s="50">
        <v>11924.3</v>
      </c>
      <c r="N13" s="297">
        <f t="shared" si="0"/>
        <v>0</v>
      </c>
    </row>
    <row r="14" spans="1:14" ht="15.75" x14ac:dyDescent="0.25">
      <c r="A14" s="205"/>
      <c r="B14" s="205"/>
      <c r="C14" s="205"/>
      <c r="D14" s="206"/>
      <c r="E14" s="207"/>
      <c r="F14" s="223"/>
      <c r="H14" s="252"/>
      <c r="I14" s="340">
        <v>42045</v>
      </c>
      <c r="J14" s="342">
        <v>11622</v>
      </c>
      <c r="K14" s="50">
        <v>42684.95</v>
      </c>
      <c r="L14" s="222">
        <v>42055</v>
      </c>
      <c r="M14" s="50">
        <v>42684.95</v>
      </c>
      <c r="N14" s="297">
        <f t="shared" si="0"/>
        <v>0</v>
      </c>
    </row>
    <row r="15" spans="1:14" ht="15.75" x14ac:dyDescent="0.25">
      <c r="A15" s="212" t="s">
        <v>202</v>
      </c>
      <c r="B15" s="205" t="s">
        <v>195</v>
      </c>
      <c r="C15" s="205"/>
      <c r="D15" s="206" t="s">
        <v>203</v>
      </c>
      <c r="E15" s="207" t="s">
        <v>204</v>
      </c>
      <c r="F15" s="223"/>
      <c r="H15" s="287"/>
      <c r="I15" s="343">
        <v>42045</v>
      </c>
      <c r="J15" s="344">
        <v>11631</v>
      </c>
      <c r="K15" s="81">
        <v>6026.24</v>
      </c>
      <c r="L15" s="337">
        <v>42055</v>
      </c>
      <c r="M15" s="81">
        <v>6026.24</v>
      </c>
      <c r="N15" s="297">
        <f t="shared" si="0"/>
        <v>0</v>
      </c>
    </row>
    <row r="16" spans="1:14" ht="15.75" x14ac:dyDescent="0.25">
      <c r="A16" s="215">
        <v>10332</v>
      </c>
      <c r="B16" s="216">
        <v>18449.400000000001</v>
      </c>
      <c r="C16" s="216"/>
      <c r="D16" s="217">
        <v>2719748</v>
      </c>
      <c r="E16" s="218">
        <v>29563.5</v>
      </c>
      <c r="F16" s="224">
        <v>42030</v>
      </c>
      <c r="H16" s="287"/>
      <c r="I16" s="343">
        <v>42046</v>
      </c>
      <c r="J16" s="344">
        <v>11715</v>
      </c>
      <c r="K16" s="81">
        <v>18927.400000000001</v>
      </c>
      <c r="L16" s="337">
        <v>42055</v>
      </c>
      <c r="M16" s="81">
        <v>18927.400000000001</v>
      </c>
      <c r="N16" s="297">
        <f t="shared" si="0"/>
        <v>0</v>
      </c>
    </row>
    <row r="17" spans="1:14" ht="15.75" x14ac:dyDescent="0.25">
      <c r="A17" s="233">
        <v>10501</v>
      </c>
      <c r="B17" s="234">
        <v>25928.67</v>
      </c>
      <c r="C17" s="234" t="s">
        <v>257</v>
      </c>
      <c r="D17" s="217">
        <v>2720771</v>
      </c>
      <c r="E17" s="218">
        <v>97065.5</v>
      </c>
      <c r="F17" s="224">
        <v>42035</v>
      </c>
      <c r="H17" s="287"/>
      <c r="I17" s="343">
        <v>42047</v>
      </c>
      <c r="J17" s="344">
        <v>11817</v>
      </c>
      <c r="K17" s="81">
        <v>1486.8</v>
      </c>
      <c r="L17" s="337">
        <v>42055</v>
      </c>
      <c r="M17" s="81">
        <v>1486.8</v>
      </c>
      <c r="N17" s="297">
        <f t="shared" si="0"/>
        <v>0</v>
      </c>
    </row>
    <row r="18" spans="1:14" ht="15.75" x14ac:dyDescent="0.25">
      <c r="A18" s="233">
        <v>10654</v>
      </c>
      <c r="B18" s="234">
        <v>536.4</v>
      </c>
      <c r="C18" s="234"/>
      <c r="D18" s="217"/>
      <c r="E18" s="218"/>
      <c r="F18" s="224"/>
      <c r="H18" s="287"/>
      <c r="I18" s="343">
        <v>42047</v>
      </c>
      <c r="J18" s="344">
        <v>11863</v>
      </c>
      <c r="K18" s="81">
        <v>105272.66</v>
      </c>
      <c r="L18" s="337">
        <v>42055</v>
      </c>
      <c r="M18" s="81">
        <v>105272.66</v>
      </c>
      <c r="N18" s="297">
        <f t="shared" si="0"/>
        <v>0</v>
      </c>
    </row>
    <row r="19" spans="1:14" ht="15.75" x14ac:dyDescent="0.25">
      <c r="A19" s="233">
        <v>10691</v>
      </c>
      <c r="B19" s="234">
        <v>15448.46</v>
      </c>
      <c r="C19" s="234" t="s">
        <v>236</v>
      </c>
      <c r="D19" s="217"/>
      <c r="E19" s="218"/>
      <c r="F19" s="224"/>
      <c r="H19" s="287"/>
      <c r="I19" s="343">
        <v>42048</v>
      </c>
      <c r="J19" s="344">
        <v>11943</v>
      </c>
      <c r="K19" s="81">
        <v>12795.2</v>
      </c>
      <c r="L19" s="349" t="s">
        <v>314</v>
      </c>
      <c r="M19" s="350">
        <f>1092.5+11702.7</f>
        <v>12795.2</v>
      </c>
      <c r="N19" s="297">
        <f t="shared" si="0"/>
        <v>0</v>
      </c>
    </row>
    <row r="20" spans="1:14" ht="15.75" x14ac:dyDescent="0.25">
      <c r="A20" s="233">
        <v>10691</v>
      </c>
      <c r="B20" s="234">
        <v>41294.14</v>
      </c>
      <c r="C20" s="234"/>
      <c r="D20" s="217"/>
      <c r="E20" s="218"/>
      <c r="F20" s="224"/>
      <c r="H20" s="287"/>
      <c r="I20" s="343">
        <v>42049</v>
      </c>
      <c r="J20" s="344">
        <v>12013</v>
      </c>
      <c r="K20" s="81">
        <v>5974.5</v>
      </c>
      <c r="L20" s="347">
        <v>42061</v>
      </c>
      <c r="M20" s="348">
        <v>5974.5</v>
      </c>
      <c r="N20" s="297">
        <f t="shared" si="0"/>
        <v>0</v>
      </c>
    </row>
    <row r="21" spans="1:14" ht="15.75" x14ac:dyDescent="0.25">
      <c r="A21" s="242">
        <v>10938</v>
      </c>
      <c r="B21" s="240">
        <v>24971.93</v>
      </c>
      <c r="C21" s="240" t="s">
        <v>236</v>
      </c>
      <c r="D21" s="225"/>
      <c r="E21" s="228"/>
      <c r="F21" s="243"/>
      <c r="H21" s="287"/>
      <c r="I21" s="343">
        <v>42050</v>
      </c>
      <c r="J21" s="344">
        <v>12113</v>
      </c>
      <c r="K21" s="81">
        <v>23987.85</v>
      </c>
      <c r="L21" s="347">
        <v>42061</v>
      </c>
      <c r="M21" s="348">
        <v>23987.85</v>
      </c>
      <c r="N21" s="297">
        <f t="shared" si="0"/>
        <v>0</v>
      </c>
    </row>
    <row r="22" spans="1:14" ht="16.5" thickBot="1" x14ac:dyDescent="0.3">
      <c r="A22" s="244"/>
      <c r="B22" s="226">
        <v>0</v>
      </c>
      <c r="C22" s="226"/>
      <c r="D22" s="227"/>
      <c r="E22" s="58">
        <v>0</v>
      </c>
      <c r="F22" s="245"/>
      <c r="H22" s="287"/>
      <c r="I22" s="343">
        <v>42051</v>
      </c>
      <c r="J22" s="344">
        <v>12216</v>
      </c>
      <c r="K22" s="81">
        <v>74819.97</v>
      </c>
      <c r="L22" s="347">
        <v>42061</v>
      </c>
      <c r="M22" s="348">
        <v>74819.97</v>
      </c>
      <c r="N22" s="297">
        <f t="shared" si="0"/>
        <v>0</v>
      </c>
    </row>
    <row r="23" spans="1:14" ht="16.5" thickTop="1" x14ac:dyDescent="0.25">
      <c r="B23" s="208">
        <f>SUM(B16:B22)</f>
        <v>126629</v>
      </c>
      <c r="C23" s="208"/>
      <c r="D23" s="206"/>
      <c r="E23" s="207">
        <f>SUM(E16:E22)</f>
        <v>126629</v>
      </c>
      <c r="H23" s="287"/>
      <c r="I23" s="343">
        <v>42051</v>
      </c>
      <c r="J23" s="344">
        <v>12256</v>
      </c>
      <c r="K23" s="81">
        <v>15291.4</v>
      </c>
      <c r="L23" s="347">
        <v>42061</v>
      </c>
      <c r="M23" s="348">
        <v>15291.4</v>
      </c>
      <c r="N23" s="297">
        <f t="shared" si="0"/>
        <v>0</v>
      </c>
    </row>
    <row r="24" spans="1:14" ht="15.75" x14ac:dyDescent="0.25">
      <c r="H24" s="287"/>
      <c r="I24" s="343">
        <v>42052</v>
      </c>
      <c r="J24" s="344">
        <v>12324</v>
      </c>
      <c r="K24" s="322">
        <v>2958.4</v>
      </c>
      <c r="L24" s="351">
        <v>42061</v>
      </c>
      <c r="M24" s="348">
        <v>2958.4</v>
      </c>
      <c r="N24" s="297">
        <f t="shared" si="0"/>
        <v>0</v>
      </c>
    </row>
    <row r="25" spans="1:14" ht="15.75" x14ac:dyDescent="0.25">
      <c r="H25" s="287"/>
      <c r="I25" s="343">
        <v>42053</v>
      </c>
      <c r="J25" s="344">
        <v>12393</v>
      </c>
      <c r="K25" s="81">
        <v>8257</v>
      </c>
      <c r="L25" s="347">
        <v>42061</v>
      </c>
      <c r="M25" s="348">
        <v>8257</v>
      </c>
      <c r="N25" s="297">
        <f t="shared" si="0"/>
        <v>0</v>
      </c>
    </row>
    <row r="26" spans="1:14" ht="16.5" thickBot="1" x14ac:dyDescent="0.3">
      <c r="H26" s="287"/>
      <c r="I26" s="343">
        <v>42054</v>
      </c>
      <c r="J26" s="344">
        <v>12467</v>
      </c>
      <c r="K26" s="81">
        <v>9009</v>
      </c>
      <c r="L26" s="347">
        <v>42061</v>
      </c>
      <c r="M26" s="348">
        <v>9009</v>
      </c>
      <c r="N26" s="297">
        <f t="shared" si="0"/>
        <v>0</v>
      </c>
    </row>
    <row r="27" spans="1:14" ht="19.5" thickBot="1" x14ac:dyDescent="0.35">
      <c r="B27" s="204" t="s">
        <v>205</v>
      </c>
      <c r="C27" s="204"/>
      <c r="D27" s="213"/>
      <c r="E27" s="323">
        <v>42055</v>
      </c>
      <c r="H27" s="287"/>
      <c r="I27" s="343">
        <v>42054</v>
      </c>
      <c r="J27" s="344">
        <v>12487</v>
      </c>
      <c r="K27" s="81">
        <v>86062.9</v>
      </c>
      <c r="L27" s="347">
        <v>42061</v>
      </c>
      <c r="M27" s="348">
        <v>86062.9</v>
      </c>
      <c r="N27" s="297">
        <f t="shared" si="0"/>
        <v>0</v>
      </c>
    </row>
    <row r="28" spans="1:14" ht="15.75" x14ac:dyDescent="0.25">
      <c r="A28" s="205"/>
      <c r="B28" s="205"/>
      <c r="C28" s="205"/>
      <c r="D28" s="206"/>
      <c r="E28" s="207"/>
      <c r="F28" s="223"/>
      <c r="H28" s="287"/>
      <c r="I28" s="343">
        <v>42056</v>
      </c>
      <c r="J28" s="344">
        <v>12767</v>
      </c>
      <c r="K28" s="81">
        <v>15944.6</v>
      </c>
      <c r="L28" s="347">
        <v>42061</v>
      </c>
      <c r="M28" s="348">
        <v>15944.6</v>
      </c>
      <c r="N28" s="297">
        <f t="shared" si="0"/>
        <v>0</v>
      </c>
    </row>
    <row r="29" spans="1:14" ht="15.75" x14ac:dyDescent="0.25">
      <c r="A29" s="212" t="s">
        <v>202</v>
      </c>
      <c r="B29" s="205" t="s">
        <v>195</v>
      </c>
      <c r="C29" s="205"/>
      <c r="D29" s="206" t="s">
        <v>203</v>
      </c>
      <c r="E29" s="207" t="s">
        <v>204</v>
      </c>
      <c r="F29" s="223"/>
      <c r="H29" s="287"/>
      <c r="I29" s="343">
        <v>42056</v>
      </c>
      <c r="J29" s="342">
        <v>12773</v>
      </c>
      <c r="K29" s="59">
        <v>470.4</v>
      </c>
      <c r="L29" s="352">
        <v>42061</v>
      </c>
      <c r="M29" s="353">
        <v>470.4</v>
      </c>
      <c r="N29" s="297">
        <f t="shared" si="0"/>
        <v>0</v>
      </c>
    </row>
    <row r="30" spans="1:14" ht="15.75" x14ac:dyDescent="0.25">
      <c r="A30" s="215">
        <v>10938</v>
      </c>
      <c r="B30" s="216">
        <v>3949.07</v>
      </c>
      <c r="C30" s="216"/>
      <c r="D30" s="331">
        <v>2720770</v>
      </c>
      <c r="E30" s="332">
        <v>40121</v>
      </c>
      <c r="F30" s="333">
        <v>42036</v>
      </c>
      <c r="H30" s="287"/>
      <c r="I30" s="340">
        <v>42056</v>
      </c>
      <c r="J30" s="342">
        <v>12790</v>
      </c>
      <c r="K30" s="59">
        <v>80540.429999999993</v>
      </c>
      <c r="L30" s="368" t="s">
        <v>326</v>
      </c>
      <c r="M30" s="369">
        <f>57158.28+23382.15</f>
        <v>80540.429999999993</v>
      </c>
      <c r="N30" s="297">
        <f t="shared" si="0"/>
        <v>0</v>
      </c>
    </row>
    <row r="31" spans="1:14" ht="15.75" x14ac:dyDescent="0.25">
      <c r="A31" s="233">
        <v>10947</v>
      </c>
      <c r="B31" s="234">
        <v>55946.879999999997</v>
      </c>
      <c r="C31" s="234"/>
      <c r="D31" s="331">
        <v>2720556</v>
      </c>
      <c r="E31" s="332">
        <v>69725.5</v>
      </c>
      <c r="F31" s="333">
        <v>42037</v>
      </c>
      <c r="H31" s="287"/>
      <c r="I31" s="343">
        <v>42059</v>
      </c>
      <c r="J31" s="344">
        <v>13032</v>
      </c>
      <c r="K31" s="81">
        <v>17191.400000000001</v>
      </c>
      <c r="L31" s="365">
        <v>42066</v>
      </c>
      <c r="M31" s="366">
        <v>17191.400000000001</v>
      </c>
      <c r="N31" s="297">
        <f t="shared" si="0"/>
        <v>0</v>
      </c>
    </row>
    <row r="32" spans="1:14" ht="15.75" x14ac:dyDescent="0.25">
      <c r="A32" s="233">
        <v>11130</v>
      </c>
      <c r="B32" s="234">
        <v>104632.41</v>
      </c>
      <c r="C32" s="234"/>
      <c r="D32" s="331">
        <v>2720554</v>
      </c>
      <c r="E32" s="332">
        <v>23187</v>
      </c>
      <c r="F32" s="333">
        <v>42038</v>
      </c>
      <c r="H32" s="287"/>
      <c r="I32" s="343">
        <v>42060</v>
      </c>
      <c r="J32" s="344">
        <v>13101</v>
      </c>
      <c r="K32" s="292">
        <v>1303.2</v>
      </c>
      <c r="L32" s="365">
        <v>42066</v>
      </c>
      <c r="M32" s="366">
        <v>1303.2</v>
      </c>
      <c r="N32" s="297">
        <f t="shared" si="0"/>
        <v>0</v>
      </c>
    </row>
    <row r="33" spans="1:15" ht="15.75" x14ac:dyDescent="0.25">
      <c r="A33" s="233">
        <v>11253</v>
      </c>
      <c r="B33" s="234">
        <v>5632.2</v>
      </c>
      <c r="C33" s="234"/>
      <c r="D33" s="331">
        <v>2720555</v>
      </c>
      <c r="E33" s="332">
        <v>38554</v>
      </c>
      <c r="F33" s="333">
        <v>42039</v>
      </c>
      <c r="H33" s="287"/>
      <c r="I33" s="343">
        <v>42060</v>
      </c>
      <c r="J33" s="344">
        <v>13115</v>
      </c>
      <c r="K33" s="81">
        <v>67289.59</v>
      </c>
      <c r="L33" s="365">
        <v>42066</v>
      </c>
      <c r="M33" s="366">
        <v>67289.59</v>
      </c>
      <c r="N33" s="297">
        <f t="shared" si="0"/>
        <v>0</v>
      </c>
    </row>
    <row r="34" spans="1:15" ht="15.75" x14ac:dyDescent="0.25">
      <c r="A34" s="233">
        <v>11316</v>
      </c>
      <c r="B34" s="234">
        <v>54303.14</v>
      </c>
      <c r="C34" s="234"/>
      <c r="D34" s="331">
        <v>2720522</v>
      </c>
      <c r="E34" s="332">
        <v>28127</v>
      </c>
      <c r="F34" s="333">
        <v>42040</v>
      </c>
      <c r="H34" s="287"/>
      <c r="I34" s="343">
        <v>42061</v>
      </c>
      <c r="J34" s="344">
        <v>13200</v>
      </c>
      <c r="K34" s="81">
        <v>5418.4</v>
      </c>
      <c r="L34" s="365">
        <v>42066</v>
      </c>
      <c r="M34" s="366">
        <v>5418.4</v>
      </c>
      <c r="N34" s="297">
        <f t="shared" si="0"/>
        <v>0</v>
      </c>
    </row>
    <row r="35" spans="1:15" ht="15.75" x14ac:dyDescent="0.25">
      <c r="A35" s="233">
        <v>11352</v>
      </c>
      <c r="B35" s="235">
        <v>5875.2</v>
      </c>
      <c r="C35" s="235"/>
      <c r="D35" s="331">
        <v>2720523</v>
      </c>
      <c r="E35" s="332">
        <v>57589.5</v>
      </c>
      <c r="F35" s="333">
        <v>42041</v>
      </c>
      <c r="H35" s="287"/>
      <c r="I35" s="343">
        <v>42062</v>
      </c>
      <c r="J35" s="344">
        <v>13305</v>
      </c>
      <c r="K35" s="81">
        <v>17398.55</v>
      </c>
      <c r="L35" s="365">
        <v>42066</v>
      </c>
      <c r="M35" s="366">
        <v>17398.55</v>
      </c>
      <c r="N35" s="297">
        <f t="shared" si="0"/>
        <v>0</v>
      </c>
    </row>
    <row r="36" spans="1:15" ht="15.75" x14ac:dyDescent="0.25">
      <c r="A36" s="237">
        <v>11404</v>
      </c>
      <c r="B36" s="324">
        <v>46068.75</v>
      </c>
      <c r="C36" s="230"/>
      <c r="D36" s="237">
        <v>2720524</v>
      </c>
      <c r="E36" s="324">
        <v>89942.5</v>
      </c>
      <c r="F36" s="334">
        <v>42042</v>
      </c>
      <c r="H36" s="287"/>
      <c r="I36" s="343">
        <v>42062</v>
      </c>
      <c r="J36" s="344">
        <v>13358</v>
      </c>
      <c r="K36" s="81">
        <v>80548.7</v>
      </c>
      <c r="L36" s="367" t="s">
        <v>342</v>
      </c>
      <c r="M36" s="366">
        <f>76193.71+4354.99</f>
        <v>80548.700000000012</v>
      </c>
      <c r="N36" s="297">
        <f t="shared" si="0"/>
        <v>0</v>
      </c>
    </row>
    <row r="37" spans="1:15" ht="15.75" x14ac:dyDescent="0.25">
      <c r="A37" s="237">
        <v>11438</v>
      </c>
      <c r="B37" s="324">
        <v>5312</v>
      </c>
      <c r="C37" s="230"/>
      <c r="D37" s="237">
        <v>2720525</v>
      </c>
      <c r="E37" s="324">
        <v>28176</v>
      </c>
      <c r="F37" s="334">
        <v>42043</v>
      </c>
      <c r="H37" s="287"/>
      <c r="I37" s="343"/>
      <c r="J37" s="344"/>
      <c r="K37" s="81">
        <v>0</v>
      </c>
      <c r="L37" s="252"/>
      <c r="M37" s="294"/>
      <c r="N37" s="297">
        <f t="shared" si="0"/>
        <v>0</v>
      </c>
    </row>
    <row r="38" spans="1:15" ht="15.75" x14ac:dyDescent="0.25">
      <c r="A38" s="237">
        <v>11503</v>
      </c>
      <c r="B38" s="324">
        <v>11924.3</v>
      </c>
      <c r="C38" s="230"/>
      <c r="D38" s="237" t="s">
        <v>292</v>
      </c>
      <c r="E38" s="324">
        <v>500</v>
      </c>
      <c r="F38" s="334">
        <v>42049</v>
      </c>
      <c r="H38" s="287"/>
      <c r="I38" s="343"/>
      <c r="J38" s="344"/>
      <c r="K38" s="81">
        <v>0</v>
      </c>
      <c r="L38" s="252"/>
      <c r="M38" s="294">
        <v>0</v>
      </c>
      <c r="N38" s="297">
        <f t="shared" si="0"/>
        <v>0</v>
      </c>
    </row>
    <row r="39" spans="1:15" ht="15.75" thickBot="1" x14ac:dyDescent="0.3">
      <c r="A39" s="237">
        <v>11622</v>
      </c>
      <c r="B39" s="324">
        <v>42684.95</v>
      </c>
      <c r="C39" s="230"/>
      <c r="D39" s="237">
        <v>2720526</v>
      </c>
      <c r="E39" s="324">
        <v>29496</v>
      </c>
      <c r="F39" s="334">
        <v>42044</v>
      </c>
      <c r="H39" s="287"/>
      <c r="I39" s="288"/>
      <c r="J39" s="263"/>
      <c r="K39" s="180">
        <v>0</v>
      </c>
      <c r="L39" s="338"/>
      <c r="M39" s="295">
        <v>0</v>
      </c>
      <c r="N39" s="298">
        <f>K39-M39</f>
        <v>0</v>
      </c>
    </row>
    <row r="40" spans="1:15" ht="15.75" thickTop="1" x14ac:dyDescent="0.25">
      <c r="A40" s="237">
        <v>11631</v>
      </c>
      <c r="B40" s="324">
        <v>6026.24</v>
      </c>
      <c r="C40" s="230"/>
      <c r="D40" s="237">
        <v>2720527</v>
      </c>
      <c r="E40" s="324">
        <v>37516</v>
      </c>
      <c r="F40" s="334">
        <v>42045</v>
      </c>
      <c r="H40" s="287"/>
      <c r="I40" s="288"/>
      <c r="J40" s="5"/>
      <c r="K40" s="44">
        <f>SUM(K4:K39)</f>
        <v>1080694.02</v>
      </c>
      <c r="M40" s="44">
        <f>SUM(M4:M39)</f>
        <v>1080694.02</v>
      </c>
      <c r="N40" s="44">
        <f>SUM(N4:N39)</f>
        <v>0</v>
      </c>
    </row>
    <row r="41" spans="1:15" x14ac:dyDescent="0.25">
      <c r="A41" s="237">
        <v>11715</v>
      </c>
      <c r="B41" s="324">
        <v>18927.400000000001</v>
      </c>
      <c r="C41" s="230"/>
      <c r="D41" s="237">
        <v>2720528</v>
      </c>
      <c r="E41" s="324">
        <v>26200</v>
      </c>
      <c r="F41" s="334">
        <v>42046</v>
      </c>
      <c r="H41" s="287"/>
      <c r="I41" s="288" t="s">
        <v>17</v>
      </c>
      <c r="J41" s="253"/>
      <c r="K41" s="81"/>
      <c r="L41" s="253"/>
      <c r="M41" s="294"/>
      <c r="N41" s="294"/>
    </row>
    <row r="42" spans="1:15" x14ac:dyDescent="0.25">
      <c r="A42" s="237">
        <v>11817</v>
      </c>
      <c r="B42" s="324">
        <v>1486.8</v>
      </c>
      <c r="C42" s="230"/>
      <c r="D42" s="231"/>
      <c r="E42" s="232">
        <v>0</v>
      </c>
      <c r="F42" s="229"/>
      <c r="H42" s="287"/>
      <c r="I42" s="288"/>
      <c r="J42" s="253"/>
      <c r="K42" s="81"/>
      <c r="L42" s="253"/>
      <c r="M42" s="294"/>
      <c r="N42" s="294"/>
      <c r="O42" s="25"/>
    </row>
    <row r="43" spans="1:15" x14ac:dyDescent="0.25">
      <c r="A43" s="237">
        <v>11863</v>
      </c>
      <c r="B43" s="324">
        <v>105272.66</v>
      </c>
      <c r="C43" s="230"/>
      <c r="D43" s="231"/>
      <c r="E43" s="232">
        <v>0</v>
      </c>
      <c r="F43" s="229"/>
      <c r="H43" s="287"/>
      <c r="I43" s="288"/>
      <c r="J43" s="253"/>
      <c r="K43" s="81"/>
      <c r="L43" s="253"/>
      <c r="M43" s="294"/>
      <c r="N43" s="294"/>
    </row>
    <row r="44" spans="1:15" x14ac:dyDescent="0.25">
      <c r="A44" s="237">
        <v>11943</v>
      </c>
      <c r="B44" s="324">
        <v>1092.5</v>
      </c>
      <c r="C44" s="230" t="s">
        <v>236</v>
      </c>
      <c r="D44" s="231"/>
      <c r="E44" s="232">
        <v>0</v>
      </c>
      <c r="F44" s="229"/>
      <c r="H44" s="287"/>
      <c r="I44" s="288"/>
      <c r="J44" s="253"/>
      <c r="K44" s="81"/>
      <c r="L44" s="253"/>
      <c r="M44" s="294"/>
      <c r="N44" s="294"/>
    </row>
    <row r="45" spans="1:15" ht="15.75" x14ac:dyDescent="0.25">
      <c r="A45" s="329"/>
      <c r="B45" s="330">
        <v>0</v>
      </c>
      <c r="C45" s="325"/>
      <c r="D45" s="326"/>
      <c r="E45" s="327">
        <v>0</v>
      </c>
      <c r="F45" s="328"/>
      <c r="H45" s="287"/>
      <c r="I45" s="288"/>
      <c r="J45" s="253"/>
      <c r="K45" s="81"/>
      <c r="L45" s="253"/>
      <c r="M45" s="294"/>
      <c r="N45" s="294"/>
    </row>
    <row r="46" spans="1:15" ht="16.5" thickBot="1" x14ac:dyDescent="0.3">
      <c r="A46" s="244"/>
      <c r="B46" s="226">
        <v>0</v>
      </c>
      <c r="C46" s="226"/>
      <c r="D46" s="227"/>
      <c r="E46" s="58">
        <v>0</v>
      </c>
      <c r="F46" s="245"/>
      <c r="H46" s="287"/>
      <c r="I46" s="288"/>
      <c r="J46" s="253"/>
      <c r="K46" s="81"/>
      <c r="L46" s="253"/>
      <c r="M46" s="294"/>
      <c r="N46" s="294"/>
    </row>
    <row r="47" spans="1:15" ht="16.5" thickTop="1" x14ac:dyDescent="0.25">
      <c r="B47" s="208">
        <f>SUM(B30:B46)</f>
        <v>469134.5</v>
      </c>
      <c r="C47" s="208"/>
      <c r="D47" s="206"/>
      <c r="E47" s="207">
        <f>SUM(E30:E46)</f>
        <v>469134.5</v>
      </c>
      <c r="H47" s="252"/>
      <c r="I47" s="286"/>
      <c r="J47" s="290"/>
      <c r="K47" s="293"/>
      <c r="L47" s="290"/>
      <c r="M47" s="50"/>
      <c r="N47" s="50"/>
    </row>
    <row r="48" spans="1:15" ht="15.75" thickBot="1" x14ac:dyDescent="0.3"/>
    <row r="49" spans="1:12" customFormat="1" ht="19.5" thickBot="1" x14ac:dyDescent="0.35">
      <c r="B49" s="204" t="s">
        <v>205</v>
      </c>
      <c r="C49" s="204"/>
      <c r="D49" s="213"/>
      <c r="E49" s="323">
        <v>42061</v>
      </c>
      <c r="F49" s="222"/>
      <c r="H49" s="276"/>
      <c r="I49" s="5"/>
      <c r="K49" s="44"/>
    </row>
    <row r="50" spans="1:12" customFormat="1" ht="15.75" x14ac:dyDescent="0.25">
      <c r="A50" s="205"/>
      <c r="B50" s="205"/>
      <c r="C50" s="205"/>
      <c r="D50" s="206"/>
      <c r="E50" s="207"/>
      <c r="F50" s="223"/>
      <c r="H50" s="276"/>
      <c r="I50" s="5"/>
      <c r="J50" t="s">
        <v>101</v>
      </c>
      <c r="K50" s="44"/>
    </row>
    <row r="51" spans="1:12" customFormat="1" ht="15.75" x14ac:dyDescent="0.25">
      <c r="A51" s="212" t="s">
        <v>202</v>
      </c>
      <c r="B51" s="205" t="s">
        <v>195</v>
      </c>
      <c r="C51" s="205"/>
      <c r="D51" s="206" t="s">
        <v>203</v>
      </c>
      <c r="E51" s="207" t="s">
        <v>204</v>
      </c>
      <c r="F51" s="223"/>
      <c r="G51" t="s">
        <v>313</v>
      </c>
      <c r="H51" s="276"/>
      <c r="I51" s="5"/>
      <c r="K51" s="44"/>
    </row>
    <row r="52" spans="1:12" customFormat="1" ht="15.75" x14ac:dyDescent="0.25">
      <c r="A52" s="215">
        <v>11943</v>
      </c>
      <c r="B52" s="216">
        <v>11702.7</v>
      </c>
      <c r="C52" s="216"/>
      <c r="D52" s="331" t="s">
        <v>292</v>
      </c>
      <c r="E52" s="332">
        <v>1278.5</v>
      </c>
      <c r="F52" s="333">
        <v>42056</v>
      </c>
      <c r="G52" s="21">
        <v>42046</v>
      </c>
      <c r="H52" s="276"/>
      <c r="I52" s="5"/>
      <c r="K52" s="44"/>
    </row>
    <row r="53" spans="1:12" customFormat="1" ht="15.75" x14ac:dyDescent="0.25">
      <c r="A53" s="233">
        <v>12013</v>
      </c>
      <c r="B53" s="234">
        <v>5974.5</v>
      </c>
      <c r="C53" s="234"/>
      <c r="D53" s="331">
        <v>2720534</v>
      </c>
      <c r="E53" s="332">
        <v>33719</v>
      </c>
      <c r="F53" s="333">
        <v>42047</v>
      </c>
      <c r="G53" s="21">
        <v>42047</v>
      </c>
      <c r="H53" s="276"/>
      <c r="I53" s="5"/>
      <c r="K53" s="44"/>
    </row>
    <row r="54" spans="1:12" customFormat="1" ht="15.75" x14ac:dyDescent="0.25">
      <c r="A54" s="233">
        <v>12113</v>
      </c>
      <c r="B54" s="234">
        <v>23987.85</v>
      </c>
      <c r="C54" s="234"/>
      <c r="D54" s="331">
        <v>2720535</v>
      </c>
      <c r="E54" s="332">
        <v>50933</v>
      </c>
      <c r="F54" s="333">
        <v>42048</v>
      </c>
      <c r="G54" s="21">
        <v>42048</v>
      </c>
      <c r="H54" s="276"/>
      <c r="I54" s="5"/>
      <c r="K54" s="44"/>
    </row>
    <row r="55" spans="1:12" customFormat="1" ht="15.75" x14ac:dyDescent="0.25">
      <c r="A55" s="233">
        <v>12216</v>
      </c>
      <c r="B55" s="234">
        <v>74819.97</v>
      </c>
      <c r="C55" s="234"/>
      <c r="D55" s="331">
        <v>2720536</v>
      </c>
      <c r="E55" s="332">
        <v>64447</v>
      </c>
      <c r="F55" s="333">
        <v>42049</v>
      </c>
      <c r="G55" s="21">
        <v>42049</v>
      </c>
      <c r="H55" s="276"/>
      <c r="I55" s="5"/>
      <c r="K55" s="44"/>
    </row>
    <row r="56" spans="1:12" customFormat="1" ht="15.75" x14ac:dyDescent="0.25">
      <c r="A56" s="233">
        <v>12256</v>
      </c>
      <c r="B56" s="234">
        <v>15291.4</v>
      </c>
      <c r="C56" s="234"/>
      <c r="D56" s="331" t="s">
        <v>292</v>
      </c>
      <c r="E56" s="332">
        <v>1933</v>
      </c>
      <c r="F56" s="333">
        <v>42055</v>
      </c>
      <c r="G56" s="21">
        <v>42050</v>
      </c>
      <c r="H56" s="276"/>
      <c r="I56" s="5"/>
      <c r="K56" s="44"/>
    </row>
    <row r="57" spans="1:12" customFormat="1" ht="15.75" x14ac:dyDescent="0.25">
      <c r="A57" s="233">
        <v>12324</v>
      </c>
      <c r="B57" s="235">
        <v>2958.4</v>
      </c>
      <c r="C57" s="235"/>
      <c r="D57" s="331">
        <v>2720531</v>
      </c>
      <c r="E57" s="332">
        <v>42650</v>
      </c>
      <c r="F57" s="333">
        <v>42050</v>
      </c>
      <c r="G57" s="21">
        <v>42050</v>
      </c>
      <c r="H57" s="276"/>
      <c r="I57" s="5"/>
      <c r="K57" s="44"/>
    </row>
    <row r="58" spans="1:12" customFormat="1" ht="15.75" x14ac:dyDescent="0.25">
      <c r="A58" s="237">
        <v>12393</v>
      </c>
      <c r="B58" s="324">
        <v>8257</v>
      </c>
      <c r="C58" s="230"/>
      <c r="D58" s="331">
        <v>2720532</v>
      </c>
      <c r="E58" s="324">
        <v>22451</v>
      </c>
      <c r="F58" s="334">
        <v>42051</v>
      </c>
      <c r="G58" s="21">
        <v>42051</v>
      </c>
      <c r="H58" s="276"/>
      <c r="I58" s="5"/>
      <c r="K58" s="44"/>
    </row>
    <row r="59" spans="1:12" customFormat="1" ht="15.75" x14ac:dyDescent="0.25">
      <c r="A59" s="237">
        <v>12467</v>
      </c>
      <c r="B59" s="324">
        <v>9009</v>
      </c>
      <c r="C59" s="230"/>
      <c r="D59" s="331">
        <v>2720530</v>
      </c>
      <c r="E59" s="324">
        <v>39700</v>
      </c>
      <c r="F59" s="334">
        <v>42052</v>
      </c>
      <c r="G59" s="21">
        <v>42052</v>
      </c>
      <c r="H59" s="276"/>
      <c r="I59" s="5"/>
      <c r="K59" s="44"/>
    </row>
    <row r="60" spans="1:12" customFormat="1" ht="15.75" x14ac:dyDescent="0.25">
      <c r="A60" s="237">
        <v>12487</v>
      </c>
      <c r="B60" s="324">
        <v>86062.9</v>
      </c>
      <c r="C60" s="230"/>
      <c r="D60" s="331" t="s">
        <v>292</v>
      </c>
      <c r="E60" s="324">
        <v>2238</v>
      </c>
      <c r="F60" s="334">
        <v>42054</v>
      </c>
      <c r="G60" s="21">
        <v>42052</v>
      </c>
      <c r="H60" s="276"/>
      <c r="I60" s="5"/>
      <c r="K60" s="44"/>
    </row>
    <row r="61" spans="1:12" customFormat="1" ht="15.75" x14ac:dyDescent="0.25">
      <c r="A61" s="237">
        <v>12767</v>
      </c>
      <c r="B61" s="324">
        <v>15944.6</v>
      </c>
      <c r="C61" s="230"/>
      <c r="D61" s="331" t="s">
        <v>292</v>
      </c>
      <c r="E61" s="324">
        <v>22060.5</v>
      </c>
      <c r="F61" s="334">
        <v>42054</v>
      </c>
      <c r="G61" s="21">
        <v>42053</v>
      </c>
      <c r="H61" s="276"/>
      <c r="I61" s="5" t="s">
        <v>315</v>
      </c>
      <c r="K61" s="44"/>
    </row>
    <row r="62" spans="1:12" customFormat="1" ht="15.75" x14ac:dyDescent="0.25">
      <c r="A62" s="237">
        <v>12773</v>
      </c>
      <c r="B62" s="324">
        <v>470.4</v>
      </c>
      <c r="C62" s="230"/>
      <c r="D62" s="331" t="s">
        <v>292</v>
      </c>
      <c r="E62" s="324">
        <v>800</v>
      </c>
      <c r="F62" s="334">
        <v>42055</v>
      </c>
      <c r="G62" s="37">
        <v>42053</v>
      </c>
      <c r="H62" s="276"/>
      <c r="I62" s="5"/>
      <c r="K62" s="44"/>
      <c r="L62" s="4"/>
    </row>
    <row r="63" spans="1:12" customFormat="1" ht="15.75" x14ac:dyDescent="0.25">
      <c r="A63" s="237">
        <v>12790</v>
      </c>
      <c r="B63" s="324">
        <v>57158.28</v>
      </c>
      <c r="C63" s="230" t="s">
        <v>236</v>
      </c>
      <c r="D63" s="331" t="s">
        <v>292</v>
      </c>
      <c r="E63" s="324">
        <v>27900</v>
      </c>
      <c r="F63" s="334">
        <v>42055</v>
      </c>
      <c r="G63" s="37">
        <v>42054</v>
      </c>
      <c r="H63" s="276"/>
      <c r="I63" s="5"/>
      <c r="K63" s="44"/>
    </row>
    <row r="64" spans="1:12" customFormat="1" ht="15.75" x14ac:dyDescent="0.25">
      <c r="A64" s="237"/>
      <c r="B64" s="324"/>
      <c r="C64" s="230"/>
      <c r="D64" s="331" t="s">
        <v>292</v>
      </c>
      <c r="E64" s="324">
        <v>1527</v>
      </c>
      <c r="F64" s="229">
        <v>42056</v>
      </c>
      <c r="G64" s="37">
        <v>42054</v>
      </c>
      <c r="H64" s="276"/>
      <c r="I64" s="5"/>
      <c r="K64" s="44"/>
    </row>
    <row r="65" spans="1:9" customFormat="1" ht="15.75" x14ac:dyDescent="0.25">
      <c r="A65" s="237"/>
      <c r="B65" s="324"/>
      <c r="C65" s="230"/>
      <c r="D65" s="217"/>
      <c r="E65" s="232"/>
      <c r="F65" s="229"/>
      <c r="G65" s="37"/>
      <c r="H65" s="276"/>
      <c r="I65" s="5"/>
    </row>
    <row r="66" spans="1:9" customFormat="1" ht="15.75" x14ac:dyDescent="0.25">
      <c r="A66" s="237"/>
      <c r="B66" s="324"/>
      <c r="C66" s="230"/>
      <c r="D66" s="217"/>
      <c r="E66" s="232"/>
      <c r="F66" s="229"/>
      <c r="G66" s="37"/>
    </row>
    <row r="67" spans="1:9" customFormat="1" ht="15.75" x14ac:dyDescent="0.25">
      <c r="A67" s="329"/>
      <c r="B67" s="330">
        <v>0</v>
      </c>
      <c r="C67" s="325"/>
      <c r="D67" s="326"/>
      <c r="E67" s="327">
        <v>0</v>
      </c>
      <c r="F67" s="328"/>
      <c r="G67" s="13"/>
    </row>
    <row r="68" spans="1:9" customFormat="1" ht="16.5" thickBot="1" x14ac:dyDescent="0.3">
      <c r="A68" s="244"/>
      <c r="B68" s="226">
        <v>0</v>
      </c>
      <c r="C68" s="226"/>
      <c r="D68" s="227"/>
      <c r="E68" s="58">
        <v>0</v>
      </c>
      <c r="F68" s="245"/>
      <c r="G68" s="13"/>
    </row>
    <row r="69" spans="1:9" customFormat="1" ht="16.5" thickTop="1" x14ac:dyDescent="0.25">
      <c r="B69" s="208">
        <f>SUM(B52:B68)</f>
        <v>311637</v>
      </c>
      <c r="C69" s="208"/>
      <c r="D69" s="206"/>
      <c r="E69" s="207">
        <f>SUM(E52:E68)</f>
        <v>311637</v>
      </c>
      <c r="F69" s="222"/>
      <c r="G69" s="13"/>
    </row>
    <row r="70" spans="1:9" customFormat="1" x14ac:dyDescent="0.25">
      <c r="D70" s="111"/>
      <c r="E70" s="44"/>
      <c r="F70" s="222"/>
      <c r="G70" s="13"/>
    </row>
    <row r="71" spans="1:9" customFormat="1" x14ac:dyDescent="0.25">
      <c r="D71" s="111"/>
      <c r="E71" s="44"/>
      <c r="F71" s="222"/>
      <c r="G71" s="13"/>
    </row>
    <row r="72" spans="1:9" customFormat="1" x14ac:dyDescent="0.25">
      <c r="D72" s="111"/>
      <c r="E72" s="44"/>
      <c r="F72" s="222"/>
      <c r="G72" s="13"/>
    </row>
    <row r="73" spans="1:9" customFormat="1" x14ac:dyDescent="0.25">
      <c r="D73" s="111"/>
      <c r="E73" s="44"/>
      <c r="F73" s="222"/>
      <c r="G73" s="13"/>
    </row>
    <row r="74" spans="1:9" customFormat="1" x14ac:dyDescent="0.25">
      <c r="D74" s="111"/>
      <c r="E74" s="44"/>
      <c r="F74" s="222"/>
    </row>
    <row r="75" spans="1:9" customFormat="1" x14ac:dyDescent="0.25">
      <c r="D75" s="111"/>
      <c r="E75" s="44"/>
      <c r="F75" s="222"/>
    </row>
    <row r="76" spans="1:9" customFormat="1" x14ac:dyDescent="0.25">
      <c r="D76" s="111"/>
      <c r="E76" s="44"/>
      <c r="F76" s="222"/>
    </row>
    <row r="77" spans="1:9" customFormat="1" x14ac:dyDescent="0.25">
      <c r="D77" s="111"/>
      <c r="E77" s="44"/>
      <c r="F77" s="222"/>
    </row>
    <row r="78" spans="1:9" customFormat="1" x14ac:dyDescent="0.25">
      <c r="D78" s="111"/>
      <c r="E78" s="44"/>
      <c r="F78" s="222"/>
    </row>
    <row r="79" spans="1:9" customFormat="1" x14ac:dyDescent="0.25">
      <c r="D79" s="111"/>
      <c r="E79" s="44"/>
      <c r="F79" s="222"/>
    </row>
    <row r="80" spans="1:9" customFormat="1" x14ac:dyDescent="0.25">
      <c r="D80" s="111"/>
      <c r="E80" s="44"/>
      <c r="F80" s="222"/>
    </row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</sheetData>
  <mergeCells count="1">
    <mergeCell ref="J1:M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N57"/>
  <sheetViews>
    <sheetView topLeftCell="A13" workbookViewId="0">
      <selection activeCell="D48" sqref="D48"/>
    </sheetView>
  </sheetViews>
  <sheetFormatPr baseColWidth="10" defaultRowHeight="15" x14ac:dyDescent="0.25"/>
  <cols>
    <col min="1" max="1" width="2.5703125" customWidth="1"/>
    <col min="2" max="2" width="12.42578125" style="38" customWidth="1"/>
    <col min="3" max="3" width="16.42578125" style="44" customWidth="1"/>
    <col min="4" max="4" width="9" style="155" customWidth="1"/>
    <col min="6" max="6" width="17.85546875" style="44" customWidth="1"/>
    <col min="7" max="7" width="2.85546875" customWidth="1"/>
    <col min="9" max="9" width="12.140625" style="44" customWidth="1"/>
    <col min="10" max="10" width="9.85546875" style="44" customWidth="1"/>
    <col min="12" max="12" width="11.28515625" customWidth="1"/>
    <col min="13" max="13" width="17.140625" customWidth="1"/>
    <col min="14" max="14" width="12.5703125" style="44" bestFit="1" customWidth="1"/>
  </cols>
  <sheetData>
    <row r="1" spans="1:14" ht="23.25" x14ac:dyDescent="0.35">
      <c r="C1" s="780" t="s">
        <v>320</v>
      </c>
      <c r="D1" s="780"/>
      <c r="E1" s="780"/>
      <c r="F1" s="780"/>
      <c r="G1" s="780"/>
      <c r="H1" s="780"/>
      <c r="I1" s="780"/>
      <c r="J1" s="780"/>
      <c r="K1" s="780"/>
      <c r="L1" s="133" t="s">
        <v>158</v>
      </c>
      <c r="M1" s="134"/>
    </row>
    <row r="2" spans="1:14" ht="15.75" thickBot="1" x14ac:dyDescent="0.3">
      <c r="E2" s="356"/>
      <c r="F2" s="51"/>
    </row>
    <row r="3" spans="1:14" ht="15.75" thickBot="1" x14ac:dyDescent="0.3">
      <c r="C3" s="45" t="s">
        <v>0</v>
      </c>
      <c r="D3" s="3"/>
    </row>
    <row r="4" spans="1:14" ht="20.25" thickTop="1" thickBot="1" x14ac:dyDescent="0.35">
      <c r="A4" s="415" t="s">
        <v>2</v>
      </c>
      <c r="B4" s="414"/>
      <c r="C4" s="97">
        <v>105169.23</v>
      </c>
      <c r="D4" s="156"/>
      <c r="E4" s="797" t="s">
        <v>19</v>
      </c>
      <c r="F4" s="798"/>
      <c r="I4" s="783" t="s">
        <v>4</v>
      </c>
      <c r="J4" s="784"/>
      <c r="K4" s="784"/>
      <c r="L4" s="784"/>
      <c r="M4" s="69" t="s">
        <v>24</v>
      </c>
      <c r="N4" s="112" t="s">
        <v>159</v>
      </c>
    </row>
    <row r="5" spans="1:14" ht="15.75" thickTop="1" x14ac:dyDescent="0.25">
      <c r="A5" s="21"/>
      <c r="B5" s="40">
        <v>42064</v>
      </c>
      <c r="C5" s="46">
        <v>0</v>
      </c>
      <c r="D5" s="96"/>
      <c r="E5" s="28">
        <v>42064</v>
      </c>
      <c r="F5" s="52">
        <v>45687</v>
      </c>
      <c r="G5" s="25"/>
      <c r="H5" s="26">
        <v>42064</v>
      </c>
      <c r="I5" s="61">
        <v>0</v>
      </c>
      <c r="J5" s="80"/>
      <c r="K5" s="122"/>
      <c r="L5" s="123"/>
      <c r="M5" s="152" t="s">
        <v>332</v>
      </c>
      <c r="N5" s="151">
        <v>38596.5</v>
      </c>
    </row>
    <row r="6" spans="1:14" x14ac:dyDescent="0.25">
      <c r="A6" s="21"/>
      <c r="B6" s="40">
        <v>42065</v>
      </c>
      <c r="C6" s="46">
        <v>791</v>
      </c>
      <c r="D6" s="70" t="s">
        <v>22</v>
      </c>
      <c r="E6" s="28">
        <v>42065</v>
      </c>
      <c r="F6" s="52">
        <v>39794.5</v>
      </c>
      <c r="G6" s="20"/>
      <c r="H6" s="29">
        <v>42065</v>
      </c>
      <c r="I6" s="62">
        <v>1741</v>
      </c>
      <c r="J6" s="81"/>
      <c r="K6" s="73" t="s">
        <v>5</v>
      </c>
      <c r="L6" s="125">
        <v>1030</v>
      </c>
      <c r="M6" s="78" t="s">
        <v>333</v>
      </c>
      <c r="N6" s="116">
        <v>38247.5</v>
      </c>
    </row>
    <row r="7" spans="1:14" x14ac:dyDescent="0.25">
      <c r="A7" s="21"/>
      <c r="B7" s="40">
        <v>42066</v>
      </c>
      <c r="C7" s="46">
        <v>984</v>
      </c>
      <c r="D7" s="96" t="s">
        <v>335</v>
      </c>
      <c r="E7" s="28">
        <v>42066</v>
      </c>
      <c r="F7" s="52">
        <v>31910.5</v>
      </c>
      <c r="G7" s="25"/>
      <c r="H7" s="29">
        <v>42066</v>
      </c>
      <c r="I7" s="62">
        <v>170.5</v>
      </c>
      <c r="J7" s="81"/>
      <c r="K7" s="73" t="s">
        <v>3</v>
      </c>
      <c r="L7" s="125">
        <v>11810</v>
      </c>
      <c r="M7" s="165" t="s">
        <v>334</v>
      </c>
      <c r="N7" s="116">
        <v>34532.699999999997</v>
      </c>
    </row>
    <row r="8" spans="1:14" x14ac:dyDescent="0.25">
      <c r="A8" s="21"/>
      <c r="B8" s="40">
        <v>42067</v>
      </c>
      <c r="C8" s="46">
        <v>454</v>
      </c>
      <c r="D8" s="33" t="s">
        <v>336</v>
      </c>
      <c r="E8" s="28">
        <v>42067</v>
      </c>
      <c r="F8" s="52">
        <v>33158.5</v>
      </c>
      <c r="G8" s="25"/>
      <c r="H8" s="29">
        <v>42067</v>
      </c>
      <c r="I8" s="62">
        <v>62</v>
      </c>
      <c r="J8" s="81"/>
      <c r="K8" s="73" t="s">
        <v>6</v>
      </c>
      <c r="L8" s="124">
        <v>28750</v>
      </c>
      <c r="M8" s="165" t="s">
        <v>337</v>
      </c>
      <c r="N8" s="116">
        <v>32642.5</v>
      </c>
    </row>
    <row r="9" spans="1:14" x14ac:dyDescent="0.25">
      <c r="A9" s="21"/>
      <c r="B9" s="40">
        <v>42068</v>
      </c>
      <c r="C9" s="46">
        <v>669</v>
      </c>
      <c r="D9" s="96" t="s">
        <v>22</v>
      </c>
      <c r="E9" s="28">
        <v>42068</v>
      </c>
      <c r="F9" s="52">
        <v>31324.5</v>
      </c>
      <c r="G9" s="25"/>
      <c r="H9" s="29">
        <v>42068</v>
      </c>
      <c r="I9" s="62">
        <v>22.5</v>
      </c>
      <c r="J9" s="82"/>
      <c r="K9" s="73" t="s">
        <v>267</v>
      </c>
      <c r="L9" s="125">
        <v>8187.84</v>
      </c>
      <c r="M9" s="165" t="s">
        <v>338</v>
      </c>
      <c r="N9" s="116">
        <v>38123</v>
      </c>
    </row>
    <row r="10" spans="1:14" x14ac:dyDescent="0.25">
      <c r="A10" s="21"/>
      <c r="B10" s="40">
        <v>42069</v>
      </c>
      <c r="C10" s="46">
        <v>1013</v>
      </c>
      <c r="D10" s="96" t="s">
        <v>22</v>
      </c>
      <c r="E10" s="28">
        <v>42069</v>
      </c>
      <c r="F10" s="52">
        <v>47212.5</v>
      </c>
      <c r="G10" s="25"/>
      <c r="H10" s="29">
        <v>42069</v>
      </c>
      <c r="I10" s="62">
        <v>829</v>
      </c>
      <c r="J10" s="82" t="s">
        <v>276</v>
      </c>
      <c r="K10" s="73" t="s">
        <v>321</v>
      </c>
      <c r="L10" s="125">
        <v>8366</v>
      </c>
      <c r="M10" s="165" t="s">
        <v>339</v>
      </c>
      <c r="N10" s="116">
        <v>45370.5</v>
      </c>
    </row>
    <row r="11" spans="1:14" x14ac:dyDescent="0.25">
      <c r="A11" s="21"/>
      <c r="B11" s="40">
        <v>42070</v>
      </c>
      <c r="C11" s="46">
        <v>0</v>
      </c>
      <c r="D11" s="96"/>
      <c r="E11" s="28">
        <v>42070</v>
      </c>
      <c r="F11" s="52">
        <v>52319</v>
      </c>
      <c r="G11" s="25"/>
      <c r="H11" s="29">
        <v>42070</v>
      </c>
      <c r="I11" s="62">
        <v>279</v>
      </c>
      <c r="J11" s="82" t="s">
        <v>277</v>
      </c>
      <c r="K11" s="73" t="s">
        <v>322</v>
      </c>
      <c r="L11" s="126">
        <v>5425</v>
      </c>
      <c r="M11" s="165" t="s">
        <v>340</v>
      </c>
      <c r="N11" s="116">
        <v>52040</v>
      </c>
    </row>
    <row r="12" spans="1:14" x14ac:dyDescent="0.25">
      <c r="A12" s="21"/>
      <c r="B12" s="40">
        <v>42071</v>
      </c>
      <c r="C12" s="46">
        <v>0</v>
      </c>
      <c r="D12" s="96"/>
      <c r="E12" s="28">
        <v>42071</v>
      </c>
      <c r="F12" s="52">
        <v>43326.5</v>
      </c>
      <c r="G12" s="25"/>
      <c r="H12" s="29">
        <v>42071</v>
      </c>
      <c r="I12" s="62">
        <v>0</v>
      </c>
      <c r="J12" s="82" t="s">
        <v>278</v>
      </c>
      <c r="K12" s="73" t="s">
        <v>323</v>
      </c>
      <c r="L12" s="126">
        <v>5500</v>
      </c>
      <c r="M12" s="165" t="s">
        <v>341</v>
      </c>
      <c r="N12" s="116">
        <v>35138.5</v>
      </c>
    </row>
    <row r="13" spans="1:14" x14ac:dyDescent="0.25">
      <c r="A13" s="21"/>
      <c r="B13" s="40">
        <v>42072</v>
      </c>
      <c r="C13" s="46">
        <v>0</v>
      </c>
      <c r="D13" s="96"/>
      <c r="E13" s="28">
        <v>42072</v>
      </c>
      <c r="F13" s="52">
        <v>35012.5</v>
      </c>
      <c r="G13" s="25"/>
      <c r="H13" s="29">
        <v>42072</v>
      </c>
      <c r="I13" s="62">
        <v>0</v>
      </c>
      <c r="J13" s="82" t="s">
        <v>282</v>
      </c>
      <c r="K13" s="73" t="s">
        <v>370</v>
      </c>
      <c r="L13" s="126">
        <v>0</v>
      </c>
      <c r="M13" s="174" t="s">
        <v>345</v>
      </c>
      <c r="N13" s="116">
        <v>35012.5</v>
      </c>
    </row>
    <row r="14" spans="1:14" x14ac:dyDescent="0.25">
      <c r="A14" s="21"/>
      <c r="B14" s="40">
        <v>42073</v>
      </c>
      <c r="C14" s="46">
        <v>993</v>
      </c>
      <c r="D14" s="30" t="s">
        <v>83</v>
      </c>
      <c r="E14" s="28">
        <v>42073</v>
      </c>
      <c r="F14" s="52">
        <v>26662.5</v>
      </c>
      <c r="G14" s="25"/>
      <c r="H14" s="29">
        <v>42073</v>
      </c>
      <c r="I14" s="62">
        <v>1887</v>
      </c>
      <c r="J14" s="82" t="s">
        <v>285</v>
      </c>
      <c r="K14" s="165" t="s">
        <v>268</v>
      </c>
      <c r="L14" s="126">
        <v>0</v>
      </c>
      <c r="M14" s="174" t="s">
        <v>346</v>
      </c>
      <c r="N14" s="116">
        <v>23782.5</v>
      </c>
    </row>
    <row r="15" spans="1:14" x14ac:dyDescent="0.25">
      <c r="A15" s="21"/>
      <c r="B15" s="40">
        <v>42074</v>
      </c>
      <c r="C15" s="46">
        <v>1023</v>
      </c>
      <c r="D15" s="96" t="s">
        <v>22</v>
      </c>
      <c r="E15" s="28">
        <v>42074</v>
      </c>
      <c r="F15" s="52">
        <v>41103.5</v>
      </c>
      <c r="G15" s="25"/>
      <c r="H15" s="29">
        <v>42074</v>
      </c>
      <c r="I15" s="62">
        <v>1204.95</v>
      </c>
      <c r="J15" s="82" t="s">
        <v>287</v>
      </c>
      <c r="K15" s="73" t="s">
        <v>57</v>
      </c>
      <c r="L15" s="126">
        <v>0</v>
      </c>
      <c r="M15" s="174" t="s">
        <v>344</v>
      </c>
      <c r="N15" s="116">
        <v>41037</v>
      </c>
    </row>
    <row r="16" spans="1:14" x14ac:dyDescent="0.25">
      <c r="A16" s="21"/>
      <c r="B16" s="40">
        <v>42075</v>
      </c>
      <c r="C16" s="46">
        <v>584</v>
      </c>
      <c r="D16" s="96" t="s">
        <v>343</v>
      </c>
      <c r="E16" s="28">
        <v>42075</v>
      </c>
      <c r="F16" s="52">
        <v>31994</v>
      </c>
      <c r="G16" s="25"/>
      <c r="H16" s="29">
        <v>42075</v>
      </c>
      <c r="I16" s="62">
        <v>192.07</v>
      </c>
      <c r="J16" s="82"/>
      <c r="K16" s="192" t="s">
        <v>61</v>
      </c>
      <c r="L16" s="128">
        <v>0</v>
      </c>
      <c r="M16" s="174" t="s">
        <v>347</v>
      </c>
      <c r="N16" s="116">
        <v>33023</v>
      </c>
    </row>
    <row r="17" spans="1:14" x14ac:dyDescent="0.25">
      <c r="A17" s="21"/>
      <c r="B17" s="40">
        <v>42076</v>
      </c>
      <c r="C17" s="46">
        <v>0</v>
      </c>
      <c r="D17" s="96"/>
      <c r="E17" s="28">
        <v>42076</v>
      </c>
      <c r="F17" s="52">
        <v>41030.5</v>
      </c>
      <c r="G17" s="25"/>
      <c r="H17" s="29">
        <v>42076</v>
      </c>
      <c r="I17" s="62">
        <v>1991</v>
      </c>
      <c r="J17" s="82"/>
      <c r="K17" s="73" t="s">
        <v>108</v>
      </c>
      <c r="L17" s="129">
        <v>0</v>
      </c>
      <c r="M17" s="174" t="s">
        <v>348</v>
      </c>
      <c r="N17" s="116">
        <v>38009.5</v>
      </c>
    </row>
    <row r="18" spans="1:14" x14ac:dyDescent="0.25">
      <c r="A18" s="21"/>
      <c r="B18" s="40">
        <v>42077</v>
      </c>
      <c r="C18" s="46">
        <v>925</v>
      </c>
      <c r="D18" s="30" t="s">
        <v>350</v>
      </c>
      <c r="E18" s="28">
        <v>42077</v>
      </c>
      <c r="F18" s="52">
        <v>50146.5</v>
      </c>
      <c r="G18" s="25"/>
      <c r="H18" s="29">
        <v>42077</v>
      </c>
      <c r="I18" s="62">
        <v>0</v>
      </c>
      <c r="J18" s="82"/>
      <c r="K18" s="286" t="s">
        <v>374</v>
      </c>
      <c r="L18" s="88">
        <v>765</v>
      </c>
      <c r="M18" s="174" t="s">
        <v>349</v>
      </c>
      <c r="N18" s="116">
        <v>49221.5</v>
      </c>
    </row>
    <row r="19" spans="1:14" x14ac:dyDescent="0.25">
      <c r="A19" s="21"/>
      <c r="B19" s="40">
        <v>42078</v>
      </c>
      <c r="C19" s="46">
        <v>0</v>
      </c>
      <c r="D19" s="96"/>
      <c r="E19" s="28">
        <v>42078</v>
      </c>
      <c r="F19" s="52">
        <v>35006</v>
      </c>
      <c r="G19" s="25"/>
      <c r="H19" s="29">
        <v>42078</v>
      </c>
      <c r="I19" s="62">
        <v>517.4</v>
      </c>
      <c r="J19" s="82"/>
      <c r="K19" s="286" t="s">
        <v>375</v>
      </c>
      <c r="L19" s="88">
        <v>764</v>
      </c>
      <c r="M19" s="174" t="s">
        <v>351</v>
      </c>
      <c r="N19" s="116">
        <v>26122.5</v>
      </c>
    </row>
    <row r="20" spans="1:14" x14ac:dyDescent="0.25">
      <c r="A20" s="21"/>
      <c r="B20" s="40">
        <v>42079</v>
      </c>
      <c r="C20" s="46">
        <v>1019</v>
      </c>
      <c r="D20" s="96" t="s">
        <v>22</v>
      </c>
      <c r="E20" s="28">
        <v>42079</v>
      </c>
      <c r="F20" s="52">
        <v>34412.5</v>
      </c>
      <c r="G20" s="25"/>
      <c r="H20" s="29">
        <v>42079</v>
      </c>
      <c r="I20" s="63">
        <v>500.67</v>
      </c>
      <c r="J20" s="82"/>
      <c r="K20" s="130" t="s">
        <v>111</v>
      </c>
      <c r="L20" s="129">
        <v>0</v>
      </c>
      <c r="M20" s="174" t="s">
        <v>352</v>
      </c>
      <c r="N20" s="116">
        <v>32893</v>
      </c>
    </row>
    <row r="21" spans="1:14" x14ac:dyDescent="0.25">
      <c r="A21" s="21"/>
      <c r="B21" s="40">
        <v>42080</v>
      </c>
      <c r="C21" s="46">
        <v>1092</v>
      </c>
      <c r="D21" s="96" t="s">
        <v>83</v>
      </c>
      <c r="E21" s="28">
        <v>42080</v>
      </c>
      <c r="F21" s="52">
        <v>30066.5</v>
      </c>
      <c r="G21" s="25"/>
      <c r="H21" s="29">
        <v>42080</v>
      </c>
      <c r="I21" s="63">
        <v>20</v>
      </c>
      <c r="J21" s="82"/>
      <c r="K21" s="131" t="s">
        <v>240</v>
      </c>
      <c r="L21" s="129">
        <v>0</v>
      </c>
      <c r="M21" s="174" t="s">
        <v>355</v>
      </c>
      <c r="N21" s="116">
        <v>28954.5</v>
      </c>
    </row>
    <row r="22" spans="1:14" x14ac:dyDescent="0.25">
      <c r="A22" s="21"/>
      <c r="B22" s="40">
        <v>42081</v>
      </c>
      <c r="C22" s="46">
        <v>0</v>
      </c>
      <c r="D22" s="96"/>
      <c r="E22" s="28">
        <v>42081</v>
      </c>
      <c r="F22" s="52">
        <v>31761.5</v>
      </c>
      <c r="G22" s="25"/>
      <c r="H22" s="29">
        <v>42081</v>
      </c>
      <c r="I22" s="63">
        <v>0</v>
      </c>
      <c r="J22" s="149"/>
      <c r="K22" s="150" t="s">
        <v>380</v>
      </c>
      <c r="L22" s="129">
        <v>800</v>
      </c>
      <c r="M22" s="174" t="s">
        <v>356</v>
      </c>
      <c r="N22" s="116">
        <v>31761.5</v>
      </c>
    </row>
    <row r="23" spans="1:14" x14ac:dyDescent="0.25">
      <c r="A23" s="21"/>
      <c r="B23" s="40">
        <v>42082</v>
      </c>
      <c r="C23" s="46">
        <v>0</v>
      </c>
      <c r="D23" s="96"/>
      <c r="E23" s="28">
        <v>42082</v>
      </c>
      <c r="F23" s="52">
        <v>29348</v>
      </c>
      <c r="G23" s="25"/>
      <c r="H23" s="29">
        <v>42082</v>
      </c>
      <c r="I23" s="63">
        <v>496</v>
      </c>
      <c r="J23" s="81"/>
      <c r="K23" s="132" t="s">
        <v>302</v>
      </c>
      <c r="L23" s="129">
        <v>0</v>
      </c>
      <c r="M23" s="174" t="s">
        <v>357</v>
      </c>
      <c r="N23" s="116">
        <v>28852</v>
      </c>
    </row>
    <row r="24" spans="1:14" x14ac:dyDescent="0.25">
      <c r="A24" s="21"/>
      <c r="B24" s="40">
        <v>42083</v>
      </c>
      <c r="C24" s="46">
        <v>0</v>
      </c>
      <c r="D24" s="96"/>
      <c r="E24" s="28">
        <v>42083</v>
      </c>
      <c r="F24" s="52">
        <v>50663</v>
      </c>
      <c r="G24" s="25"/>
      <c r="H24" s="29">
        <v>42083</v>
      </c>
      <c r="I24" s="63">
        <v>600</v>
      </c>
      <c r="J24" s="82"/>
      <c r="K24" s="132"/>
      <c r="L24" s="129"/>
      <c r="M24" s="174" t="s">
        <v>358</v>
      </c>
      <c r="N24" s="116">
        <v>52063</v>
      </c>
    </row>
    <row r="25" spans="1:14" x14ac:dyDescent="0.25">
      <c r="A25" s="21"/>
      <c r="B25" s="40">
        <v>42084</v>
      </c>
      <c r="C25" s="46">
        <v>1409</v>
      </c>
      <c r="D25" s="30" t="s">
        <v>359</v>
      </c>
      <c r="E25" s="28">
        <v>42084</v>
      </c>
      <c r="F25" s="52">
        <v>44223</v>
      </c>
      <c r="G25" s="25"/>
      <c r="H25" s="29">
        <v>42084</v>
      </c>
      <c r="I25" s="63">
        <v>3956.9</v>
      </c>
      <c r="J25" s="81"/>
      <c r="K25" s="132"/>
      <c r="L25" s="129"/>
      <c r="M25" s="174" t="s">
        <v>360</v>
      </c>
      <c r="N25" s="116">
        <v>41460</v>
      </c>
    </row>
    <row r="26" spans="1:14" x14ac:dyDescent="0.25">
      <c r="A26" s="21"/>
      <c r="B26" s="40">
        <v>42085</v>
      </c>
      <c r="C26" s="46">
        <v>0</v>
      </c>
      <c r="D26" s="96"/>
      <c r="E26" s="28">
        <v>42085</v>
      </c>
      <c r="F26" s="52">
        <v>33845</v>
      </c>
      <c r="G26" s="25"/>
      <c r="H26" s="29">
        <v>42085</v>
      </c>
      <c r="I26" s="63">
        <v>50</v>
      </c>
      <c r="J26" s="98"/>
      <c r="K26" s="132"/>
      <c r="L26" s="129"/>
      <c r="M26" s="174" t="s">
        <v>361</v>
      </c>
      <c r="N26" s="116">
        <v>28370</v>
      </c>
    </row>
    <row r="27" spans="1:14" x14ac:dyDescent="0.25">
      <c r="A27" s="21"/>
      <c r="B27" s="40">
        <v>42086</v>
      </c>
      <c r="C27" s="46">
        <v>382</v>
      </c>
      <c r="D27" s="96" t="s">
        <v>83</v>
      </c>
      <c r="E27" s="28">
        <v>42086</v>
      </c>
      <c r="F27" s="52">
        <v>34934.5</v>
      </c>
      <c r="G27" s="25"/>
      <c r="H27" s="29">
        <v>42086</v>
      </c>
      <c r="I27" s="63">
        <v>48</v>
      </c>
      <c r="J27" s="81"/>
      <c r="K27" s="132"/>
      <c r="L27" s="129"/>
      <c r="M27" s="174" t="s">
        <v>362</v>
      </c>
      <c r="N27" s="116">
        <v>34504.5</v>
      </c>
    </row>
    <row r="28" spans="1:14" x14ac:dyDescent="0.25">
      <c r="A28" s="21"/>
      <c r="B28" s="40">
        <v>42087</v>
      </c>
      <c r="C28" s="46"/>
      <c r="D28" s="30"/>
      <c r="E28" s="28">
        <v>42087</v>
      </c>
      <c r="F28" s="52">
        <v>20384</v>
      </c>
      <c r="G28" s="25"/>
      <c r="H28" s="29">
        <v>42087</v>
      </c>
      <c r="I28" s="63">
        <v>45</v>
      </c>
      <c r="J28" s="81"/>
      <c r="K28" s="132"/>
      <c r="L28" s="129"/>
      <c r="M28" s="174" t="s">
        <v>379</v>
      </c>
      <c r="N28" s="116">
        <v>19539</v>
      </c>
    </row>
    <row r="29" spans="1:14" x14ac:dyDescent="0.25">
      <c r="A29" s="21"/>
      <c r="B29" s="40">
        <v>42088</v>
      </c>
      <c r="C29" s="46">
        <v>1118</v>
      </c>
      <c r="D29" s="30" t="s">
        <v>364</v>
      </c>
      <c r="E29" s="28">
        <v>42088</v>
      </c>
      <c r="F29" s="52">
        <v>61335.5</v>
      </c>
      <c r="G29" s="25"/>
      <c r="H29" s="29">
        <v>42088</v>
      </c>
      <c r="I29" s="63">
        <v>1865.03</v>
      </c>
      <c r="J29" s="81"/>
      <c r="K29" s="11"/>
      <c r="L29" s="87"/>
      <c r="M29" s="153" t="s">
        <v>365</v>
      </c>
      <c r="N29" s="116">
        <v>58351.5</v>
      </c>
    </row>
    <row r="30" spans="1:14" x14ac:dyDescent="0.25">
      <c r="A30" s="21"/>
      <c r="B30" s="40">
        <v>42089</v>
      </c>
      <c r="C30" s="46">
        <v>1389</v>
      </c>
      <c r="D30" s="30" t="s">
        <v>366</v>
      </c>
      <c r="E30" s="28">
        <v>42089</v>
      </c>
      <c r="F30" s="52">
        <v>33300</v>
      </c>
      <c r="G30" s="25"/>
      <c r="H30" s="29">
        <v>42089</v>
      </c>
      <c r="I30" s="63">
        <v>1375.33</v>
      </c>
      <c r="J30" s="98"/>
      <c r="K30" s="11"/>
      <c r="L30" s="87"/>
      <c r="M30" s="174" t="s">
        <v>367</v>
      </c>
      <c r="N30" s="116">
        <v>30535.67</v>
      </c>
    </row>
    <row r="31" spans="1:14" x14ac:dyDescent="0.25">
      <c r="A31" s="21"/>
      <c r="B31" s="40">
        <v>42090</v>
      </c>
      <c r="C31" s="46">
        <v>0</v>
      </c>
      <c r="D31" s="96"/>
      <c r="E31" s="28">
        <v>42090</v>
      </c>
      <c r="F31" s="52">
        <v>40985</v>
      </c>
      <c r="G31" s="25"/>
      <c r="H31" s="29">
        <v>42090</v>
      </c>
      <c r="I31" s="63">
        <v>50</v>
      </c>
      <c r="J31" s="82"/>
      <c r="K31" s="11"/>
      <c r="L31" s="87"/>
      <c r="M31" s="174" t="s">
        <v>368</v>
      </c>
      <c r="N31" s="116">
        <v>29125</v>
      </c>
    </row>
    <row r="32" spans="1:14" x14ac:dyDescent="0.25">
      <c r="A32" s="21"/>
      <c r="B32" s="40">
        <v>42091</v>
      </c>
      <c r="C32" s="46">
        <v>1002</v>
      </c>
      <c r="D32" s="96" t="s">
        <v>83</v>
      </c>
      <c r="E32" s="28">
        <v>42091</v>
      </c>
      <c r="F32" s="52">
        <v>43083.5</v>
      </c>
      <c r="G32" s="25"/>
      <c r="H32" s="29">
        <v>42091</v>
      </c>
      <c r="I32" s="63">
        <v>20</v>
      </c>
      <c r="J32" s="81"/>
      <c r="K32" s="11"/>
      <c r="L32" s="87"/>
      <c r="M32" s="174" t="s">
        <v>369</v>
      </c>
      <c r="N32" s="116">
        <v>42061.5</v>
      </c>
    </row>
    <row r="33" spans="1:14" x14ac:dyDescent="0.25">
      <c r="A33" s="21"/>
      <c r="B33" s="40">
        <v>42092</v>
      </c>
      <c r="C33" s="46">
        <v>0</v>
      </c>
      <c r="D33" s="96"/>
      <c r="E33" s="28">
        <v>42092</v>
      </c>
      <c r="F33" s="52">
        <v>28529</v>
      </c>
      <c r="G33" s="25"/>
      <c r="H33" s="29">
        <v>42092</v>
      </c>
      <c r="I33" s="63">
        <v>0</v>
      </c>
      <c r="J33" s="81"/>
      <c r="K33" s="11"/>
      <c r="L33" s="86"/>
      <c r="M33" s="174" t="s">
        <v>371</v>
      </c>
      <c r="N33" s="116">
        <v>29029.119999999999</v>
      </c>
    </row>
    <row r="34" spans="1:14" x14ac:dyDescent="0.25">
      <c r="A34" s="21"/>
      <c r="B34" s="40">
        <v>42093</v>
      </c>
      <c r="C34" s="46">
        <v>0</v>
      </c>
      <c r="D34" s="96"/>
      <c r="E34" s="28">
        <v>42093</v>
      </c>
      <c r="F34" s="52">
        <v>28743</v>
      </c>
      <c r="G34" s="25"/>
      <c r="H34" s="29">
        <v>42093</v>
      </c>
      <c r="I34" s="63">
        <v>503.5</v>
      </c>
      <c r="J34" s="81"/>
      <c r="K34" s="11"/>
      <c r="L34" s="86"/>
      <c r="M34" s="174" t="s">
        <v>378</v>
      </c>
      <c r="N34" s="116">
        <v>27447</v>
      </c>
    </row>
    <row r="35" spans="1:14" ht="15.75" thickBot="1" x14ac:dyDescent="0.3">
      <c r="A35" s="21"/>
      <c r="B35" s="40">
        <v>42094</v>
      </c>
      <c r="C35" s="46">
        <v>3500</v>
      </c>
      <c r="D35" s="96" t="s">
        <v>376</v>
      </c>
      <c r="E35" s="28">
        <v>42094</v>
      </c>
      <c r="F35" s="52">
        <v>29672.5</v>
      </c>
      <c r="G35" s="25"/>
      <c r="H35" s="29">
        <v>42094</v>
      </c>
      <c r="I35" s="63">
        <v>61</v>
      </c>
      <c r="J35" s="81"/>
      <c r="K35" s="11"/>
      <c r="L35" s="7"/>
      <c r="M35" s="174" t="s">
        <v>377</v>
      </c>
      <c r="N35" s="116">
        <v>26111.5</v>
      </c>
    </row>
    <row r="36" spans="1:14" ht="15.75" thickBot="1" x14ac:dyDescent="0.3">
      <c r="A36" s="15"/>
      <c r="B36" s="145"/>
      <c r="C36" s="146">
        <v>0</v>
      </c>
      <c r="D36" s="156"/>
      <c r="E36" s="28"/>
      <c r="F36" s="52">
        <v>0</v>
      </c>
      <c r="G36" s="25"/>
      <c r="H36" s="147"/>
      <c r="I36" s="148">
        <v>0</v>
      </c>
      <c r="J36" s="56"/>
      <c r="K36" s="11"/>
      <c r="L36" s="7"/>
      <c r="M36" s="72"/>
      <c r="N36" s="115"/>
    </row>
    <row r="37" spans="1:14" ht="16.5" thickBot="1" x14ac:dyDescent="0.3">
      <c r="A37" s="99"/>
      <c r="B37" s="42"/>
      <c r="C37" s="48">
        <v>0</v>
      </c>
      <c r="D37" s="156"/>
      <c r="E37" s="9"/>
      <c r="F37" s="54">
        <v>0</v>
      </c>
      <c r="H37" s="32"/>
      <c r="I37" s="65">
        <v>0</v>
      </c>
      <c r="J37" s="56"/>
      <c r="K37" s="17"/>
      <c r="L37" s="117"/>
      <c r="M37" s="801">
        <f>SUM(N5:N36)</f>
        <v>1101958.49</v>
      </c>
      <c r="N37" s="802"/>
    </row>
    <row r="38" spans="1:14" x14ac:dyDescent="0.25">
      <c r="B38" s="43" t="s">
        <v>1</v>
      </c>
      <c r="C38" s="49">
        <f>SUM(C5:C37)</f>
        <v>18347</v>
      </c>
      <c r="E38" s="354" t="s">
        <v>1</v>
      </c>
      <c r="F38" s="55">
        <f>SUM(F5:F37)</f>
        <v>1160975</v>
      </c>
      <c r="H38" s="356" t="s">
        <v>1</v>
      </c>
      <c r="I38" s="59">
        <f>SUM(I5:I37)</f>
        <v>18487.849999999999</v>
      </c>
      <c r="J38" s="59"/>
      <c r="K38" s="18" t="s">
        <v>1</v>
      </c>
      <c r="L38" s="4">
        <f>SUM(L5:L37)</f>
        <v>71397.84</v>
      </c>
      <c r="M38" s="72"/>
    </row>
    <row r="39" spans="1:14" x14ac:dyDescent="0.25">
      <c r="M39" s="72"/>
    </row>
    <row r="40" spans="1:14" ht="15.75" x14ac:dyDescent="0.25">
      <c r="A40" s="5"/>
      <c r="B40" s="280"/>
      <c r="C40" s="81"/>
      <c r="D40" s="157"/>
      <c r="E40" s="13"/>
      <c r="F40" s="56"/>
      <c r="H40" s="785" t="s">
        <v>11</v>
      </c>
      <c r="I40" s="786"/>
      <c r="J40" s="355"/>
      <c r="K40" s="787">
        <f>I38+L38</f>
        <v>89885.69</v>
      </c>
      <c r="L40" s="788"/>
      <c r="M40" s="72"/>
    </row>
    <row r="41" spans="1:14" ht="15.75" x14ac:dyDescent="0.25">
      <c r="B41" s="281"/>
      <c r="C41" s="56"/>
      <c r="D41" s="779" t="s">
        <v>12</v>
      </c>
      <c r="E41" s="779"/>
      <c r="F41" s="57">
        <f>F38-K40</f>
        <v>1071089.31</v>
      </c>
      <c r="I41" s="66"/>
      <c r="J41" s="66"/>
      <c r="M41" s="72"/>
    </row>
    <row r="42" spans="1:14" ht="15.75" x14ac:dyDescent="0.25">
      <c r="D42" s="805" t="s">
        <v>246</v>
      </c>
      <c r="E42" s="805"/>
      <c r="F42" s="57">
        <v>-986923.46</v>
      </c>
      <c r="I42" s="66"/>
      <c r="J42" s="66"/>
      <c r="M42" s="72"/>
    </row>
    <row r="43" spans="1:14" ht="15.75" thickBot="1" x14ac:dyDescent="0.3">
      <c r="D43" s="159"/>
      <c r="E43" s="120" t="s">
        <v>0</v>
      </c>
      <c r="F43" s="121">
        <f>-C38</f>
        <v>-18347</v>
      </c>
    </row>
    <row r="44" spans="1:14" ht="15.75" thickTop="1" x14ac:dyDescent="0.25">
      <c r="C44" s="44" t="s">
        <v>17</v>
      </c>
      <c r="E44" s="5" t="s">
        <v>15</v>
      </c>
      <c r="F44" s="59">
        <f>SUM(F41:F43)</f>
        <v>65818.850000000093</v>
      </c>
      <c r="I44" s="813" t="s">
        <v>248</v>
      </c>
      <c r="J44" s="814"/>
      <c r="K44" s="803">
        <f>F48+L46</f>
        <v>224404.37000000008</v>
      </c>
      <c r="L44" s="795"/>
    </row>
    <row r="45" spans="1:14" ht="15.75" thickBot="1" x14ac:dyDescent="0.3">
      <c r="D45" s="265" t="s">
        <v>253</v>
      </c>
      <c r="E45" s="5" t="s">
        <v>247</v>
      </c>
      <c r="F45" s="59">
        <v>15183.5</v>
      </c>
      <c r="I45" s="815"/>
      <c r="J45" s="816"/>
      <c r="K45" s="804"/>
      <c r="L45" s="796"/>
      <c r="M45" s="110"/>
    </row>
    <row r="46" spans="1:14" ht="17.25" thickTop="1" thickBot="1" x14ac:dyDescent="0.3">
      <c r="C46" s="55"/>
      <c r="D46" s="778" t="s">
        <v>13</v>
      </c>
      <c r="E46" s="778"/>
      <c r="F46" s="60">
        <v>143402.01999999999</v>
      </c>
      <c r="I46" s="790"/>
      <c r="J46" s="790"/>
      <c r="K46" s="812"/>
      <c r="L46" s="34"/>
    </row>
    <row r="47" spans="1:14" ht="19.5" thickBot="1" x14ac:dyDescent="0.35">
      <c r="C47" s="55"/>
      <c r="D47" s="354"/>
      <c r="E47" s="354"/>
      <c r="F47" s="139"/>
      <c r="H47" s="19"/>
      <c r="I47" s="357" t="s">
        <v>254</v>
      </c>
      <c r="J47" s="357"/>
      <c r="K47" s="806">
        <v>105169.23</v>
      </c>
      <c r="L47" s="807"/>
    </row>
    <row r="48" spans="1:14" ht="17.25" thickTop="1" thickBot="1" x14ac:dyDescent="0.3">
      <c r="E48" s="6" t="s">
        <v>16</v>
      </c>
      <c r="F48" s="264">
        <f>F44+F45+F46</f>
        <v>224404.37000000008</v>
      </c>
    </row>
    <row r="49" spans="2:14" ht="19.5" thickBot="1" x14ac:dyDescent="0.35">
      <c r="B49"/>
      <c r="C49"/>
      <c r="D49" s="777"/>
      <c r="E49" s="777"/>
      <c r="F49" s="56"/>
      <c r="I49" s="810" t="s">
        <v>249</v>
      </c>
      <c r="J49" s="811"/>
      <c r="K49" s="808">
        <f>K44-K47</f>
        <v>119235.14000000009</v>
      </c>
      <c r="L49" s="809"/>
      <c r="N49" s="113"/>
    </row>
    <row r="50" spans="2:14" x14ac:dyDescent="0.25">
      <c r="B50"/>
      <c r="C50"/>
      <c r="M50" s="107"/>
      <c r="N50" s="113"/>
    </row>
    <row r="51" spans="2:14" x14ac:dyDescent="0.25">
      <c r="B51"/>
      <c r="C51"/>
    </row>
    <row r="52" spans="2:14" x14ac:dyDescent="0.25">
      <c r="B52"/>
      <c r="C52"/>
      <c r="F52"/>
      <c r="I52"/>
      <c r="J52"/>
      <c r="N52"/>
    </row>
    <row r="53" spans="2:14" x14ac:dyDescent="0.25">
      <c r="B53"/>
      <c r="C53"/>
    </row>
    <row r="54" spans="2:14" x14ac:dyDescent="0.25">
      <c r="N54" s="56"/>
    </row>
    <row r="55" spans="2:14" x14ac:dyDescent="0.25">
      <c r="N55" s="56"/>
    </row>
    <row r="56" spans="2:14" x14ac:dyDescent="0.25">
      <c r="N56" s="56"/>
    </row>
    <row r="57" spans="2:14" x14ac:dyDescent="0.25">
      <c r="N57" s="56"/>
    </row>
  </sheetData>
  <mergeCells count="16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C1:K1"/>
    <mergeCell ref="E4:F4"/>
    <mergeCell ref="I4:L4"/>
    <mergeCell ref="M37:N37"/>
    <mergeCell ref="H40:I40"/>
    <mergeCell ref="K40:L40"/>
  </mergeCells>
  <pageMargins left="0.70866141732283472" right="0.70866141732283472" top="0.15748031496062992" bottom="0.15748031496062992" header="0.31496062992125984" footer="0.31496062992125984"/>
  <pageSetup scale="73" orientation="landscape" horizontalDpi="0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O94"/>
  <sheetViews>
    <sheetView topLeftCell="A28" workbookViewId="0">
      <selection activeCell="I57" sqref="I57"/>
    </sheetView>
  </sheetViews>
  <sheetFormatPr baseColWidth="10" defaultRowHeight="15" x14ac:dyDescent="0.25"/>
  <cols>
    <col min="2" max="2" width="18.7109375" bestFit="1" customWidth="1"/>
    <col min="3" max="3" width="10.140625" customWidth="1"/>
    <col min="4" max="4" width="15.28515625" style="111" customWidth="1"/>
    <col min="5" max="5" width="25.140625" style="44" bestFit="1" customWidth="1"/>
    <col min="6" max="6" width="11.42578125" style="222"/>
    <col min="8" max="8" width="11.42578125" style="276"/>
    <col min="9" max="9" width="12.5703125" style="5" bestFit="1" customWidth="1"/>
    <col min="10" max="10" width="12.85546875" bestFit="1" customWidth="1"/>
    <col min="11" max="11" width="14.42578125" style="44" bestFit="1" customWidth="1"/>
    <col min="12" max="12" width="12.42578125" bestFit="1" customWidth="1"/>
    <col min="13" max="13" width="12.5703125" style="336" bestFit="1" customWidth="1"/>
    <col min="14" max="14" width="18.5703125" style="336" bestFit="1" customWidth="1"/>
  </cols>
  <sheetData>
    <row r="1" spans="1:14" ht="19.5" thickBot="1" x14ac:dyDescent="0.35">
      <c r="B1" s="204" t="s">
        <v>205</v>
      </c>
      <c r="C1" s="204"/>
      <c r="D1" s="213"/>
      <c r="E1" s="323">
        <v>42066</v>
      </c>
      <c r="G1" s="73"/>
      <c r="J1" s="204" t="s">
        <v>324</v>
      </c>
    </row>
    <row r="2" spans="1:14" ht="15.75" x14ac:dyDescent="0.25">
      <c r="A2" s="205"/>
      <c r="B2" s="205"/>
      <c r="C2" s="205"/>
      <c r="D2" s="206"/>
      <c r="E2" s="207"/>
      <c r="F2" s="223"/>
      <c r="G2" s="73"/>
    </row>
    <row r="3" spans="1:14" ht="15.75" x14ac:dyDescent="0.25">
      <c r="A3" s="212" t="s">
        <v>202</v>
      </c>
      <c r="B3" s="205" t="s">
        <v>195</v>
      </c>
      <c r="C3" s="205"/>
      <c r="D3" s="206" t="s">
        <v>203</v>
      </c>
      <c r="E3" s="207" t="s">
        <v>204</v>
      </c>
      <c r="F3" s="223"/>
      <c r="G3" s="73"/>
      <c r="I3" s="249">
        <v>42065</v>
      </c>
      <c r="J3" s="339">
        <v>13631</v>
      </c>
      <c r="K3" s="44">
        <v>55692.55</v>
      </c>
      <c r="L3" s="21">
        <v>42074</v>
      </c>
      <c r="M3" s="44">
        <v>55692.55</v>
      </c>
      <c r="N3" s="296">
        <f t="shared" ref="N3:N19" si="0">K3-M3</f>
        <v>0</v>
      </c>
    </row>
    <row r="4" spans="1:14" ht="15.75" x14ac:dyDescent="0.25">
      <c r="A4" s="215">
        <v>12790</v>
      </c>
      <c r="B4" s="216">
        <v>23382.15</v>
      </c>
      <c r="C4" s="216"/>
      <c r="D4" s="331" t="s">
        <v>292</v>
      </c>
      <c r="E4" s="332">
        <v>630.5</v>
      </c>
      <c r="F4" s="333">
        <v>42059</v>
      </c>
      <c r="G4" s="364">
        <v>42055</v>
      </c>
      <c r="I4" s="340">
        <v>42066</v>
      </c>
      <c r="J4" s="341">
        <v>13778</v>
      </c>
      <c r="K4" s="44">
        <v>59886.75</v>
      </c>
      <c r="L4" s="21">
        <v>42074</v>
      </c>
      <c r="M4" s="44">
        <v>59886.75</v>
      </c>
      <c r="N4" s="296">
        <f t="shared" si="0"/>
        <v>0</v>
      </c>
    </row>
    <row r="5" spans="1:14" ht="15.75" x14ac:dyDescent="0.25">
      <c r="A5" s="233">
        <v>13032</v>
      </c>
      <c r="B5" s="234">
        <v>17191.400000000001</v>
      </c>
      <c r="C5" s="234"/>
      <c r="D5" s="331" t="s">
        <v>292</v>
      </c>
      <c r="E5" s="332">
        <v>48200</v>
      </c>
      <c r="F5" s="333">
        <v>42056</v>
      </c>
      <c r="G5" s="364">
        <v>42055</v>
      </c>
      <c r="I5" s="340">
        <v>42068</v>
      </c>
      <c r="J5" s="341">
        <v>13920</v>
      </c>
      <c r="K5" s="44">
        <v>146740.67000000001</v>
      </c>
      <c r="L5" s="21">
        <v>42074</v>
      </c>
      <c r="M5" s="44">
        <v>146740.67000000001</v>
      </c>
      <c r="N5" s="296">
        <f t="shared" si="0"/>
        <v>0</v>
      </c>
    </row>
    <row r="6" spans="1:14" ht="15.75" x14ac:dyDescent="0.25">
      <c r="A6" s="233">
        <v>13101</v>
      </c>
      <c r="B6" s="234">
        <v>1303.2</v>
      </c>
      <c r="C6" s="234"/>
      <c r="D6" s="331">
        <v>2720537</v>
      </c>
      <c r="E6" s="332">
        <v>56350</v>
      </c>
      <c r="F6" s="333">
        <v>42056</v>
      </c>
      <c r="G6" s="73"/>
      <c r="I6" s="340">
        <v>42069</v>
      </c>
      <c r="J6" s="341">
        <v>14012</v>
      </c>
      <c r="K6" s="44">
        <v>1335.6</v>
      </c>
      <c r="L6" s="21">
        <v>42074</v>
      </c>
      <c r="M6" s="44">
        <v>1335.6</v>
      </c>
      <c r="N6" s="296">
        <f t="shared" si="0"/>
        <v>0</v>
      </c>
    </row>
    <row r="7" spans="1:14" ht="15.75" x14ac:dyDescent="0.25">
      <c r="A7" s="233">
        <v>13115</v>
      </c>
      <c r="B7" s="234">
        <v>67289.59</v>
      </c>
      <c r="C7" s="234"/>
      <c r="D7" s="331" t="s">
        <v>292</v>
      </c>
      <c r="E7" s="332">
        <v>4792</v>
      </c>
      <c r="F7" s="333">
        <v>42059</v>
      </c>
      <c r="G7" s="364">
        <v>42056</v>
      </c>
      <c r="I7" s="340">
        <v>42071</v>
      </c>
      <c r="J7" s="341">
        <v>14216</v>
      </c>
      <c r="K7" s="44">
        <v>10093.799999999999</v>
      </c>
      <c r="L7" s="21">
        <v>42074</v>
      </c>
      <c r="M7" s="44">
        <v>10093.799999999999</v>
      </c>
      <c r="N7" s="296">
        <f t="shared" si="0"/>
        <v>0</v>
      </c>
    </row>
    <row r="8" spans="1:14" ht="15.75" x14ac:dyDescent="0.25">
      <c r="A8" s="233">
        <v>13200</v>
      </c>
      <c r="B8" s="234">
        <v>5418.4</v>
      </c>
      <c r="C8" s="234"/>
      <c r="D8" s="331">
        <v>2720538</v>
      </c>
      <c r="E8" s="332">
        <v>33550</v>
      </c>
      <c r="F8" s="333">
        <v>42057</v>
      </c>
      <c r="G8" s="73"/>
      <c r="I8" s="340">
        <v>42072</v>
      </c>
      <c r="J8" s="341">
        <v>14263</v>
      </c>
      <c r="K8" s="44">
        <v>24086.45</v>
      </c>
      <c r="L8" s="423" t="s">
        <v>353</v>
      </c>
      <c r="M8" s="336">
        <f>1448.64+22637.81</f>
        <v>24086.45</v>
      </c>
      <c r="N8" s="296">
        <f t="shared" si="0"/>
        <v>0</v>
      </c>
    </row>
    <row r="9" spans="1:14" ht="15.75" x14ac:dyDescent="0.25">
      <c r="A9" s="233">
        <v>13305</v>
      </c>
      <c r="B9" s="235">
        <v>17398.55</v>
      </c>
      <c r="C9" s="235"/>
      <c r="D9" s="331" t="s">
        <v>292</v>
      </c>
      <c r="E9" s="332">
        <v>4119</v>
      </c>
      <c r="F9" s="333">
        <v>42060</v>
      </c>
      <c r="G9" s="364">
        <v>42057</v>
      </c>
      <c r="I9" s="340">
        <v>42072</v>
      </c>
      <c r="J9" s="341">
        <v>14367</v>
      </c>
      <c r="K9" s="56">
        <v>31493.25</v>
      </c>
      <c r="L9" s="247">
        <v>42081</v>
      </c>
      <c r="M9" s="56">
        <v>31493.25</v>
      </c>
      <c r="N9" s="296">
        <f t="shared" si="0"/>
        <v>0</v>
      </c>
    </row>
    <row r="10" spans="1:14" ht="15.75" x14ac:dyDescent="0.25">
      <c r="A10" s="237">
        <v>13358</v>
      </c>
      <c r="B10" s="324">
        <v>76193.710000000006</v>
      </c>
      <c r="C10" s="230" t="s">
        <v>325</v>
      </c>
      <c r="D10" s="237" t="s">
        <v>292</v>
      </c>
      <c r="E10" s="324">
        <v>28484.5</v>
      </c>
      <c r="F10" s="334">
        <v>42060</v>
      </c>
      <c r="G10" s="364">
        <v>42058</v>
      </c>
      <c r="I10" s="340">
        <v>42073</v>
      </c>
      <c r="J10" s="342">
        <v>14408</v>
      </c>
      <c r="K10" s="56">
        <v>55955</v>
      </c>
      <c r="L10" s="247">
        <v>42081</v>
      </c>
      <c r="M10" s="56">
        <v>55955</v>
      </c>
      <c r="N10" s="296">
        <f t="shared" si="0"/>
        <v>0</v>
      </c>
    </row>
    <row r="11" spans="1:14" ht="15.75" x14ac:dyDescent="0.25">
      <c r="A11" s="237"/>
      <c r="B11" s="324">
        <v>0</v>
      </c>
      <c r="C11" s="230"/>
      <c r="D11" s="237" t="s">
        <v>292</v>
      </c>
      <c r="E11" s="324">
        <v>32051</v>
      </c>
      <c r="F11" s="334">
        <v>42060</v>
      </c>
      <c r="G11" s="364">
        <v>42059</v>
      </c>
      <c r="I11" s="340">
        <v>42075</v>
      </c>
      <c r="J11" s="342">
        <v>14598</v>
      </c>
      <c r="K11" s="50">
        <v>13589.2</v>
      </c>
      <c r="L11" s="247">
        <v>42081</v>
      </c>
      <c r="M11" s="50">
        <v>13589.2</v>
      </c>
      <c r="N11" s="297">
        <f t="shared" si="0"/>
        <v>0</v>
      </c>
    </row>
    <row r="12" spans="1:14" ht="15.75" x14ac:dyDescent="0.25">
      <c r="A12" s="237"/>
      <c r="B12" s="324">
        <v>0</v>
      </c>
      <c r="C12" s="230"/>
      <c r="D12" s="237"/>
      <c r="E12" s="324">
        <v>0</v>
      </c>
      <c r="F12" s="334"/>
      <c r="H12" s="252"/>
      <c r="I12" s="340">
        <v>42075</v>
      </c>
      <c r="J12" s="342">
        <v>14622</v>
      </c>
      <c r="K12" s="50">
        <v>111772.85</v>
      </c>
      <c r="L12" s="247">
        <v>42081</v>
      </c>
      <c r="M12" s="50">
        <v>111772.85</v>
      </c>
      <c r="N12" s="297">
        <f t="shared" si="0"/>
        <v>0</v>
      </c>
    </row>
    <row r="13" spans="1:14" ht="16.5" thickBot="1" x14ac:dyDescent="0.3">
      <c r="A13" s="244"/>
      <c r="B13" s="226">
        <v>0</v>
      </c>
      <c r="C13" s="226"/>
      <c r="D13" s="227"/>
      <c r="E13" s="58">
        <v>0</v>
      </c>
      <c r="F13" s="245"/>
      <c r="H13" s="252"/>
      <c r="I13" s="340">
        <v>42076</v>
      </c>
      <c r="J13" s="342">
        <v>14716</v>
      </c>
      <c r="K13" s="50">
        <v>6053.2</v>
      </c>
      <c r="L13" s="247">
        <v>42081</v>
      </c>
      <c r="M13" s="50">
        <v>6053.2</v>
      </c>
      <c r="N13" s="297">
        <f t="shared" si="0"/>
        <v>0</v>
      </c>
    </row>
    <row r="14" spans="1:14" ht="16.5" thickTop="1" x14ac:dyDescent="0.25">
      <c r="B14" s="208">
        <f>SUM(B4:B13)</f>
        <v>208177</v>
      </c>
      <c r="C14" s="208"/>
      <c r="D14" s="206"/>
      <c r="E14" s="207">
        <f>SUM(E4:E13)</f>
        <v>208177</v>
      </c>
      <c r="H14" s="287"/>
      <c r="I14" s="343">
        <v>42077</v>
      </c>
      <c r="J14" s="344">
        <v>14797</v>
      </c>
      <c r="K14" s="81">
        <v>8091.6</v>
      </c>
      <c r="L14" s="247">
        <v>42081</v>
      </c>
      <c r="M14" s="81">
        <v>8091.6</v>
      </c>
      <c r="N14" s="297">
        <f t="shared" si="0"/>
        <v>0</v>
      </c>
    </row>
    <row r="15" spans="1:14" ht="15.75" x14ac:dyDescent="0.25">
      <c r="A15" s="381"/>
      <c r="B15" s="57"/>
      <c r="C15" s="13"/>
      <c r="D15" s="136"/>
      <c r="E15" s="56"/>
      <c r="F15" s="247"/>
      <c r="H15" s="287"/>
      <c r="I15" s="343">
        <v>42079</v>
      </c>
      <c r="J15" s="344">
        <v>14969</v>
      </c>
      <c r="K15" s="81">
        <v>6399</v>
      </c>
      <c r="L15" s="247">
        <v>42081</v>
      </c>
      <c r="M15" s="81">
        <v>6399</v>
      </c>
      <c r="N15" s="297">
        <f t="shared" si="0"/>
        <v>0</v>
      </c>
    </row>
    <row r="16" spans="1:14" ht="16.5" thickBot="1" x14ac:dyDescent="0.3">
      <c r="H16" s="287"/>
      <c r="I16" s="343">
        <v>42080</v>
      </c>
      <c r="J16" s="344">
        <v>15089</v>
      </c>
      <c r="K16" s="81">
        <v>4602.3999999999996</v>
      </c>
      <c r="L16" s="337">
        <v>42088</v>
      </c>
      <c r="M16" s="81">
        <v>4602.3999999999996</v>
      </c>
      <c r="N16" s="297">
        <f t="shared" si="0"/>
        <v>0</v>
      </c>
    </row>
    <row r="17" spans="1:14" ht="19.5" thickBot="1" x14ac:dyDescent="0.35">
      <c r="B17" s="204" t="s">
        <v>205</v>
      </c>
      <c r="C17" s="204"/>
      <c r="D17" s="405"/>
      <c r="E17" s="323">
        <v>42074</v>
      </c>
      <c r="H17" s="287"/>
      <c r="I17" s="343">
        <v>42080</v>
      </c>
      <c r="J17" s="344">
        <v>15099</v>
      </c>
      <c r="K17" s="81">
        <v>58174.5</v>
      </c>
      <c r="L17" s="428" t="s">
        <v>363</v>
      </c>
      <c r="M17" s="81">
        <f>54642.59+3531.91</f>
        <v>58174.5</v>
      </c>
      <c r="N17" s="297">
        <f t="shared" si="0"/>
        <v>0</v>
      </c>
    </row>
    <row r="18" spans="1:14" ht="15.75" x14ac:dyDescent="0.25">
      <c r="A18" s="205"/>
      <c r="B18" s="205"/>
      <c r="C18" s="205"/>
      <c r="D18" s="206"/>
      <c r="E18" s="207"/>
      <c r="F18" s="223"/>
      <c r="H18" s="287"/>
      <c r="I18" s="343">
        <v>42080</v>
      </c>
      <c r="J18" s="344">
        <v>15101</v>
      </c>
      <c r="K18" s="81">
        <v>11340</v>
      </c>
      <c r="L18" s="337">
        <v>42088</v>
      </c>
      <c r="M18" s="81">
        <v>11340</v>
      </c>
      <c r="N18" s="297">
        <f t="shared" si="0"/>
        <v>0</v>
      </c>
    </row>
    <row r="19" spans="1:14" ht="15.75" x14ac:dyDescent="0.25">
      <c r="A19" s="212" t="s">
        <v>202</v>
      </c>
      <c r="B19" s="205" t="s">
        <v>195</v>
      </c>
      <c r="C19" s="205"/>
      <c r="D19" s="206" t="s">
        <v>203</v>
      </c>
      <c r="E19" s="207" t="s">
        <v>204</v>
      </c>
      <c r="F19" s="223"/>
      <c r="H19" s="287"/>
      <c r="I19" s="343">
        <v>42081</v>
      </c>
      <c r="J19" s="344">
        <v>15227</v>
      </c>
      <c r="K19" s="81">
        <v>12756.6</v>
      </c>
      <c r="L19" s="337">
        <v>42088</v>
      </c>
      <c r="M19" s="429">
        <v>12756.6</v>
      </c>
      <c r="N19" s="297">
        <f t="shared" si="0"/>
        <v>0</v>
      </c>
    </row>
    <row r="20" spans="1:14" ht="15.75" x14ac:dyDescent="0.25">
      <c r="A20" s="215">
        <v>13358</v>
      </c>
      <c r="B20" s="216">
        <v>4354.99</v>
      </c>
      <c r="C20" s="216"/>
      <c r="D20" s="331" t="s">
        <v>292</v>
      </c>
      <c r="E20" s="332">
        <v>35870</v>
      </c>
      <c r="F20" s="333">
        <v>42065</v>
      </c>
      <c r="G20" s="21">
        <v>42064</v>
      </c>
      <c r="H20" s="287"/>
      <c r="I20" s="343">
        <v>42082</v>
      </c>
      <c r="J20" s="344">
        <v>15285</v>
      </c>
      <c r="K20" s="81">
        <v>5357</v>
      </c>
      <c r="L20" s="337">
        <v>42088</v>
      </c>
      <c r="M20" s="429">
        <v>5357</v>
      </c>
      <c r="N20" s="297">
        <f t="shared" ref="N20:N37" si="1">K20-M20</f>
        <v>0</v>
      </c>
    </row>
    <row r="21" spans="1:14" ht="15.75" x14ac:dyDescent="0.25">
      <c r="A21" s="233">
        <v>13631</v>
      </c>
      <c r="B21" s="234">
        <v>55692.55</v>
      </c>
      <c r="C21" s="234"/>
      <c r="D21" s="331" t="s">
        <v>292</v>
      </c>
      <c r="E21" s="332">
        <v>2726.5</v>
      </c>
      <c r="F21" s="333">
        <v>42066</v>
      </c>
      <c r="G21" s="21">
        <v>42064</v>
      </c>
      <c r="H21" s="287"/>
      <c r="I21" s="343">
        <v>42083</v>
      </c>
      <c r="J21" s="344">
        <v>15453</v>
      </c>
      <c r="K21" s="81">
        <v>53584.9</v>
      </c>
      <c r="L21" s="337">
        <v>42088</v>
      </c>
      <c r="M21" s="429">
        <v>53584.9</v>
      </c>
      <c r="N21" s="297">
        <f t="shared" si="1"/>
        <v>0</v>
      </c>
    </row>
    <row r="22" spans="1:14" ht="15.75" x14ac:dyDescent="0.25">
      <c r="A22" s="233">
        <v>13778</v>
      </c>
      <c r="B22" s="234">
        <v>59886.75</v>
      </c>
      <c r="C22" s="234"/>
      <c r="D22" s="331" t="s">
        <v>292</v>
      </c>
      <c r="E22" s="332">
        <v>4297.5</v>
      </c>
      <c r="F22" s="333">
        <v>42070</v>
      </c>
      <c r="G22" s="21">
        <v>42065</v>
      </c>
      <c r="H22" s="287"/>
      <c r="I22" s="343">
        <v>42084</v>
      </c>
      <c r="J22" s="344">
        <v>15575</v>
      </c>
      <c r="K22" s="81">
        <v>63393.599999999999</v>
      </c>
      <c r="L22" s="337">
        <v>42088</v>
      </c>
      <c r="M22" s="429">
        <v>63393.599999999999</v>
      </c>
      <c r="N22" s="297">
        <f t="shared" si="1"/>
        <v>0</v>
      </c>
    </row>
    <row r="23" spans="1:14" ht="15.75" x14ac:dyDescent="0.25">
      <c r="A23" s="233">
        <v>13920</v>
      </c>
      <c r="B23" s="234">
        <v>146740.67000000001</v>
      </c>
      <c r="C23" s="234"/>
      <c r="D23" s="331" t="s">
        <v>292</v>
      </c>
      <c r="E23" s="332">
        <v>33950</v>
      </c>
      <c r="F23" s="333">
        <v>42066</v>
      </c>
      <c r="G23" s="364">
        <v>42065</v>
      </c>
      <c r="H23" s="287"/>
      <c r="I23" s="359">
        <v>42085</v>
      </c>
      <c r="J23" s="344">
        <v>15609</v>
      </c>
      <c r="K23" s="81">
        <v>9295.6</v>
      </c>
      <c r="L23" s="430">
        <v>42088</v>
      </c>
      <c r="M23" s="429">
        <v>9295.6</v>
      </c>
      <c r="N23" s="297">
        <f t="shared" si="1"/>
        <v>0</v>
      </c>
    </row>
    <row r="24" spans="1:14" ht="15.75" x14ac:dyDescent="0.25">
      <c r="A24" s="233">
        <v>14012</v>
      </c>
      <c r="B24" s="234">
        <v>1335.6</v>
      </c>
      <c r="C24" s="234"/>
      <c r="D24" s="331" t="s">
        <v>292</v>
      </c>
      <c r="E24" s="332">
        <v>34533</v>
      </c>
      <c r="F24" s="333">
        <v>42070</v>
      </c>
      <c r="G24" s="364">
        <v>42066</v>
      </c>
      <c r="H24" s="287"/>
      <c r="I24" s="359">
        <v>42086</v>
      </c>
      <c r="J24" s="344">
        <v>15725</v>
      </c>
      <c r="K24" s="322">
        <v>16074.8</v>
      </c>
      <c r="L24" s="337">
        <v>42088</v>
      </c>
      <c r="M24" s="429">
        <v>16074.8</v>
      </c>
      <c r="N24" s="297">
        <f t="shared" si="1"/>
        <v>0</v>
      </c>
    </row>
    <row r="25" spans="1:14" ht="15.75" x14ac:dyDescent="0.25">
      <c r="A25" s="233">
        <v>14216</v>
      </c>
      <c r="B25" s="235">
        <v>10093.799999999999</v>
      </c>
      <c r="C25" s="235"/>
      <c r="D25" s="331" t="s">
        <v>292</v>
      </c>
      <c r="E25" s="332">
        <v>32642.5</v>
      </c>
      <c r="F25" s="333">
        <v>42070</v>
      </c>
      <c r="G25" s="364">
        <v>42067</v>
      </c>
      <c r="H25" s="287"/>
      <c r="I25" s="359">
        <v>42087</v>
      </c>
      <c r="J25" s="344">
        <v>15796</v>
      </c>
      <c r="K25" s="81">
        <v>65363.9</v>
      </c>
      <c r="L25" s="337" t="s">
        <v>372</v>
      </c>
      <c r="M25" s="429">
        <f>64657.19+706.71</f>
        <v>65363.9</v>
      </c>
      <c r="N25" s="297">
        <f t="shared" si="1"/>
        <v>0</v>
      </c>
    </row>
    <row r="26" spans="1:14" ht="15.75" x14ac:dyDescent="0.25">
      <c r="A26" s="237">
        <v>14263</v>
      </c>
      <c r="B26" s="324">
        <v>1448.64</v>
      </c>
      <c r="C26" s="416" t="s">
        <v>236</v>
      </c>
      <c r="D26" s="331" t="s">
        <v>292</v>
      </c>
      <c r="E26" s="324">
        <v>38123</v>
      </c>
      <c r="F26" s="334">
        <v>42070</v>
      </c>
      <c r="G26" s="364">
        <v>42068</v>
      </c>
      <c r="H26" s="287"/>
      <c r="I26" s="359">
        <v>42089</v>
      </c>
      <c r="J26" s="344">
        <v>15982</v>
      </c>
      <c r="K26" s="81">
        <v>59869.19</v>
      </c>
      <c r="L26" s="337">
        <v>42093</v>
      </c>
      <c r="M26" s="429">
        <v>59869.19</v>
      </c>
      <c r="N26" s="297">
        <f t="shared" si="1"/>
        <v>0</v>
      </c>
    </row>
    <row r="27" spans="1:14" ht="15.75" x14ac:dyDescent="0.25">
      <c r="A27" s="237"/>
      <c r="B27" s="324">
        <v>0</v>
      </c>
      <c r="C27" s="230"/>
      <c r="D27" s="331" t="s">
        <v>292</v>
      </c>
      <c r="E27" s="324">
        <v>45370.5</v>
      </c>
      <c r="F27" s="334">
        <v>42073</v>
      </c>
      <c r="G27" s="364">
        <v>42069</v>
      </c>
      <c r="H27" s="287"/>
      <c r="I27" s="359">
        <v>42090</v>
      </c>
      <c r="J27" s="344">
        <v>16100</v>
      </c>
      <c r="K27" s="81">
        <v>24695.599999999999</v>
      </c>
      <c r="L27" s="337">
        <v>42093</v>
      </c>
      <c r="M27" s="429">
        <v>24695.599999999999</v>
      </c>
      <c r="N27" s="297">
        <f t="shared" si="1"/>
        <v>0</v>
      </c>
    </row>
    <row r="28" spans="1:14" ht="15.75" x14ac:dyDescent="0.25">
      <c r="A28" s="237"/>
      <c r="B28" s="324">
        <v>0</v>
      </c>
      <c r="C28" s="230"/>
      <c r="D28" s="237" t="s">
        <v>292</v>
      </c>
      <c r="E28" s="324">
        <v>52040</v>
      </c>
      <c r="F28" s="334">
        <v>42073</v>
      </c>
      <c r="G28" s="364">
        <v>42070</v>
      </c>
      <c r="H28" s="287"/>
      <c r="I28" s="359">
        <v>42091</v>
      </c>
      <c r="J28" s="342">
        <v>16220</v>
      </c>
      <c r="K28" s="59">
        <v>9010</v>
      </c>
      <c r="L28" s="368" t="s">
        <v>397</v>
      </c>
      <c r="M28" s="369">
        <f>8519+491</f>
        <v>9010</v>
      </c>
      <c r="N28" s="297">
        <f t="shared" si="1"/>
        <v>0</v>
      </c>
    </row>
    <row r="29" spans="1:14" ht="15.75" x14ac:dyDescent="0.25">
      <c r="A29" s="230"/>
      <c r="B29" s="230"/>
      <c r="C29" s="230"/>
      <c r="D29" s="237" t="s">
        <v>292</v>
      </c>
      <c r="E29" s="324">
        <v>0</v>
      </c>
      <c r="F29" s="334"/>
      <c r="G29" s="364"/>
      <c r="H29" s="287"/>
      <c r="I29" s="360">
        <v>42093</v>
      </c>
      <c r="J29" s="342">
        <v>16360</v>
      </c>
      <c r="K29" s="59">
        <v>2339.1999999999998</v>
      </c>
      <c r="L29" s="173">
        <v>42103</v>
      </c>
      <c r="M29" s="369">
        <v>2339.1999999999998</v>
      </c>
      <c r="N29" s="297">
        <f t="shared" si="1"/>
        <v>0</v>
      </c>
    </row>
    <row r="30" spans="1:14" ht="15.75" x14ac:dyDescent="0.25">
      <c r="A30" s="230"/>
      <c r="B30" s="230"/>
      <c r="C30" s="230"/>
      <c r="D30" s="237" t="s">
        <v>292</v>
      </c>
      <c r="E30" s="324">
        <v>0</v>
      </c>
      <c r="F30" s="334"/>
      <c r="G30" s="364"/>
      <c r="H30" s="287"/>
      <c r="I30" s="359">
        <v>42093</v>
      </c>
      <c r="J30" s="344">
        <v>16365</v>
      </c>
      <c r="K30" s="81">
        <v>52798.65</v>
      </c>
      <c r="L30" s="365">
        <v>42103</v>
      </c>
      <c r="M30" s="366">
        <v>52798.65</v>
      </c>
      <c r="N30" s="297">
        <f t="shared" si="1"/>
        <v>0</v>
      </c>
    </row>
    <row r="31" spans="1:14" ht="16.5" thickBot="1" x14ac:dyDescent="0.3">
      <c r="A31" s="244"/>
      <c r="B31" s="226">
        <v>0</v>
      </c>
      <c r="C31" s="226"/>
      <c r="D31" s="227"/>
      <c r="E31" s="58">
        <v>0</v>
      </c>
      <c r="F31" s="245"/>
      <c r="G31" s="73"/>
      <c r="H31" s="287"/>
      <c r="I31" s="359">
        <v>42094</v>
      </c>
      <c r="J31" s="344">
        <v>16480</v>
      </c>
      <c r="K31" s="292">
        <v>7077.6</v>
      </c>
      <c r="L31" s="365">
        <v>42103</v>
      </c>
      <c r="M31" s="366">
        <v>7077.6</v>
      </c>
      <c r="N31" s="297">
        <f t="shared" si="1"/>
        <v>0</v>
      </c>
    </row>
    <row r="32" spans="1:14" ht="16.5" thickTop="1" x14ac:dyDescent="0.25">
      <c r="B32" s="417">
        <f>SUM(B20:B31)</f>
        <v>279553</v>
      </c>
      <c r="C32" s="417"/>
      <c r="D32" s="418"/>
      <c r="E32" s="419">
        <f>SUM(E20:E31)</f>
        <v>279553</v>
      </c>
      <c r="G32" s="73"/>
      <c r="H32" s="287"/>
      <c r="I32" s="359"/>
      <c r="J32" s="344"/>
      <c r="K32" s="81">
        <v>0</v>
      </c>
      <c r="L32" s="337"/>
      <c r="M32" s="294"/>
      <c r="N32" s="297">
        <f t="shared" si="1"/>
        <v>0</v>
      </c>
    </row>
    <row r="33" spans="1:15" ht="15.75" x14ac:dyDescent="0.25">
      <c r="A33" s="197"/>
      <c r="B33" s="358"/>
      <c r="C33" s="358"/>
      <c r="D33" s="362"/>
      <c r="E33" s="293"/>
      <c r="F33" s="363"/>
      <c r="G33" s="73"/>
      <c r="H33" s="287"/>
      <c r="I33" s="359"/>
      <c r="J33" s="344"/>
      <c r="K33" s="81">
        <v>0</v>
      </c>
      <c r="L33" s="337"/>
      <c r="M33" s="294"/>
      <c r="N33" s="297">
        <f t="shared" si="1"/>
        <v>0</v>
      </c>
    </row>
    <row r="34" spans="1:15" ht="16.5" thickBot="1" x14ac:dyDescent="0.3">
      <c r="A34" s="197"/>
      <c r="B34" s="358"/>
      <c r="C34" s="358"/>
      <c r="D34" s="362"/>
      <c r="E34" s="293"/>
      <c r="F34" s="363"/>
      <c r="G34" s="73"/>
      <c r="H34" s="287"/>
      <c r="I34" s="359"/>
      <c r="J34" s="344"/>
      <c r="K34" s="81">
        <v>0</v>
      </c>
      <c r="L34" s="337"/>
      <c r="M34" s="294"/>
      <c r="N34" s="297">
        <f t="shared" si="1"/>
        <v>0</v>
      </c>
    </row>
    <row r="35" spans="1:15" ht="19.5" thickBot="1" x14ac:dyDescent="0.35">
      <c r="B35" s="204" t="s">
        <v>205</v>
      </c>
      <c r="C35" s="204"/>
      <c r="D35" s="420"/>
      <c r="E35" s="323">
        <v>42081</v>
      </c>
      <c r="G35" s="73"/>
      <c r="H35" s="287"/>
      <c r="I35" s="359"/>
      <c r="J35" s="344"/>
      <c r="K35" s="81">
        <v>0</v>
      </c>
      <c r="L35" s="252"/>
      <c r="M35" s="294"/>
      <c r="N35" s="297">
        <f t="shared" si="1"/>
        <v>0</v>
      </c>
    </row>
    <row r="36" spans="1:15" ht="15.75" x14ac:dyDescent="0.25">
      <c r="A36" s="205"/>
      <c r="B36" s="205"/>
      <c r="C36" s="205"/>
      <c r="D36" s="206"/>
      <c r="E36" s="207"/>
      <c r="F36" s="223"/>
      <c r="G36" s="73"/>
      <c r="H36" s="287"/>
      <c r="I36" s="359"/>
      <c r="J36" s="344"/>
      <c r="K36" s="81">
        <v>0</v>
      </c>
      <c r="L36" s="252"/>
      <c r="M36" s="294"/>
      <c r="N36" s="297">
        <f t="shared" si="1"/>
        <v>0</v>
      </c>
    </row>
    <row r="37" spans="1:15" ht="15.75" x14ac:dyDescent="0.25">
      <c r="A37" s="212" t="s">
        <v>202</v>
      </c>
      <c r="B37" s="205" t="s">
        <v>195</v>
      </c>
      <c r="C37" s="205"/>
      <c r="D37" s="206" t="s">
        <v>203</v>
      </c>
      <c r="E37" s="207" t="s">
        <v>204</v>
      </c>
      <c r="F37" s="223"/>
      <c r="G37" s="73"/>
      <c r="H37" s="287"/>
      <c r="I37" s="359"/>
      <c r="J37" s="344"/>
      <c r="K37" s="81">
        <v>0</v>
      </c>
      <c r="L37" s="252"/>
      <c r="M37" s="294"/>
      <c r="N37" s="297">
        <f t="shared" si="1"/>
        <v>0</v>
      </c>
    </row>
    <row r="38" spans="1:15" ht="16.5" thickBot="1" x14ac:dyDescent="0.3">
      <c r="A38" s="341">
        <v>14263</v>
      </c>
      <c r="B38" s="59">
        <v>22637.81</v>
      </c>
      <c r="C38" s="216"/>
      <c r="D38" s="331" t="s">
        <v>292</v>
      </c>
      <c r="E38" s="332">
        <v>35138.5</v>
      </c>
      <c r="F38" s="333">
        <v>42073</v>
      </c>
      <c r="G38" s="364">
        <v>42071</v>
      </c>
      <c r="H38" s="287"/>
      <c r="I38" s="288"/>
      <c r="J38" s="263"/>
      <c r="K38" s="180">
        <v>0</v>
      </c>
      <c r="L38" s="338"/>
      <c r="M38" s="295">
        <v>0</v>
      </c>
      <c r="N38" s="298">
        <f>K38-M38</f>
        <v>0</v>
      </c>
    </row>
    <row r="39" spans="1:15" ht="16.5" thickTop="1" x14ac:dyDescent="0.25">
      <c r="A39" s="341">
        <v>14367</v>
      </c>
      <c r="B39" s="57">
        <v>31493.25</v>
      </c>
      <c r="C39" s="234"/>
      <c r="D39" s="331" t="s">
        <v>292</v>
      </c>
      <c r="E39" s="332">
        <v>33200</v>
      </c>
      <c r="F39" s="333">
        <v>42073</v>
      </c>
      <c r="G39" s="364">
        <v>42072</v>
      </c>
      <c r="H39" s="287"/>
      <c r="I39" s="288"/>
      <c r="J39" s="5"/>
      <c r="K39" s="59">
        <f>SUM(K3:K38)</f>
        <v>986923.46000000008</v>
      </c>
      <c r="L39" s="5"/>
      <c r="M39" s="450">
        <f>SUM(M3:M38)</f>
        <v>986923.46000000008</v>
      </c>
      <c r="N39" s="336">
        <f>SUM(N3:N38)</f>
        <v>0</v>
      </c>
    </row>
    <row r="40" spans="1:15" ht="15.75" customHeight="1" x14ac:dyDescent="0.25">
      <c r="A40" s="342">
        <v>14408</v>
      </c>
      <c r="B40" s="57">
        <v>55955</v>
      </c>
      <c r="C40" s="234"/>
      <c r="D40" s="331" t="s">
        <v>292</v>
      </c>
      <c r="E40" s="332">
        <v>4722.5</v>
      </c>
      <c r="F40" s="333">
        <v>42080</v>
      </c>
      <c r="G40" s="364">
        <v>42073</v>
      </c>
      <c r="H40" s="287"/>
      <c r="I40" s="288"/>
      <c r="J40" s="253"/>
      <c r="K40" s="81"/>
      <c r="L40" s="253"/>
      <c r="M40" s="294"/>
      <c r="N40" s="294"/>
    </row>
    <row r="41" spans="1:15" ht="15.75" customHeight="1" x14ac:dyDescent="0.3">
      <c r="A41" s="342">
        <v>14598</v>
      </c>
      <c r="B41" s="81">
        <v>13589.2</v>
      </c>
      <c r="C41" s="234"/>
      <c r="D41" s="331" t="s">
        <v>292</v>
      </c>
      <c r="E41" s="332">
        <v>19060</v>
      </c>
      <c r="F41" s="333">
        <v>42075</v>
      </c>
      <c r="G41" s="364">
        <v>42073</v>
      </c>
      <c r="H41" s="287"/>
      <c r="I41" s="433" t="s">
        <v>373</v>
      </c>
      <c r="J41" s="434"/>
      <c r="K41" s="435">
        <v>1000</v>
      </c>
      <c r="L41" s="436">
        <v>42093</v>
      </c>
      <c r="M41" s="294"/>
      <c r="N41" s="294"/>
      <c r="O41" s="25"/>
    </row>
    <row r="42" spans="1:15" ht="15.75" customHeight="1" x14ac:dyDescent="0.25">
      <c r="A42" s="342">
        <v>14622</v>
      </c>
      <c r="B42" s="81">
        <v>111772.85</v>
      </c>
      <c r="C42" s="234"/>
      <c r="D42" s="331" t="s">
        <v>292</v>
      </c>
      <c r="E42" s="332">
        <v>3137</v>
      </c>
      <c r="F42" s="333">
        <v>42080</v>
      </c>
      <c r="G42" s="364">
        <v>42074</v>
      </c>
      <c r="H42" s="287"/>
      <c r="I42" s="288"/>
      <c r="J42" s="253"/>
      <c r="K42" s="81"/>
      <c r="L42" s="253"/>
      <c r="M42" s="294"/>
      <c r="N42" s="294"/>
    </row>
    <row r="43" spans="1:15" ht="15.75" x14ac:dyDescent="0.25">
      <c r="A43" s="342">
        <v>14716</v>
      </c>
      <c r="B43" s="81">
        <v>6053.2</v>
      </c>
      <c r="C43" s="235"/>
      <c r="D43" s="331" t="s">
        <v>292</v>
      </c>
      <c r="E43" s="332">
        <v>37900</v>
      </c>
      <c r="F43" s="333">
        <v>42075</v>
      </c>
      <c r="G43" s="364">
        <v>42074</v>
      </c>
      <c r="H43" s="287"/>
      <c r="I43" s="442" t="s">
        <v>406</v>
      </c>
      <c r="J43" s="253"/>
      <c r="K43" s="81"/>
      <c r="L43" s="253">
        <v>500</v>
      </c>
      <c r="M43" s="294"/>
      <c r="N43" s="294"/>
    </row>
    <row r="44" spans="1:15" ht="16.5" customHeight="1" x14ac:dyDescent="0.25">
      <c r="A44" s="344">
        <v>14797</v>
      </c>
      <c r="B44" s="81">
        <v>8091.6</v>
      </c>
      <c r="C44" s="416"/>
      <c r="D44" s="331" t="s">
        <v>292</v>
      </c>
      <c r="E44" s="324">
        <v>30150</v>
      </c>
      <c r="F44" s="334">
        <v>42080</v>
      </c>
      <c r="G44" s="364">
        <v>42075</v>
      </c>
      <c r="H44" s="287"/>
      <c r="I44" s="442" t="s">
        <v>407</v>
      </c>
      <c r="J44" s="253"/>
      <c r="K44" s="81"/>
      <c r="L44" s="253">
        <v>500</v>
      </c>
      <c r="M44" s="294"/>
      <c r="N44" s="294"/>
    </row>
    <row r="45" spans="1:15" ht="16.5" customHeight="1" x14ac:dyDescent="0.25">
      <c r="A45" s="344">
        <v>14969</v>
      </c>
      <c r="B45" s="81">
        <v>6399</v>
      </c>
      <c r="C45" s="230"/>
      <c r="D45" s="331" t="s">
        <v>292</v>
      </c>
      <c r="E45" s="324">
        <v>2873</v>
      </c>
      <c r="F45" s="334">
        <v>42080</v>
      </c>
      <c r="G45" s="364">
        <v>42075</v>
      </c>
      <c r="H45" s="287"/>
      <c r="I45" s="471" t="s">
        <v>408</v>
      </c>
      <c r="J45" s="253"/>
      <c r="K45" s="81"/>
      <c r="L45" s="253"/>
      <c r="M45" s="294"/>
      <c r="N45" s="294"/>
    </row>
    <row r="46" spans="1:15" ht="15.75" x14ac:dyDescent="0.25">
      <c r="A46" s="344">
        <v>15099</v>
      </c>
      <c r="B46" s="81">
        <v>54642.59</v>
      </c>
      <c r="C46" s="416" t="s">
        <v>236</v>
      </c>
      <c r="D46" s="237" t="s">
        <v>292</v>
      </c>
      <c r="E46" s="324">
        <v>30500</v>
      </c>
      <c r="F46" s="334">
        <v>42080</v>
      </c>
      <c r="G46" s="364">
        <v>42076</v>
      </c>
      <c r="H46" s="252"/>
      <c r="I46" s="286"/>
      <c r="J46" s="290"/>
      <c r="K46" s="293"/>
      <c r="L46" s="290"/>
      <c r="M46" s="50"/>
      <c r="N46" s="50"/>
    </row>
    <row r="47" spans="1:15" ht="15.75" x14ac:dyDescent="0.25">
      <c r="A47" s="344"/>
      <c r="B47" s="81">
        <v>0</v>
      </c>
      <c r="C47" s="230"/>
      <c r="D47" s="237" t="s">
        <v>292</v>
      </c>
      <c r="E47" s="324">
        <v>5050</v>
      </c>
      <c r="F47" s="334">
        <v>42080</v>
      </c>
      <c r="G47" s="364">
        <v>42076</v>
      </c>
      <c r="H47" s="252"/>
    </row>
    <row r="48" spans="1:15" x14ac:dyDescent="0.25">
      <c r="A48" s="230"/>
      <c r="B48" s="230"/>
      <c r="C48" s="230"/>
      <c r="D48" s="237" t="s">
        <v>292</v>
      </c>
      <c r="E48" s="324">
        <v>2459.5</v>
      </c>
      <c r="F48" s="334">
        <v>42080</v>
      </c>
      <c r="G48" s="364">
        <v>42076</v>
      </c>
      <c r="H48" s="252"/>
    </row>
    <row r="49" spans="1:12" customFormat="1" x14ac:dyDescent="0.25">
      <c r="A49" s="230"/>
      <c r="B49" s="230"/>
      <c r="C49" s="230"/>
      <c r="D49" s="231"/>
      <c r="E49" s="232">
        <v>49221.5</v>
      </c>
      <c r="F49" s="229">
        <v>42080</v>
      </c>
      <c r="G49" s="364">
        <v>42077</v>
      </c>
      <c r="H49" s="252"/>
      <c r="I49" s="5"/>
      <c r="J49" t="s">
        <v>101</v>
      </c>
      <c r="K49" s="44"/>
    </row>
    <row r="50" spans="1:12" customFormat="1" x14ac:dyDescent="0.25">
      <c r="A50" s="230"/>
      <c r="B50" s="230"/>
      <c r="C50" s="230"/>
      <c r="D50" s="231"/>
      <c r="E50" s="232">
        <v>24650</v>
      </c>
      <c r="F50" s="229">
        <v>42080</v>
      </c>
      <c r="G50" s="364">
        <v>42078</v>
      </c>
      <c r="H50" s="252"/>
      <c r="I50" s="5"/>
      <c r="K50" s="44"/>
    </row>
    <row r="51" spans="1:12" customFormat="1" ht="15.75" x14ac:dyDescent="0.25">
      <c r="A51" s="215"/>
      <c r="B51" s="216"/>
      <c r="C51" s="216"/>
      <c r="D51" s="421"/>
      <c r="E51" s="330">
        <v>1472.5</v>
      </c>
      <c r="F51" s="422">
        <v>42080</v>
      </c>
      <c r="G51" s="364">
        <v>42078</v>
      </c>
      <c r="H51" s="252"/>
      <c r="I51" s="5"/>
      <c r="K51" s="44"/>
    </row>
    <row r="52" spans="1:12" customFormat="1" ht="15.75" x14ac:dyDescent="0.25">
      <c r="A52" s="233"/>
      <c r="B52" s="234"/>
      <c r="C52" s="234"/>
      <c r="D52" s="421"/>
      <c r="E52" s="330">
        <v>31100</v>
      </c>
      <c r="F52" s="422">
        <v>42080</v>
      </c>
      <c r="G52" s="364">
        <v>42079</v>
      </c>
      <c r="H52" s="252"/>
      <c r="I52" s="5"/>
      <c r="K52" s="44"/>
    </row>
    <row r="53" spans="1:12" customFormat="1" ht="15.75" x14ac:dyDescent="0.25">
      <c r="A53" s="233"/>
      <c r="B53" s="234"/>
      <c r="C53" s="234"/>
      <c r="D53" s="421"/>
      <c r="E53" s="330"/>
      <c r="F53" s="422"/>
      <c r="G53" s="364"/>
      <c r="H53" s="252"/>
      <c r="I53" s="5"/>
      <c r="K53" s="44"/>
    </row>
    <row r="54" spans="1:12" customFormat="1" ht="15.75" x14ac:dyDescent="0.25">
      <c r="A54" s="233"/>
      <c r="B54" s="234"/>
      <c r="C54" s="234"/>
      <c r="D54" s="421"/>
      <c r="E54" s="330"/>
      <c r="F54" s="422"/>
      <c r="G54" s="364"/>
      <c r="H54" s="252"/>
      <c r="I54" s="5"/>
      <c r="K54" s="44"/>
    </row>
    <row r="55" spans="1:12" customFormat="1" ht="16.5" thickBot="1" x14ac:dyDescent="0.3">
      <c r="A55" s="244"/>
      <c r="B55" s="226">
        <v>0</v>
      </c>
      <c r="C55" s="226"/>
      <c r="D55" s="227"/>
      <c r="E55" s="58">
        <v>0</v>
      </c>
      <c r="F55" s="245"/>
      <c r="G55" s="364"/>
      <c r="H55" s="252"/>
      <c r="I55" s="5"/>
      <c r="K55" s="44"/>
    </row>
    <row r="56" spans="1:12" customFormat="1" ht="16.5" thickTop="1" x14ac:dyDescent="0.25">
      <c r="B56" s="417">
        <f>SUM(B38:B55)</f>
        <v>310634.5</v>
      </c>
      <c r="C56" s="417"/>
      <c r="D56" s="418"/>
      <c r="E56" s="419">
        <f>SUM(E38:E55)</f>
        <v>310634.5</v>
      </c>
      <c r="F56" s="222"/>
      <c r="G56" s="364"/>
      <c r="H56" s="252"/>
      <c r="I56" s="5"/>
      <c r="K56" s="44"/>
    </row>
    <row r="57" spans="1:12" customFormat="1" ht="15.75" x14ac:dyDescent="0.25">
      <c r="A57" s="361"/>
      <c r="B57" s="81"/>
      <c r="C57" s="73"/>
      <c r="D57" s="362"/>
      <c r="E57" s="81"/>
      <c r="F57" s="252"/>
      <c r="G57" s="364"/>
      <c r="H57" s="252"/>
      <c r="I57" s="5"/>
      <c r="K57" s="44"/>
    </row>
    <row r="58" spans="1:12" customFormat="1" ht="15.75" x14ac:dyDescent="0.25">
      <c r="A58" s="361"/>
      <c r="B58" s="81"/>
      <c r="C58" s="73"/>
      <c r="D58" s="362"/>
      <c r="E58" s="81"/>
      <c r="F58" s="252"/>
      <c r="G58" s="364"/>
      <c r="H58" s="252"/>
      <c r="I58" s="5"/>
      <c r="K58" s="44"/>
    </row>
    <row r="59" spans="1:12" customFormat="1" ht="16.5" thickBot="1" x14ac:dyDescent="0.3">
      <c r="A59" s="361"/>
      <c r="B59" s="81"/>
      <c r="C59" s="73"/>
      <c r="D59" s="362"/>
      <c r="E59" s="81"/>
      <c r="F59" s="252"/>
      <c r="G59" s="364"/>
      <c r="H59" s="252"/>
      <c r="I59" s="5"/>
      <c r="K59" s="44"/>
    </row>
    <row r="60" spans="1:12" customFormat="1" ht="19.5" thickBot="1" x14ac:dyDescent="0.35">
      <c r="B60" s="204" t="s">
        <v>205</v>
      </c>
      <c r="C60" s="204"/>
      <c r="D60" s="427"/>
      <c r="E60" s="323">
        <v>42088</v>
      </c>
      <c r="F60" s="222"/>
      <c r="G60" s="73"/>
      <c r="H60" s="252"/>
      <c r="I60" s="5" t="s">
        <v>315</v>
      </c>
      <c r="K60" s="44"/>
    </row>
    <row r="61" spans="1:12" customFormat="1" ht="15.75" x14ac:dyDescent="0.25">
      <c r="A61" s="205"/>
      <c r="B61" s="205"/>
      <c r="C61" s="205"/>
      <c r="D61" s="206"/>
      <c r="E61" s="207"/>
      <c r="F61" s="223"/>
      <c r="G61" s="73"/>
      <c r="H61" s="252"/>
      <c r="I61" s="5"/>
      <c r="K61" s="44"/>
      <c r="L61" s="4"/>
    </row>
    <row r="62" spans="1:12" customFormat="1" ht="15.75" x14ac:dyDescent="0.25">
      <c r="A62" s="212" t="s">
        <v>202</v>
      </c>
      <c r="B62" s="205" t="s">
        <v>195</v>
      </c>
      <c r="C62" s="205"/>
      <c r="D62" s="206" t="s">
        <v>203</v>
      </c>
      <c r="E62" s="207" t="s">
        <v>204</v>
      </c>
      <c r="F62" s="223"/>
      <c r="G62" s="73"/>
      <c r="H62" s="252"/>
      <c r="I62" s="5"/>
      <c r="K62" s="44"/>
    </row>
    <row r="63" spans="1:12" customFormat="1" ht="15.75" x14ac:dyDescent="0.25">
      <c r="A63" s="341">
        <v>15089</v>
      </c>
      <c r="B63" s="59">
        <v>4602.3999999999996</v>
      </c>
      <c r="C63" s="216"/>
      <c r="D63" s="331" t="s">
        <v>292</v>
      </c>
      <c r="E63" s="332">
        <v>1793</v>
      </c>
      <c r="F63" s="333">
        <v>42081</v>
      </c>
      <c r="G63" s="364">
        <v>42079</v>
      </c>
      <c r="H63" s="252"/>
      <c r="I63" s="5"/>
      <c r="K63" s="44"/>
    </row>
    <row r="64" spans="1:12" customFormat="1" ht="15.75" x14ac:dyDescent="0.25">
      <c r="A64" s="341">
        <v>15099</v>
      </c>
      <c r="B64" s="57">
        <v>3531.91</v>
      </c>
      <c r="C64" s="234"/>
      <c r="D64" s="331" t="s">
        <v>292</v>
      </c>
      <c r="E64" s="332">
        <v>26400</v>
      </c>
      <c r="F64" s="333">
        <v>42081</v>
      </c>
      <c r="G64" s="364">
        <v>42080</v>
      </c>
      <c r="H64" s="252"/>
      <c r="I64" s="5"/>
      <c r="K64" s="44"/>
    </row>
    <row r="65" spans="1:8" customFormat="1" ht="15.75" x14ac:dyDescent="0.25">
      <c r="A65" s="342">
        <v>15101</v>
      </c>
      <c r="B65" s="57">
        <v>11340</v>
      </c>
      <c r="C65" s="234"/>
      <c r="D65" s="331" t="s">
        <v>292</v>
      </c>
      <c r="E65" s="332">
        <v>2554.5</v>
      </c>
      <c r="F65" s="333">
        <v>42083</v>
      </c>
      <c r="G65" s="364">
        <v>42080</v>
      </c>
      <c r="H65" s="73"/>
    </row>
    <row r="66" spans="1:8" customFormat="1" ht="15.75" x14ac:dyDescent="0.25">
      <c r="A66" s="342">
        <v>15227</v>
      </c>
      <c r="B66" s="81">
        <v>12756.6</v>
      </c>
      <c r="C66" s="234"/>
      <c r="D66" s="331" t="s">
        <v>292</v>
      </c>
      <c r="E66" s="332">
        <v>26860</v>
      </c>
      <c r="F66" s="333">
        <v>42082</v>
      </c>
      <c r="G66" s="364">
        <v>42081</v>
      </c>
      <c r="H66" s="73"/>
    </row>
    <row r="67" spans="1:8" customFormat="1" ht="15.75" x14ac:dyDescent="0.25">
      <c r="A67" s="342">
        <v>15285</v>
      </c>
      <c r="B67" s="81">
        <v>5357</v>
      </c>
      <c r="C67" s="234"/>
      <c r="D67" s="331" t="s">
        <v>292</v>
      </c>
      <c r="E67" s="332">
        <v>4901.5</v>
      </c>
      <c r="F67" s="333">
        <v>42083</v>
      </c>
      <c r="G67" s="364">
        <v>42081</v>
      </c>
      <c r="H67" s="73"/>
    </row>
    <row r="68" spans="1:8" customFormat="1" ht="15.75" x14ac:dyDescent="0.25">
      <c r="A68" s="342">
        <v>15453</v>
      </c>
      <c r="B68" s="81">
        <v>53584.9</v>
      </c>
      <c r="C68" s="235"/>
      <c r="D68" s="331" t="s">
        <v>292</v>
      </c>
      <c r="E68" s="332">
        <v>19500</v>
      </c>
      <c r="F68" s="333">
        <v>42086</v>
      </c>
      <c r="G68" s="364">
        <v>42082</v>
      </c>
      <c r="H68" s="73"/>
    </row>
    <row r="69" spans="1:8" customFormat="1" ht="15.75" x14ac:dyDescent="0.25">
      <c r="A69" s="344">
        <v>15575</v>
      </c>
      <c r="B69" s="81">
        <v>63393.599999999999</v>
      </c>
      <c r="C69" s="416"/>
      <c r="D69" s="331" t="s">
        <v>292</v>
      </c>
      <c r="E69" s="324">
        <v>4490</v>
      </c>
      <c r="F69" s="334">
        <v>42083</v>
      </c>
      <c r="G69" s="364">
        <v>42082</v>
      </c>
      <c r="H69" s="73"/>
    </row>
    <row r="70" spans="1:8" customFormat="1" ht="15.75" x14ac:dyDescent="0.25">
      <c r="A70" s="344">
        <v>15609</v>
      </c>
      <c r="B70" s="81">
        <v>9295.6</v>
      </c>
      <c r="C70" s="230"/>
      <c r="D70" s="331" t="s">
        <v>292</v>
      </c>
      <c r="E70" s="324">
        <v>4862</v>
      </c>
      <c r="F70" s="334">
        <v>42084</v>
      </c>
      <c r="G70" s="364">
        <v>42082</v>
      </c>
      <c r="H70" s="73"/>
    </row>
    <row r="71" spans="1:8" customFormat="1" ht="15.75" x14ac:dyDescent="0.25">
      <c r="A71" s="344">
        <v>15725</v>
      </c>
      <c r="B71" s="81">
        <v>16074.8</v>
      </c>
      <c r="C71" s="416"/>
      <c r="D71" s="237" t="s">
        <v>292</v>
      </c>
      <c r="E71" s="324">
        <v>1613</v>
      </c>
      <c r="F71" s="334">
        <v>42086</v>
      </c>
      <c r="G71" s="364">
        <v>42083</v>
      </c>
      <c r="H71" s="73"/>
    </row>
    <row r="72" spans="1:8" customFormat="1" ht="15.75" x14ac:dyDescent="0.25">
      <c r="A72" s="344">
        <v>15796</v>
      </c>
      <c r="B72" s="81">
        <v>64657.19</v>
      </c>
      <c r="C72" s="416" t="s">
        <v>236</v>
      </c>
      <c r="D72" s="237" t="s">
        <v>292</v>
      </c>
      <c r="E72" s="324">
        <v>50450</v>
      </c>
      <c r="F72" s="334">
        <v>42084</v>
      </c>
      <c r="G72" s="364">
        <v>42083</v>
      </c>
      <c r="H72" s="73"/>
    </row>
    <row r="73" spans="1:8" customFormat="1" x14ac:dyDescent="0.25">
      <c r="A73" s="230"/>
      <c r="B73" s="230"/>
      <c r="C73" s="230"/>
      <c r="D73" s="237" t="s">
        <v>292</v>
      </c>
      <c r="E73" s="324">
        <v>41460</v>
      </c>
      <c r="F73" s="334">
        <v>42086</v>
      </c>
      <c r="G73" s="364">
        <v>42084</v>
      </c>
    </row>
    <row r="74" spans="1:8" customFormat="1" x14ac:dyDescent="0.25">
      <c r="A74" s="230"/>
      <c r="B74" s="230"/>
      <c r="C74" s="230"/>
      <c r="D74" s="237" t="s">
        <v>292</v>
      </c>
      <c r="E74" s="324">
        <v>27370</v>
      </c>
      <c r="F74" s="334">
        <v>42086</v>
      </c>
      <c r="G74" s="364">
        <v>42085</v>
      </c>
    </row>
    <row r="75" spans="1:8" customFormat="1" x14ac:dyDescent="0.25">
      <c r="A75" s="230"/>
      <c r="B75" s="230"/>
      <c r="C75" s="230"/>
      <c r="D75" s="237" t="s">
        <v>292</v>
      </c>
      <c r="E75" s="324">
        <v>32340</v>
      </c>
      <c r="F75" s="334">
        <v>42087</v>
      </c>
      <c r="G75" s="364">
        <v>42086</v>
      </c>
    </row>
    <row r="76" spans="1:8" customFormat="1" ht="15.75" x14ac:dyDescent="0.25">
      <c r="A76" s="215"/>
      <c r="B76" s="216"/>
      <c r="C76" s="216"/>
      <c r="D76" s="421"/>
      <c r="E76" s="330"/>
      <c r="F76" s="422"/>
      <c r="G76" s="364"/>
    </row>
    <row r="77" spans="1:8" customFormat="1" ht="16.5" thickBot="1" x14ac:dyDescent="0.3">
      <c r="A77" s="244"/>
      <c r="B77" s="226">
        <v>0</v>
      </c>
      <c r="C77" s="226"/>
      <c r="D77" s="227"/>
      <c r="E77" s="58">
        <v>0</v>
      </c>
      <c r="F77" s="245"/>
      <c r="G77" s="364"/>
    </row>
    <row r="78" spans="1:8" customFormat="1" ht="16.5" thickTop="1" x14ac:dyDescent="0.25">
      <c r="B78" s="417">
        <f>SUM(B63:B77)</f>
        <v>244594</v>
      </c>
      <c r="C78" s="417"/>
      <c r="D78" s="418"/>
      <c r="E78" s="419">
        <f>SUM(E63:E77)</f>
        <v>244594</v>
      </c>
      <c r="F78" s="222"/>
      <c r="G78" s="364"/>
    </row>
    <row r="79" spans="1:8" customFormat="1" ht="15.75" x14ac:dyDescent="0.25">
      <c r="A79" s="361"/>
      <c r="B79" s="81"/>
      <c r="C79" s="73"/>
      <c r="D79" s="362"/>
      <c r="E79" s="81"/>
      <c r="F79" s="252"/>
      <c r="G79" s="364"/>
    </row>
    <row r="80" spans="1:8" customFormat="1" ht="15.75" thickBot="1" x14ac:dyDescent="0.3">
      <c r="D80" s="111"/>
      <c r="E80" s="44"/>
      <c r="F80" s="222"/>
    </row>
    <row r="81" spans="1:9" customFormat="1" ht="19.5" thickBot="1" x14ac:dyDescent="0.35">
      <c r="B81" s="204" t="s">
        <v>205</v>
      </c>
      <c r="C81" s="204"/>
      <c r="D81" s="431"/>
      <c r="E81" s="425">
        <v>42093</v>
      </c>
      <c r="F81" s="222"/>
    </row>
    <row r="82" spans="1:9" customFormat="1" ht="15.75" x14ac:dyDescent="0.25">
      <c r="A82" s="205"/>
      <c r="B82" s="205"/>
      <c r="C82" s="205"/>
      <c r="D82" s="206"/>
      <c r="E82" s="207"/>
      <c r="F82" s="223"/>
    </row>
    <row r="83" spans="1:9" customFormat="1" ht="15.75" x14ac:dyDescent="0.25">
      <c r="A83" s="212" t="s">
        <v>202</v>
      </c>
      <c r="B83" s="205" t="s">
        <v>195</v>
      </c>
      <c r="C83" s="205"/>
      <c r="D83" s="206" t="s">
        <v>203</v>
      </c>
      <c r="E83" s="207" t="s">
        <v>204</v>
      </c>
      <c r="F83" s="223"/>
      <c r="H83" s="276"/>
      <c r="I83" s="5"/>
    </row>
    <row r="84" spans="1:9" customFormat="1" ht="15.75" x14ac:dyDescent="0.25">
      <c r="A84" s="341">
        <v>15796</v>
      </c>
      <c r="B84" s="324">
        <v>706.71</v>
      </c>
      <c r="C84" s="216"/>
      <c r="D84" s="331" t="s">
        <v>292</v>
      </c>
      <c r="E84" s="332">
        <v>1000</v>
      </c>
      <c r="F84" s="333">
        <v>42087</v>
      </c>
      <c r="G84" s="21">
        <v>42085</v>
      </c>
      <c r="H84" s="276"/>
      <c r="I84" s="5"/>
    </row>
    <row r="85" spans="1:9" customFormat="1" ht="15.75" x14ac:dyDescent="0.25">
      <c r="A85" s="341">
        <v>15982</v>
      </c>
      <c r="B85" s="324">
        <v>59869.19</v>
      </c>
      <c r="C85" s="234"/>
      <c r="D85" s="331" t="s">
        <v>292</v>
      </c>
      <c r="E85" s="332">
        <v>2164.5</v>
      </c>
      <c r="F85" s="333">
        <v>42088</v>
      </c>
      <c r="G85" s="21">
        <v>42086</v>
      </c>
      <c r="H85" s="276"/>
      <c r="I85" s="5"/>
    </row>
    <row r="86" spans="1:9" customFormat="1" ht="15.75" x14ac:dyDescent="0.25">
      <c r="A86" s="342">
        <v>16100</v>
      </c>
      <c r="B86" s="324">
        <v>24695.599999999999</v>
      </c>
      <c r="C86" s="234"/>
      <c r="D86" s="331" t="s">
        <v>292</v>
      </c>
      <c r="E86" s="332">
        <v>1739</v>
      </c>
      <c r="F86" s="333">
        <v>42089</v>
      </c>
      <c r="G86" s="21">
        <v>42087</v>
      </c>
      <c r="H86" s="276"/>
      <c r="I86" s="5"/>
    </row>
    <row r="87" spans="1:9" customFormat="1" ht="15.75" x14ac:dyDescent="0.25">
      <c r="A87" s="342">
        <v>16220</v>
      </c>
      <c r="B87" s="432">
        <v>8519</v>
      </c>
      <c r="C87" s="234"/>
      <c r="D87" s="331" t="s">
        <v>292</v>
      </c>
      <c r="E87" s="332">
        <v>3801.5</v>
      </c>
      <c r="F87" s="333">
        <v>42091</v>
      </c>
      <c r="G87" s="21">
        <v>42088</v>
      </c>
      <c r="H87" s="276"/>
      <c r="I87" s="5"/>
    </row>
    <row r="88" spans="1:9" customFormat="1" ht="15.75" x14ac:dyDescent="0.25">
      <c r="A88" s="342"/>
      <c r="B88" s="432"/>
      <c r="C88" s="234"/>
      <c r="D88" s="331" t="s">
        <v>292</v>
      </c>
      <c r="E88" s="332">
        <v>54550</v>
      </c>
      <c r="F88" s="333">
        <v>42089</v>
      </c>
      <c r="G88" s="21">
        <v>42088</v>
      </c>
      <c r="H88" s="276"/>
      <c r="I88" s="5"/>
    </row>
    <row r="89" spans="1:9" customFormat="1" ht="15.75" x14ac:dyDescent="0.25">
      <c r="A89" s="342"/>
      <c r="B89" s="432"/>
      <c r="C89" s="235"/>
      <c r="D89" s="331" t="s">
        <v>292</v>
      </c>
      <c r="E89" s="332">
        <v>2335.5</v>
      </c>
      <c r="F89" s="333">
        <v>42091</v>
      </c>
      <c r="G89" s="21">
        <v>42089</v>
      </c>
      <c r="H89" s="276"/>
      <c r="I89" s="5"/>
    </row>
    <row r="90" spans="1:9" customFormat="1" ht="15.75" x14ac:dyDescent="0.25">
      <c r="A90" s="344"/>
      <c r="B90" s="432"/>
      <c r="C90" s="416"/>
      <c r="D90" s="331" t="s">
        <v>292</v>
      </c>
      <c r="E90" s="324">
        <v>28200</v>
      </c>
      <c r="F90" s="334">
        <v>42091</v>
      </c>
      <c r="G90" s="21">
        <v>42089</v>
      </c>
      <c r="H90" s="276"/>
      <c r="I90" s="5"/>
    </row>
    <row r="91" spans="1:9" customFormat="1" ht="15.75" x14ac:dyDescent="0.25">
      <c r="A91" s="344"/>
      <c r="B91" s="432"/>
      <c r="C91" s="230"/>
      <c r="D91" s="331" t="s">
        <v>292</v>
      </c>
      <c r="E91" s="324"/>
      <c r="F91" s="334"/>
      <c r="G91" s="21"/>
      <c r="H91" s="276"/>
      <c r="I91" s="5"/>
    </row>
    <row r="92" spans="1:9" customFormat="1" ht="15.75" x14ac:dyDescent="0.25">
      <c r="A92" s="215"/>
      <c r="B92" s="216"/>
      <c r="C92" s="216"/>
      <c r="D92" s="421"/>
      <c r="E92" s="330"/>
      <c r="F92" s="422"/>
      <c r="H92" s="276"/>
      <c r="I92" s="5"/>
    </row>
    <row r="93" spans="1:9" customFormat="1" ht="16.5" thickBot="1" x14ac:dyDescent="0.3">
      <c r="A93" s="244"/>
      <c r="B93" s="226">
        <v>0</v>
      </c>
      <c r="C93" s="226"/>
      <c r="D93" s="227"/>
      <c r="E93" s="58">
        <v>0</v>
      </c>
      <c r="F93" s="245"/>
      <c r="H93" s="276"/>
      <c r="I93" s="5"/>
    </row>
    <row r="94" spans="1:9" customFormat="1" ht="16.5" thickTop="1" x14ac:dyDescent="0.25">
      <c r="B94" s="417">
        <f>SUM(B84:B93)</f>
        <v>93790.5</v>
      </c>
      <c r="C94" s="417"/>
      <c r="D94" s="418"/>
      <c r="E94" s="419">
        <f>SUM(E84:E93)</f>
        <v>93790.5</v>
      </c>
      <c r="F94" s="222"/>
      <c r="H94" s="276"/>
      <c r="I94" s="5"/>
    </row>
  </sheetData>
  <sortState ref="E84:G90">
    <sortCondition ref="G84:G90"/>
  </sortState>
  <pageMargins left="0.70866141732283472" right="0.70866141732283472" top="0.74803149606299213" bottom="0.74803149606299213" header="0.31496062992125984" footer="0.31496062992125984"/>
  <pageSetup scale="9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42</vt:i4>
      </vt:variant>
    </vt:vector>
  </HeadingPairs>
  <TitlesOfParts>
    <vt:vector size="42" baseType="lpstr">
      <vt:lpstr>OCTUBRE 2014 </vt:lpstr>
      <vt:lpstr>NOVIEMBRE 2014</vt:lpstr>
      <vt:lpstr>DICIEMBRE 2014</vt:lpstr>
      <vt:lpstr>E N E R O  2015</vt:lpstr>
      <vt:lpstr>ENERO ( 2 )  2015</vt:lpstr>
      <vt:lpstr>FEBRERO 2015</vt:lpstr>
      <vt:lpstr>Remisiones Febrero 2015</vt:lpstr>
      <vt:lpstr>MARZO 2015</vt:lpstr>
      <vt:lpstr>Remisiones Marzo 2015</vt:lpstr>
      <vt:lpstr>A B R I L   2015</vt:lpstr>
      <vt:lpstr>Remisiones ABRIL 2015</vt:lpstr>
      <vt:lpstr>M A Y O   2015</vt:lpstr>
      <vt:lpstr>REMISIONES MAYO 2015</vt:lpstr>
      <vt:lpstr>J U N I O  2015</vt:lpstr>
      <vt:lpstr>Remisiones JUNIO 2015</vt:lpstr>
      <vt:lpstr>J U L I O   2015</vt:lpstr>
      <vt:lpstr>Remisiones  JULIO 2015</vt:lpstr>
      <vt:lpstr>AGOSTO 2015</vt:lpstr>
      <vt:lpstr>REMISIONES AGOSTO 2015</vt:lpstr>
      <vt:lpstr>SEPTIEMBRE  2 0 1 5   </vt:lpstr>
      <vt:lpstr>REMISIONES SEPTIEMBRE 2015</vt:lpstr>
      <vt:lpstr>OCTUBRE 2015</vt:lpstr>
      <vt:lpstr>REMISIONES OCTUBRE 2015</vt:lpstr>
      <vt:lpstr>NOVIEMBRE 2015</vt:lpstr>
      <vt:lpstr>REMISIONES NOVIEMBRE 2015</vt:lpstr>
      <vt:lpstr>DICIEMBRE 2015</vt:lpstr>
      <vt:lpstr>REMISIONES DICIEMBRE 2015</vt:lpstr>
      <vt:lpstr>Hoja15</vt:lpstr>
      <vt:lpstr>Hoja2</vt:lpstr>
      <vt:lpstr>Hoja1</vt:lpstr>
      <vt:lpstr>JULIANA   &amp;&amp;&amp;&amp;   MARCOS </vt:lpstr>
      <vt:lpstr>Hoja8</vt:lpstr>
      <vt:lpstr>Hoja9</vt:lpstr>
      <vt:lpstr>Hoja10</vt:lpstr>
      <vt:lpstr>Hoja3</vt:lpstr>
      <vt:lpstr>Hoja4</vt:lpstr>
      <vt:lpstr>Hoja5</vt:lpstr>
      <vt:lpstr>Hoja6</vt:lpstr>
      <vt:lpstr>Hoja7</vt:lpstr>
      <vt:lpstr>Hoja11</vt:lpstr>
      <vt:lpstr>Hoja12</vt:lpstr>
      <vt:lpstr>Hoja13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2016-01-06T20:02:25Z</cp:lastPrinted>
  <dcterms:created xsi:type="dcterms:W3CDTF">2009-02-04T18:28:43Z</dcterms:created>
  <dcterms:modified xsi:type="dcterms:W3CDTF">2016-08-16T17:29:16Z</dcterms:modified>
</cp:coreProperties>
</file>