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firstSheet="1" activeTab="7"/>
  </bookViews>
  <sheets>
    <sheet name="JUNIO 2015" sheetId="3" r:id="rId1"/>
    <sheet name="BALANCE JUNIO " sheetId="4" r:id="rId2"/>
    <sheet name="JULIO 2015" sheetId="5" r:id="rId3"/>
    <sheet name="AGOSTO 2015" sheetId="6" r:id="rId4"/>
    <sheet name="SEPTIEMBRE 2015" sheetId="7" r:id="rId5"/>
    <sheet name="OCTUBRE 2015" sheetId="8" r:id="rId6"/>
    <sheet name="NOVIEMBRE 2015" sheetId="9" r:id="rId7"/>
    <sheet name="DICIEMBRE 2015" sheetId="10" r:id="rId8"/>
    <sheet name="Hoja3" sheetId="11" r:id="rId9"/>
  </sheets>
  <calcPr calcId="144525"/>
</workbook>
</file>

<file path=xl/calcChain.xml><?xml version="1.0" encoding="utf-8"?>
<calcChain xmlns="http://schemas.openxmlformats.org/spreadsheetml/2006/main">
  <c r="C10" i="10" l="1"/>
  <c r="C13" i="10"/>
  <c r="C31" i="10"/>
  <c r="E46" i="10" l="1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47" i="10" s="1"/>
  <c r="I16" i="10"/>
  <c r="I13" i="10"/>
  <c r="I7" i="10"/>
  <c r="I10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47" i="10" s="1"/>
  <c r="O16" i="10" l="1"/>
  <c r="Q46" i="10" l="1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47" i="10" s="1"/>
  <c r="B16" i="9" l="1"/>
  <c r="B38" i="9"/>
  <c r="D46" i="9" l="1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47" i="9" s="1"/>
  <c r="H33" i="9"/>
  <c r="H15" i="9"/>
  <c r="J42" i="9"/>
  <c r="J43" i="9"/>
  <c r="J44" i="9"/>
  <c r="J45" i="9"/>
  <c r="H10" i="9"/>
  <c r="J46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47" i="9" s="1"/>
  <c r="Q18" i="9" l="1"/>
  <c r="O10" i="9"/>
  <c r="O15" i="9"/>
  <c r="O7" i="9"/>
  <c r="O13" i="9"/>
  <c r="O32" i="9"/>
  <c r="O31" i="9"/>
  <c r="Q46" i="9" l="1"/>
  <c r="Q45" i="9"/>
  <c r="Q44" i="9"/>
  <c r="Q43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47" i="9" s="1"/>
  <c r="C10" i="8"/>
  <c r="C13" i="8"/>
  <c r="C11" i="8"/>
  <c r="C7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45" i="8" s="1"/>
  <c r="J10" i="8"/>
  <c r="J32" i="8"/>
  <c r="J14" i="8"/>
  <c r="J7" i="8"/>
  <c r="J31" i="8"/>
  <c r="J3" i="8"/>
  <c r="J13" i="8"/>
  <c r="L38" i="8"/>
  <c r="L44" i="8"/>
  <c r="L43" i="8"/>
  <c r="L42" i="8"/>
  <c r="L41" i="8"/>
  <c r="L40" i="8"/>
  <c r="L39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45" i="8" l="1"/>
  <c r="R44" i="8"/>
  <c r="R43" i="8"/>
  <c r="R42" i="8"/>
  <c r="R41" i="8"/>
  <c r="R40" i="8"/>
  <c r="R39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45" i="8" s="1"/>
  <c r="W9" i="8" l="1"/>
  <c r="W18" i="8"/>
  <c r="W33" i="8"/>
  <c r="W8" i="8"/>
  <c r="W4" i="8"/>
  <c r="W31" i="8"/>
  <c r="W3" i="8"/>
  <c r="W14" i="8"/>
  <c r="W13" i="8"/>
  <c r="W6" i="8"/>
  <c r="W27" i="8"/>
  <c r="W17" i="8"/>
  <c r="Y44" i="8"/>
  <c r="Y43" i="8"/>
  <c r="Y42" i="8"/>
  <c r="Y41" i="8"/>
  <c r="Y40" i="8"/>
  <c r="Y39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45" i="8" s="1"/>
  <c r="AD4" i="8"/>
  <c r="AD8" i="8"/>
  <c r="AD14" i="8"/>
  <c r="AF34" i="8"/>
  <c r="AF35" i="8"/>
  <c r="AD33" i="8"/>
  <c r="AF33" i="8" s="1"/>
  <c r="AF44" i="8"/>
  <c r="AF43" i="8"/>
  <c r="AF42" i="8"/>
  <c r="AF41" i="8"/>
  <c r="AF40" i="8"/>
  <c r="AF39" i="8"/>
  <c r="AF37" i="8"/>
  <c r="AF36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E43" i="7"/>
  <c r="M43" i="7"/>
  <c r="C34" i="7"/>
  <c r="C13" i="7"/>
  <c r="E11" i="7"/>
  <c r="E12" i="7"/>
  <c r="C37" i="7"/>
  <c r="C17" i="7"/>
  <c r="C9" i="7"/>
  <c r="C15" i="7"/>
  <c r="C4" i="7"/>
  <c r="C31" i="7"/>
  <c r="C8" i="7"/>
  <c r="C14" i="7"/>
  <c r="E29" i="7"/>
  <c r="E30" i="7"/>
  <c r="E31" i="7"/>
  <c r="C29" i="7"/>
  <c r="C18" i="7"/>
  <c r="E22" i="7"/>
  <c r="E23" i="7"/>
  <c r="E24" i="7"/>
  <c r="E25" i="7"/>
  <c r="E13" i="7"/>
  <c r="E14" i="7"/>
  <c r="E15" i="7"/>
  <c r="E16" i="7"/>
  <c r="C12" i="7"/>
  <c r="C27" i="7"/>
  <c r="C10" i="7"/>
  <c r="E3" i="7"/>
  <c r="E4" i="7"/>
  <c r="E5" i="7"/>
  <c r="E6" i="7"/>
  <c r="E7" i="7"/>
  <c r="E8" i="7"/>
  <c r="E9" i="7"/>
  <c r="E10" i="7"/>
  <c r="E17" i="7"/>
  <c r="E18" i="7"/>
  <c r="E19" i="7"/>
  <c r="E20" i="7"/>
  <c r="E21" i="7"/>
  <c r="E26" i="7"/>
  <c r="E27" i="7"/>
  <c r="E28" i="7"/>
  <c r="E32" i="7"/>
  <c r="E33" i="7"/>
  <c r="E34" i="7"/>
  <c r="E35" i="7"/>
  <c r="E36" i="7"/>
  <c r="E37" i="7"/>
  <c r="E38" i="7"/>
  <c r="E39" i="7"/>
  <c r="E40" i="7"/>
  <c r="E41" i="7"/>
  <c r="E42" i="7"/>
  <c r="AF45" i="8" l="1"/>
  <c r="K18" i="7"/>
  <c r="K6" i="7"/>
  <c r="K9" i="7"/>
  <c r="K15" i="7"/>
  <c r="K14" i="7"/>
  <c r="K39" i="7"/>
  <c r="K4" i="7"/>
  <c r="M42" i="7" l="1"/>
  <c r="M41" i="7"/>
  <c r="M40" i="7"/>
  <c r="M39" i="7"/>
  <c r="M38" i="7"/>
  <c r="M37" i="7"/>
  <c r="M36" i="7"/>
  <c r="M35" i="7"/>
  <c r="M34" i="7"/>
  <c r="M33" i="7"/>
  <c r="M32" i="7"/>
  <c r="M31" i="7"/>
  <c r="M30" i="7"/>
  <c r="M28" i="7"/>
  <c r="M27" i="7"/>
  <c r="M26" i="7"/>
  <c r="M25" i="7"/>
  <c r="M24" i="7"/>
  <c r="M23" i="7"/>
  <c r="M21" i="7"/>
  <c r="M20" i="7"/>
  <c r="M19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Q13" i="7"/>
  <c r="Q18" i="7"/>
  <c r="Q15" i="7"/>
  <c r="Q14" i="7"/>
  <c r="S42" i="7"/>
  <c r="S20" i="7"/>
  <c r="S15" i="7"/>
  <c r="S41" i="7"/>
  <c r="S40" i="7"/>
  <c r="S39" i="7"/>
  <c r="S38" i="7"/>
  <c r="S37" i="7"/>
  <c r="S34" i="7"/>
  <c r="S36" i="7"/>
  <c r="S35" i="7"/>
  <c r="S33" i="7"/>
  <c r="S32" i="7"/>
  <c r="S31" i="7"/>
  <c r="S30" i="7"/>
  <c r="S28" i="7"/>
  <c r="S27" i="7"/>
  <c r="S26" i="7"/>
  <c r="S25" i="7"/>
  <c r="S23" i="7"/>
  <c r="S24" i="7"/>
  <c r="S21" i="7"/>
  <c r="S19" i="7"/>
  <c r="S10" i="7"/>
  <c r="S16" i="7"/>
  <c r="S17" i="7"/>
  <c r="S18" i="7"/>
  <c r="S3" i="7"/>
  <c r="S14" i="7"/>
  <c r="S13" i="7"/>
  <c r="S9" i="7"/>
  <c r="S8" i="7"/>
  <c r="S7" i="7"/>
  <c r="S5" i="7"/>
  <c r="S6" i="7"/>
  <c r="S4" i="7"/>
  <c r="S43" i="7" l="1"/>
  <c r="Y34" i="7"/>
  <c r="Y35" i="7"/>
  <c r="Y36" i="7"/>
  <c r="Y37" i="7"/>
  <c r="W9" i="7"/>
  <c r="W15" i="7"/>
  <c r="Y42" i="7"/>
  <c r="Y41" i="7"/>
  <c r="Y40" i="7"/>
  <c r="Y39" i="7"/>
  <c r="Y38" i="7"/>
  <c r="Y33" i="7"/>
  <c r="Y32" i="7"/>
  <c r="Y31" i="7"/>
  <c r="Y30" i="7"/>
  <c r="Y28" i="7"/>
  <c r="Y27" i="7"/>
  <c r="Y26" i="7"/>
  <c r="Y25" i="7"/>
  <c r="Y24" i="7"/>
  <c r="Y23" i="7"/>
  <c r="Y21" i="7"/>
  <c r="Y20" i="7"/>
  <c r="Y19" i="7"/>
  <c r="Y18" i="7"/>
  <c r="Y17" i="7"/>
  <c r="Y16" i="7"/>
  <c r="Y15" i="7"/>
  <c r="Y14" i="7"/>
  <c r="Y13" i="7"/>
  <c r="Y10" i="7"/>
  <c r="Y9" i="7"/>
  <c r="Y8" i="7"/>
  <c r="Y7" i="7"/>
  <c r="Y43" i="7" s="1"/>
  <c r="Y6" i="7"/>
  <c r="Y5" i="7"/>
  <c r="Y4" i="7"/>
  <c r="Y3" i="7"/>
  <c r="C9" i="6" l="1"/>
  <c r="C25" i="6"/>
  <c r="C35" i="6"/>
  <c r="C7" i="6"/>
  <c r="E14" i="6"/>
  <c r="E15" i="6"/>
  <c r="C16" i="6"/>
  <c r="E37" i="6" l="1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3" i="6"/>
  <c r="E12" i="6"/>
  <c r="E11" i="6"/>
  <c r="E10" i="6"/>
  <c r="E9" i="6"/>
  <c r="E8" i="6"/>
  <c r="E7" i="6"/>
  <c r="E38" i="6" s="1"/>
  <c r="E6" i="6"/>
  <c r="E5" i="6"/>
  <c r="E4" i="6"/>
  <c r="E3" i="6"/>
  <c r="E25" i="5" l="1"/>
  <c r="E26" i="5"/>
  <c r="E27" i="5"/>
  <c r="E5" i="5"/>
  <c r="E6" i="5"/>
  <c r="E7" i="5"/>
  <c r="E8" i="5"/>
  <c r="E21" i="5"/>
  <c r="E22" i="5"/>
  <c r="E23" i="5"/>
  <c r="E24" i="5"/>
  <c r="E4" i="5"/>
  <c r="E37" i="5"/>
  <c r="E36" i="5"/>
  <c r="E35" i="5"/>
  <c r="E34" i="5"/>
  <c r="E33" i="5"/>
  <c r="E32" i="5"/>
  <c r="E31" i="5"/>
  <c r="E30" i="5"/>
  <c r="E29" i="5"/>
  <c r="E28" i="5"/>
  <c r="E20" i="5"/>
  <c r="E19" i="5"/>
  <c r="E18" i="5"/>
  <c r="E17" i="5"/>
  <c r="E16" i="5"/>
  <c r="E15" i="5"/>
  <c r="E13" i="5"/>
  <c r="E12" i="5"/>
  <c r="E11" i="5"/>
  <c r="E10" i="5"/>
  <c r="E9" i="5"/>
  <c r="E38" i="5"/>
  <c r="E3" i="5"/>
  <c r="K37" i="4" l="1"/>
  <c r="I37" i="4"/>
  <c r="J39" i="4" s="1"/>
  <c r="F37" i="4"/>
  <c r="F40" i="4" s="1"/>
  <c r="F43" i="4" s="1"/>
  <c r="F45" i="4" s="1"/>
  <c r="K43" i="4" s="1"/>
  <c r="K45" i="4" s="1"/>
  <c r="C37" i="4"/>
  <c r="L28" i="4"/>
  <c r="L37" i="4" s="1"/>
  <c r="C7" i="3" l="1"/>
  <c r="E15" i="3" l="1"/>
  <c r="E11" i="3"/>
  <c r="E26" i="3"/>
  <c r="E30" i="3"/>
  <c r="E29" i="3"/>
  <c r="E31" i="3"/>
  <c r="E4" i="3"/>
  <c r="E5" i="3"/>
  <c r="E8" i="3"/>
  <c r="E9" i="3"/>
  <c r="E3" i="3"/>
  <c r="E28" i="3"/>
  <c r="E19" i="3"/>
  <c r="E24" i="3"/>
  <c r="E25" i="3"/>
  <c r="E32" i="3"/>
  <c r="E27" i="3"/>
  <c r="E23" i="3"/>
  <c r="E22" i="3"/>
  <c r="E21" i="3"/>
  <c r="E20" i="3"/>
  <c r="E18" i="3"/>
  <c r="E17" i="3"/>
  <c r="E16" i="3"/>
  <c r="E14" i="3"/>
  <c r="E13" i="3"/>
  <c r="E12" i="3"/>
  <c r="E10" i="3"/>
  <c r="E7" i="3"/>
  <c r="E6" i="3"/>
  <c r="E33" i="3" l="1"/>
</calcChain>
</file>

<file path=xl/sharedStrings.xml><?xml version="1.0" encoding="utf-8"?>
<sst xmlns="http://schemas.openxmlformats.org/spreadsheetml/2006/main" count="801" uniqueCount="131">
  <si>
    <t>contra</t>
  </si>
  <si>
    <t>cuero papel</t>
  </si>
  <si>
    <t>capotes</t>
  </si>
  <si>
    <t>combos</t>
  </si>
  <si>
    <t>pecho</t>
  </si>
  <si>
    <t>espinazo</t>
  </si>
  <si>
    <t>codillo</t>
  </si>
  <si>
    <t>cuero pierna</t>
  </si>
  <si>
    <t>jamon c/grasa</t>
  </si>
  <si>
    <t>sesos copa</t>
  </si>
  <si>
    <t>buche</t>
  </si>
  <si>
    <t>grasa</t>
  </si>
  <si>
    <t>tripas</t>
  </si>
  <si>
    <t>TOTAL</t>
  </si>
  <si>
    <t>INVENTARIO Congelados   J U N I O    13.,2015</t>
  </si>
  <si>
    <t>menudo</t>
  </si>
  <si>
    <t>costilla corbata</t>
  </si>
  <si>
    <t>sesos marqueta</t>
  </si>
  <si>
    <t>carnero</t>
  </si>
  <si>
    <t>manteca</t>
  </si>
  <si>
    <t>sancocho</t>
  </si>
  <si>
    <t>cuero papel reempacado</t>
  </si>
  <si>
    <t>cuero canal</t>
  </si>
  <si>
    <t>plancha</t>
  </si>
  <si>
    <t>unto</t>
  </si>
  <si>
    <t>manita</t>
  </si>
  <si>
    <t>lomo de cabeza</t>
  </si>
  <si>
    <t>PAPADA</t>
  </si>
  <si>
    <t>pulpa</t>
  </si>
  <si>
    <t xml:space="preserve">BALANCE    DE   JUNIO      2015    C O M E R C I O </t>
  </si>
  <si>
    <t>COMPRAS</t>
  </si>
  <si>
    <t>INVENTARIO INICIAL</t>
  </si>
  <si>
    <t xml:space="preserve">VENTAS  </t>
  </si>
  <si>
    <t>G  A  S   T  O  S</t>
  </si>
  <si>
    <t>BANCO</t>
  </si>
  <si>
    <t>Tripas-manitas-salado</t>
  </si>
  <si>
    <t>Delantero</t>
  </si>
  <si>
    <t>TELEFONOS</t>
  </si>
  <si>
    <t>albicia</t>
  </si>
  <si>
    <t>LUZ  Junio</t>
  </si>
  <si>
    <t>PULPA</t>
  </si>
  <si>
    <t>RENTA</t>
  </si>
  <si>
    <t>NOMINA 23</t>
  </si>
  <si>
    <t>Sancocho</t>
  </si>
  <si>
    <t>NOMINA 24</t>
  </si>
  <si>
    <t>NOMINA 25</t>
  </si>
  <si>
    <t>NOMINA 26</t>
  </si>
  <si>
    <t xml:space="preserve">Vacaciones </t>
  </si>
  <si>
    <t>albicia-delantero-sancocho</t>
  </si>
  <si>
    <t xml:space="preserve">FUMIGACION </t>
  </si>
  <si>
    <t>Res-Espinazo</t>
  </si>
  <si>
    <t>Albicia</t>
  </si>
  <si>
    <t>TOCINO-MANITAS</t>
  </si>
  <si>
    <t>CAPOTE</t>
  </si>
  <si>
    <t>Pecho</t>
  </si>
  <si>
    <t>.</t>
  </si>
  <si>
    <t>CABEZAS</t>
  </si>
  <si>
    <t>Chuleta-sancocho-albicia</t>
  </si>
  <si>
    <t>Res--Chuleta</t>
  </si>
  <si>
    <t>Chuleta-Combos</t>
  </si>
  <si>
    <t>Res--Chuleta--cabeza</t>
  </si>
  <si>
    <t>Res-</t>
  </si>
  <si>
    <t>Proledo canalq</t>
  </si>
  <si>
    <t>ALBICIA</t>
  </si>
  <si>
    <t>Res--Cuero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</si>
  <si>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</si>
  <si>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</si>
  <si>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</si>
  <si>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</si>
  <si>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</si>
  <si>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</si>
  <si>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</si>
  <si>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PERDIDA</t>
  </si>
  <si>
    <t>cabeza pco</t>
  </si>
  <si>
    <t>lomo de caña</t>
  </si>
  <si>
    <t>cabeza de lomo</t>
  </si>
  <si>
    <t>cuero caja</t>
  </si>
  <si>
    <t>nana</t>
  </si>
  <si>
    <t>jamon</t>
  </si>
  <si>
    <t>INVENTARIO Congelados   AGOSTO     13.,2015</t>
  </si>
  <si>
    <t>INVENTARIO Congelados   J U L I O    .,2015</t>
  </si>
  <si>
    <t>corbata</t>
  </si>
  <si>
    <t>descarbe</t>
  </si>
  <si>
    <t>pulpa espaldilla</t>
  </si>
  <si>
    <t>INVENTARIO Congelados   SEPTIEMBRE      08    .,2015</t>
  </si>
  <si>
    <t>cuero de pierna</t>
  </si>
  <si>
    <t>pierna c/cuero</t>
  </si>
  <si>
    <t xml:space="preserve">cuero papel   </t>
  </si>
  <si>
    <t>jamon c/grasa c/H</t>
  </si>
  <si>
    <t xml:space="preserve"> corbata</t>
  </si>
  <si>
    <t>jamon s/h</t>
  </si>
  <si>
    <t>colas y cabezas de espinazo</t>
  </si>
  <si>
    <t>1/2 res</t>
  </si>
  <si>
    <t xml:space="preserve">cuero papel caja </t>
  </si>
  <si>
    <t>sesos de caja</t>
  </si>
  <si>
    <t>cuero maple</t>
  </si>
  <si>
    <t xml:space="preserve">cuero papel </t>
  </si>
  <si>
    <t xml:space="preserve">jamon c/grasa </t>
  </si>
  <si>
    <t>recorte</t>
  </si>
  <si>
    <t>espinazo, colas, y cabezas</t>
  </si>
  <si>
    <t>INVENTARIO Congelados   SEPTIEMBRE      15    .,2015</t>
  </si>
  <si>
    <t>INVENTARIO Congelados   SEPTIEMBRE      22    .,2015</t>
  </si>
  <si>
    <t>canal</t>
  </si>
  <si>
    <t>INVENTARIO Congelados   SEPTIEMBRE     30    .,2015</t>
  </si>
  <si>
    <t>ESPALDILLA</t>
  </si>
  <si>
    <t>Espinazo de cola</t>
  </si>
  <si>
    <t>INVENTARIO Congelados   OCTUBRE      06    .,2015</t>
  </si>
  <si>
    <t>codillo c/cuero</t>
  </si>
  <si>
    <t>descarne</t>
  </si>
  <si>
    <t>ESPALDILLA c/hueso</t>
  </si>
  <si>
    <t>PANZA</t>
  </si>
  <si>
    <t>sesos de bote</t>
  </si>
  <si>
    <t>costilla</t>
  </si>
  <si>
    <t>INVENTARIO Congelados   OCTUBRE      13    .,2015</t>
  </si>
  <si>
    <t xml:space="preserve">cuero </t>
  </si>
  <si>
    <t>Chicharron prensado</t>
  </si>
  <si>
    <t xml:space="preserve">codillo </t>
  </si>
  <si>
    <t>INVENTARIO Congelados   OCTUBRE      20    .,2015</t>
  </si>
  <si>
    <t>ESPINAZO</t>
  </si>
  <si>
    <t>INVENTARIO Congelados   OCTUBRE      27    .,2015</t>
  </si>
  <si>
    <t>cuero canaL</t>
  </si>
  <si>
    <t>prensado</t>
  </si>
  <si>
    <t>INVENTARIO Congelados   OCTUBRE      31    .,2015</t>
  </si>
  <si>
    <t>INVENTARIO Congelados   NOVIEMBRE  11    .,2015</t>
  </si>
  <si>
    <t>cubo</t>
  </si>
  <si>
    <t>INVENTARIO Congelados   NOVIEMBRE  17    .,2015</t>
  </si>
  <si>
    <t>sancocho canal</t>
  </si>
  <si>
    <t>INVENTARIO Congelados   NOVIEMBRE  23    .,2015</t>
  </si>
  <si>
    <t>INVENTARIO Congelados    DICIEMBRE   08      .,2015</t>
  </si>
  <si>
    <t>INVENTARIO Congelados    DICIEMBRE   15      .,2015</t>
  </si>
  <si>
    <t>INVENTARIO Congelados    02   ENERO        .,2016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</si>
</sst>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0" xfId="0" applyNumberFormat="1" applyFont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4" fontId="4" fillId="0" borderId="1" xfId="0" applyNumberFormat="1" applyFont="1" applyBorder="1" applyAlignment="1">
      <alignment horizontal="left"/>
    </xf>
    <xf numFmtId="0" fontId="5" fillId="0" borderId="0" xfId="0" applyFont="1"/>
    <xf numFmtId="0" fontId="6" fillId="0" borderId="0" xfId="0" applyFont="1"/>
    <xf numFmtId="44" fontId="6" fillId="0" borderId="0" xfId="1" applyFont="1"/>
    <xf numFmtId="44" fontId="8" fillId="0" borderId="2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3" xfId="0" applyFont="1" applyBorder="1"/>
    <xf numFmtId="0" fontId="6" fillId="0" borderId="4" xfId="0" applyFont="1" applyBorder="1"/>
    <xf numFmtId="44" fontId="6" fillId="0" borderId="5" xfId="1" applyFont="1" applyBorder="1"/>
    <xf numFmtId="0" fontId="10" fillId="0" borderId="0" xfId="0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164" fontId="6" fillId="0" borderId="11" xfId="0" applyNumberFormat="1" applyFont="1" applyFill="1" applyBorder="1"/>
    <xf numFmtId="44" fontId="6" fillId="0" borderId="12" xfId="1" applyFont="1" applyFill="1" applyBorder="1"/>
    <xf numFmtId="165" fontId="11" fillId="0" borderId="0" xfId="0" applyNumberFormat="1" applyFont="1" applyFill="1"/>
    <xf numFmtId="15" fontId="6" fillId="0" borderId="13" xfId="0" applyNumberFormat="1" applyFont="1" applyFill="1" applyBorder="1"/>
    <xf numFmtId="165" fontId="6" fillId="0" borderId="14" xfId="0" applyNumberFormat="1" applyFont="1" applyFill="1" applyBorder="1"/>
    <xf numFmtId="0" fontId="0" fillId="0" borderId="0" xfId="0" applyFill="1"/>
    <xf numFmtId="15" fontId="6" fillId="0" borderId="15" xfId="0" applyNumberFormat="1" applyFont="1" applyFill="1" applyBorder="1"/>
    <xf numFmtId="165" fontId="6" fillId="0" borderId="16" xfId="0" applyNumberFormat="1" applyFont="1" applyFill="1" applyBorder="1"/>
    <xf numFmtId="0" fontId="6" fillId="0" borderId="17" xfId="0" applyFont="1" applyBorder="1"/>
    <xf numFmtId="0" fontId="6" fillId="0" borderId="18" xfId="0" applyFont="1" applyBorder="1"/>
    <xf numFmtId="44" fontId="6" fillId="0" borderId="0" xfId="1" applyFont="1" applyFill="1" applyBorder="1"/>
    <xf numFmtId="165" fontId="12" fillId="0" borderId="0" xfId="0" applyNumberFormat="1" applyFont="1" applyFill="1"/>
    <xf numFmtId="15" fontId="6" fillId="0" borderId="19" xfId="0" applyNumberFormat="1" applyFont="1" applyFill="1" applyBorder="1"/>
    <xf numFmtId="165" fontId="0" fillId="0" borderId="0" xfId="0" applyNumberFormat="1" applyFill="1" applyBorder="1"/>
    <xf numFmtId="15" fontId="6" fillId="0" borderId="20" xfId="0" applyNumberFormat="1" applyFont="1" applyFill="1" applyBorder="1"/>
    <xf numFmtId="0" fontId="6" fillId="0" borderId="20" xfId="0" applyFont="1" applyBorder="1"/>
    <xf numFmtId="165" fontId="6" fillId="0" borderId="14" xfId="0" applyNumberFormat="1" applyFont="1" applyBorder="1"/>
    <xf numFmtId="0" fontId="13" fillId="2" borderId="20" xfId="0" applyFont="1" applyFill="1" applyBorder="1"/>
    <xf numFmtId="165" fontId="14" fillId="0" borderId="0" xfId="0" applyNumberFormat="1" applyFont="1" applyFill="1"/>
    <xf numFmtId="0" fontId="12" fillId="0" borderId="0" xfId="0" applyFont="1"/>
    <xf numFmtId="0" fontId="14" fillId="0" borderId="0" xfId="0" applyFont="1"/>
    <xf numFmtId="165" fontId="15" fillId="0" borderId="0" xfId="0" applyNumberFormat="1" applyFont="1" applyFill="1"/>
    <xf numFmtId="0" fontId="16" fillId="0" borderId="20" xfId="0" applyFont="1" applyBorder="1"/>
    <xf numFmtId="16" fontId="6" fillId="0" borderId="20" xfId="0" applyNumberFormat="1" applyFont="1" applyBorder="1" applyAlignment="1">
      <alignment horizontal="center"/>
    </xf>
    <xf numFmtId="0" fontId="11" fillId="0" borderId="20" xfId="0" applyFont="1" applyBorder="1"/>
    <xf numFmtId="0" fontId="11" fillId="0" borderId="20" xfId="0" applyFont="1" applyBorder="1" applyAlignment="1">
      <alignment wrapText="1"/>
    </xf>
    <xf numFmtId="16" fontId="6" fillId="0" borderId="20" xfId="0" applyNumberFormat="1" applyFont="1" applyBorder="1"/>
    <xf numFmtId="0" fontId="6" fillId="0" borderId="20" xfId="0" applyFont="1" applyFill="1" applyBorder="1"/>
    <xf numFmtId="0" fontId="17" fillId="0" borderId="3" xfId="0" applyFont="1" applyBorder="1"/>
    <xf numFmtId="0" fontId="16" fillId="0" borderId="4" xfId="0" applyFont="1" applyBorder="1"/>
    <xf numFmtId="44" fontId="6" fillId="0" borderId="12" xfId="1" applyFont="1" applyBorder="1"/>
    <xf numFmtId="165" fontId="0" fillId="0" borderId="0" xfId="0" applyNumberFormat="1"/>
    <xf numFmtId="0" fontId="6" fillId="0" borderId="19" xfId="0" applyFont="1" applyBorder="1"/>
    <xf numFmtId="0" fontId="9" fillId="0" borderId="20" xfId="0" applyFont="1" applyBorder="1" applyAlignment="1">
      <alignment horizontal="center"/>
    </xf>
    <xf numFmtId="165" fontId="6" fillId="0" borderId="16" xfId="0" applyNumberFormat="1" applyFont="1" applyBorder="1"/>
    <xf numFmtId="44" fontId="6" fillId="0" borderId="0" xfId="1" applyFont="1" applyBorder="1"/>
    <xf numFmtId="0" fontId="18" fillId="0" borderId="0" xfId="0" applyFont="1"/>
    <xf numFmtId="0" fontId="6" fillId="0" borderId="21" xfId="0" applyFont="1" applyBorder="1"/>
    <xf numFmtId="44" fontId="6" fillId="0" borderId="22" xfId="1" applyFont="1" applyBorder="1"/>
    <xf numFmtId="0" fontId="6" fillId="0" borderId="23" xfId="0" applyFont="1" applyBorder="1"/>
    <xf numFmtId="165" fontId="6" fillId="0" borderId="24" xfId="0" applyNumberFormat="1" applyFont="1" applyBorder="1"/>
    <xf numFmtId="0" fontId="9" fillId="0" borderId="25" xfId="0" applyFont="1" applyBorder="1" applyAlignment="1">
      <alignment horizontal="center"/>
    </xf>
    <xf numFmtId="165" fontId="6" fillId="0" borderId="26" xfId="0" applyNumberFormat="1" applyFont="1" applyBorder="1"/>
    <xf numFmtId="0" fontId="6" fillId="0" borderId="27" xfId="0" applyFont="1" applyBorder="1"/>
    <xf numFmtId="44" fontId="6" fillId="0" borderId="23" xfId="1" applyFont="1" applyBorder="1"/>
    <xf numFmtId="0" fontId="8" fillId="0" borderId="0" xfId="0" applyFont="1"/>
    <xf numFmtId="44" fontId="8" fillId="0" borderId="0" xfId="1" applyFont="1"/>
    <xf numFmtId="0" fontId="9" fillId="0" borderId="0" xfId="0" applyFont="1" applyAlignment="1">
      <alignment horizontal="center"/>
    </xf>
    <xf numFmtId="165" fontId="9" fillId="0" borderId="0" xfId="0" applyNumberFormat="1" applyFont="1"/>
    <xf numFmtId="165" fontId="6" fillId="0" borderId="0" xfId="0" applyNumberFormat="1" applyFont="1"/>
    <xf numFmtId="0" fontId="19" fillId="0" borderId="0" xfId="0" applyFont="1" applyBorder="1"/>
    <xf numFmtId="0" fontId="6" fillId="0" borderId="0" xfId="0" applyFont="1" applyBorder="1"/>
    <xf numFmtId="0" fontId="0" fillId="0" borderId="0" xfId="0" applyBorder="1"/>
    <xf numFmtId="44" fontId="20" fillId="0" borderId="0" xfId="1" applyFont="1" applyBorder="1" applyAlignment="1">
      <alignment horizontal="center"/>
    </xf>
    <xf numFmtId="165" fontId="6" fillId="0" borderId="0" xfId="0" applyNumberFormat="1" applyFont="1" applyBorder="1"/>
    <xf numFmtId="165" fontId="2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165" fontId="6" fillId="0" borderId="1" xfId="0" applyNumberFormat="1" applyFont="1" applyBorder="1"/>
    <xf numFmtId="0" fontId="19" fillId="0" borderId="0" xfId="0" applyFont="1"/>
    <xf numFmtId="0" fontId="6" fillId="0" borderId="1" xfId="0" applyFont="1" applyBorder="1"/>
    <xf numFmtId="165" fontId="9" fillId="0" borderId="31" xfId="0" applyNumberFormat="1" applyFont="1" applyBorder="1"/>
    <xf numFmtId="0" fontId="6" fillId="0" borderId="31" xfId="0" applyFont="1" applyBorder="1"/>
    <xf numFmtId="44" fontId="6" fillId="0" borderId="31" xfId="0" applyNumberFormat="1" applyFont="1" applyBorder="1"/>
    <xf numFmtId="165" fontId="8" fillId="0" borderId="0" xfId="0" applyNumberFormat="1" applyFont="1"/>
    <xf numFmtId="165" fontId="20" fillId="0" borderId="10" xfId="0" applyNumberFormat="1" applyFont="1" applyBorder="1"/>
    <xf numFmtId="0" fontId="11" fillId="0" borderId="0" xfId="0" applyFont="1" applyFill="1"/>
    <xf numFmtId="44" fontId="6" fillId="0" borderId="0" xfId="1" applyFont="1" applyFill="1"/>
    <xf numFmtId="0" fontId="21" fillId="0" borderId="28" xfId="0" applyFont="1" applyFill="1" applyBorder="1" applyAlignment="1">
      <alignment horizontal="center"/>
    </xf>
    <xf numFmtId="165" fontId="22" fillId="0" borderId="28" xfId="0" applyNumberFormat="1" applyFont="1" applyFill="1" applyBorder="1"/>
    <xf numFmtId="165" fontId="6" fillId="0" borderId="28" xfId="0" applyNumberFormat="1" applyFont="1" applyFill="1" applyBorder="1"/>
    <xf numFmtId="0" fontId="0" fillId="0" borderId="0" xfId="0" applyFont="1"/>
    <xf numFmtId="0" fontId="23" fillId="0" borderId="0" xfId="0" applyFont="1"/>
    <xf numFmtId="4" fontId="2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20" fillId="0" borderId="28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 vertical="center" wrapText="1"/>
    </xf>
    <xf numFmtId="165" fontId="20" fillId="0" borderId="29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34"/>
  <sheetViews>
    <sheetView workbookViewId="0">
      <selection activeCell="C5" sqref="C5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14</v>
      </c>
      <c r="C2" s="9"/>
      <c r="D2" s="4"/>
      <c r="E2" s="5"/>
    </row>
    <row r="3" spans="2:5" ht="19.5" thickTop="1" x14ac:dyDescent="0.3">
      <c r="B3" s="2" t="s">
        <v>10</v>
      </c>
      <c r="C3" s="8">
        <v>40.83</v>
      </c>
      <c r="D3" s="3">
        <v>50</v>
      </c>
      <c r="E3" s="1">
        <f t="shared" ref="E3:E32" si="0">D3*C3</f>
        <v>2041.5</v>
      </c>
    </row>
    <row r="4" spans="2:5" x14ac:dyDescent="0.3">
      <c r="B4" s="2" t="s">
        <v>2</v>
      </c>
      <c r="C4" s="8">
        <v>172.4</v>
      </c>
      <c r="D4" s="3">
        <v>47</v>
      </c>
      <c r="E4" s="1">
        <f t="shared" si="0"/>
        <v>8102.8</v>
      </c>
    </row>
    <row r="5" spans="2:5" x14ac:dyDescent="0.3">
      <c r="B5" s="2" t="s">
        <v>18</v>
      </c>
      <c r="C5" s="8">
        <v>158.1</v>
      </c>
      <c r="D5" s="3">
        <v>80</v>
      </c>
      <c r="E5" s="1">
        <f t="shared" si="0"/>
        <v>12648</v>
      </c>
    </row>
    <row r="6" spans="2:5" x14ac:dyDescent="0.3">
      <c r="B6" s="2" t="s">
        <v>6</v>
      </c>
      <c r="C6" s="8">
        <v>67</v>
      </c>
      <c r="D6" s="3">
        <v>20</v>
      </c>
      <c r="E6" s="1">
        <f t="shared" si="0"/>
        <v>1340</v>
      </c>
    </row>
    <row r="7" spans="2:5" x14ac:dyDescent="0.3">
      <c r="B7" s="2" t="s">
        <v>3</v>
      </c>
      <c r="C7" s="8">
        <f>939.8+938+934.4+9470.1</f>
        <v>12282.3</v>
      </c>
      <c r="D7" s="3">
        <v>27.5</v>
      </c>
      <c r="E7" s="1">
        <f t="shared" si="0"/>
        <v>337763.25</v>
      </c>
    </row>
    <row r="8" spans="2:5" x14ac:dyDescent="0.3">
      <c r="B8" s="2" t="s">
        <v>0</v>
      </c>
      <c r="C8" s="8">
        <v>213.6</v>
      </c>
      <c r="D8" s="3">
        <v>96</v>
      </c>
      <c r="E8" s="1">
        <f t="shared" si="0"/>
        <v>20505.599999999999</v>
      </c>
    </row>
    <row r="9" spans="2:5" x14ac:dyDescent="0.3">
      <c r="B9" s="2" t="s">
        <v>16</v>
      </c>
      <c r="C9" s="8">
        <v>33.15</v>
      </c>
      <c r="D9" s="3">
        <v>48</v>
      </c>
      <c r="E9" s="1">
        <f t="shared" si="0"/>
        <v>1591.1999999999998</v>
      </c>
    </row>
    <row r="10" spans="2:5" x14ac:dyDescent="0.3">
      <c r="B10" s="2" t="s">
        <v>22</v>
      </c>
      <c r="C10" s="8">
        <v>239</v>
      </c>
      <c r="D10" s="3">
        <v>20</v>
      </c>
      <c r="E10" s="1">
        <f t="shared" si="0"/>
        <v>4780</v>
      </c>
    </row>
    <row r="11" spans="2:5" x14ac:dyDescent="0.3">
      <c r="B11" s="2" t="s">
        <v>1</v>
      </c>
      <c r="C11" s="8">
        <v>204.3</v>
      </c>
      <c r="D11" s="3">
        <v>25</v>
      </c>
      <c r="E11" s="1">
        <f t="shared" si="0"/>
        <v>5107.5</v>
      </c>
    </row>
    <row r="12" spans="2:5" x14ac:dyDescent="0.3">
      <c r="B12" s="14" t="s">
        <v>21</v>
      </c>
      <c r="C12" s="8">
        <v>220</v>
      </c>
      <c r="D12" s="3">
        <v>23</v>
      </c>
      <c r="E12" s="1">
        <f t="shared" si="0"/>
        <v>5060</v>
      </c>
    </row>
    <row r="13" spans="2:5" x14ac:dyDescent="0.3">
      <c r="B13" s="2" t="s">
        <v>7</v>
      </c>
      <c r="C13" s="8">
        <v>1017.5</v>
      </c>
      <c r="D13" s="3">
        <v>13</v>
      </c>
      <c r="E13" s="1">
        <f t="shared" si="0"/>
        <v>13227.5</v>
      </c>
    </row>
    <row r="14" spans="2:5" x14ac:dyDescent="0.3">
      <c r="B14" s="2" t="s">
        <v>5</v>
      </c>
      <c r="C14" s="8">
        <v>7.8</v>
      </c>
      <c r="D14" s="3">
        <v>46</v>
      </c>
      <c r="E14" s="1">
        <f t="shared" si="0"/>
        <v>358.8</v>
      </c>
    </row>
    <row r="15" spans="2:5" x14ac:dyDescent="0.3">
      <c r="B15" s="2" t="s">
        <v>11</v>
      </c>
      <c r="C15" s="8">
        <v>107</v>
      </c>
      <c r="D15" s="3">
        <v>16</v>
      </c>
      <c r="E15" s="1">
        <f t="shared" si="0"/>
        <v>1712</v>
      </c>
    </row>
    <row r="16" spans="2:5" x14ac:dyDescent="0.3">
      <c r="B16" s="2" t="s">
        <v>8</v>
      </c>
      <c r="C16" s="8">
        <v>343.2</v>
      </c>
      <c r="D16" s="3">
        <v>36</v>
      </c>
      <c r="E16" s="1">
        <f t="shared" si="0"/>
        <v>12355.199999999999</v>
      </c>
    </row>
    <row r="17" spans="2:5" x14ac:dyDescent="0.3">
      <c r="B17" s="2" t="s">
        <v>26</v>
      </c>
      <c r="C17" s="8">
        <v>35.200000000000003</v>
      </c>
      <c r="D17" s="3">
        <v>54</v>
      </c>
      <c r="E17" s="1">
        <f t="shared" si="0"/>
        <v>1900.8000000000002</v>
      </c>
    </row>
    <row r="18" spans="2:5" x14ac:dyDescent="0.3">
      <c r="B18" s="2" t="s">
        <v>25</v>
      </c>
      <c r="C18" s="8">
        <v>31.2</v>
      </c>
      <c r="D18" s="3">
        <v>26</v>
      </c>
      <c r="E18" s="1">
        <f t="shared" si="0"/>
        <v>811.19999999999993</v>
      </c>
    </row>
    <row r="19" spans="2:5" x14ac:dyDescent="0.3">
      <c r="B19" s="2" t="s">
        <v>19</v>
      </c>
      <c r="C19" s="8">
        <v>90</v>
      </c>
      <c r="D19" s="3">
        <v>16</v>
      </c>
      <c r="E19" s="1">
        <f t="shared" si="0"/>
        <v>1440</v>
      </c>
    </row>
    <row r="20" spans="2:5" x14ac:dyDescent="0.3">
      <c r="B20" s="10" t="s">
        <v>15</v>
      </c>
      <c r="C20" s="11">
        <v>353.86</v>
      </c>
      <c r="D20" s="12">
        <v>47</v>
      </c>
      <c r="E20" s="1">
        <f t="shared" si="0"/>
        <v>16631.420000000002</v>
      </c>
    </row>
    <row r="21" spans="2:5" x14ac:dyDescent="0.3">
      <c r="B21" s="2" t="s">
        <v>27</v>
      </c>
      <c r="C21" s="8">
        <v>7.4</v>
      </c>
      <c r="D21" s="3">
        <v>26</v>
      </c>
      <c r="E21" s="1">
        <f t="shared" si="0"/>
        <v>192.4</v>
      </c>
    </row>
    <row r="22" spans="2:5" x14ac:dyDescent="0.3">
      <c r="B22" s="2" t="s">
        <v>4</v>
      </c>
      <c r="C22" s="8">
        <v>22</v>
      </c>
      <c r="D22" s="3">
        <v>58</v>
      </c>
      <c r="E22" s="1">
        <f t="shared" si="0"/>
        <v>1276</v>
      </c>
    </row>
    <row r="23" spans="2:5" x14ac:dyDescent="0.3">
      <c r="B23" s="2" t="s">
        <v>23</v>
      </c>
      <c r="C23" s="8">
        <v>19.8</v>
      </c>
      <c r="D23" s="3">
        <v>60</v>
      </c>
      <c r="E23" s="1">
        <f t="shared" si="0"/>
        <v>1188</v>
      </c>
    </row>
    <row r="24" spans="2:5" x14ac:dyDescent="0.3">
      <c r="B24" s="2" t="s">
        <v>28</v>
      </c>
      <c r="C24" s="8">
        <v>201.8</v>
      </c>
      <c r="D24" s="3">
        <v>42</v>
      </c>
      <c r="E24" s="1">
        <f t="shared" si="0"/>
        <v>8475.6</v>
      </c>
    </row>
    <row r="25" spans="2:5" x14ac:dyDescent="0.3">
      <c r="B25" s="2" t="s">
        <v>20</v>
      </c>
      <c r="C25" s="8">
        <v>18.600000000000001</v>
      </c>
      <c r="D25" s="3">
        <v>78</v>
      </c>
      <c r="E25" s="1">
        <f t="shared" si="0"/>
        <v>1450.8000000000002</v>
      </c>
    </row>
    <row r="26" spans="2:5" x14ac:dyDescent="0.3">
      <c r="B26" s="10" t="s">
        <v>9</v>
      </c>
      <c r="C26" s="11">
        <v>1</v>
      </c>
      <c r="D26" s="12">
        <v>800</v>
      </c>
      <c r="E26" s="1">
        <f t="shared" si="0"/>
        <v>800</v>
      </c>
    </row>
    <row r="27" spans="2:5" x14ac:dyDescent="0.3">
      <c r="B27" s="2" t="s">
        <v>17</v>
      </c>
      <c r="C27" s="8">
        <v>30</v>
      </c>
      <c r="D27" s="3">
        <v>64</v>
      </c>
      <c r="E27" s="1">
        <f t="shared" si="0"/>
        <v>1920</v>
      </c>
    </row>
    <row r="28" spans="2:5" x14ac:dyDescent="0.3">
      <c r="B28" s="2" t="s">
        <v>12</v>
      </c>
      <c r="C28" s="8">
        <v>20</v>
      </c>
      <c r="D28" s="3">
        <v>40</v>
      </c>
      <c r="E28" s="1">
        <f t="shared" si="0"/>
        <v>800</v>
      </c>
    </row>
    <row r="29" spans="2:5" x14ac:dyDescent="0.3">
      <c r="B29" s="2" t="s">
        <v>24</v>
      </c>
      <c r="C29" s="8">
        <v>21</v>
      </c>
      <c r="D29" s="3">
        <v>14</v>
      </c>
      <c r="E29" s="1">
        <f t="shared" si="0"/>
        <v>294</v>
      </c>
    </row>
    <row r="30" spans="2:5" x14ac:dyDescent="0.3">
      <c r="E30" s="1">
        <f t="shared" si="0"/>
        <v>0</v>
      </c>
    </row>
    <row r="31" spans="2:5" x14ac:dyDescent="0.3">
      <c r="E31" s="1">
        <f t="shared" si="0"/>
        <v>0</v>
      </c>
    </row>
    <row r="32" spans="2:5" x14ac:dyDescent="0.3">
      <c r="E32" s="1">
        <f t="shared" si="0"/>
        <v>0</v>
      </c>
    </row>
    <row r="33" spans="4:5" customFormat="1" ht="19.5" thickBot="1" x14ac:dyDescent="0.35">
      <c r="D33" s="7" t="s">
        <v>13</v>
      </c>
      <c r="E33" s="6">
        <f>SUM(E5:E32)</f>
        <v>453629.26999999996</v>
      </c>
    </row>
    <row r="34" spans="4:5" customFormat="1" ht="19.5" thickTop="1" x14ac:dyDescent="0.3">
      <c r="D34" s="3"/>
      <c r="E34" s="1"/>
    </row>
  </sheetData>
  <sortState ref="B3:D29">
    <sortCondition ref="B3:B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"/>
  <sheetViews>
    <sheetView workbookViewId="0">
      <selection activeCell="E13" sqref="E13"/>
    </sheetView>
  </sheetViews>
  <sheetFormatPr baseColWidth="10" defaultRowHeight="15" x14ac:dyDescent="0.25"/>
  <cols>
    <col min="1" max="1" width="8.140625" customWidth="1"/>
    <col min="2" max="2" width="10.7109375" style="15" customWidth="1"/>
    <col min="3" max="3" width="16.28515625" style="16" customWidth="1"/>
    <col min="4" max="4" width="12.42578125" customWidth="1"/>
    <col min="5" max="5" width="11.42578125" style="15"/>
    <col min="6" max="6" width="17.85546875" style="15" bestFit="1" customWidth="1"/>
    <col min="7" max="7" width="4.85546875" customWidth="1"/>
    <col min="8" max="8" width="11.42578125" style="15"/>
    <col min="9" max="9" width="14.140625" style="15" customWidth="1"/>
    <col min="10" max="10" width="11.42578125" style="15"/>
    <col min="11" max="11" width="14.140625" style="15" bestFit="1" customWidth="1"/>
    <col min="12" max="12" width="14.140625" style="16" bestFit="1" customWidth="1"/>
  </cols>
  <sheetData>
    <row r="1" spans="1:12" ht="24" thickBot="1" x14ac:dyDescent="0.4">
      <c r="C1" s="102" t="s">
        <v>29</v>
      </c>
      <c r="D1" s="102"/>
      <c r="E1" s="102"/>
      <c r="F1" s="102"/>
      <c r="G1" s="102"/>
      <c r="H1" s="102"/>
      <c r="I1" s="102"/>
      <c r="J1" s="102"/>
    </row>
    <row r="2" spans="1:12" ht="15.75" thickBot="1" x14ac:dyDescent="0.3">
      <c r="C2" s="17" t="s">
        <v>30</v>
      </c>
      <c r="E2" s="18"/>
      <c r="F2" s="18"/>
    </row>
    <row r="3" spans="1:12" ht="20.25" thickTop="1" thickBot="1" x14ac:dyDescent="0.35">
      <c r="A3" s="19" t="s">
        <v>31</v>
      </c>
      <c r="B3" s="20"/>
      <c r="C3" s="21">
        <v>295319.14</v>
      </c>
      <c r="D3" s="22"/>
      <c r="E3" s="103" t="s">
        <v>32</v>
      </c>
      <c r="F3" s="104"/>
      <c r="I3" s="105" t="s">
        <v>33</v>
      </c>
      <c r="J3" s="106"/>
      <c r="K3" s="107"/>
      <c r="L3" s="23" t="s">
        <v>34</v>
      </c>
    </row>
    <row r="4" spans="1:12" ht="15.75" thickTop="1" x14ac:dyDescent="0.25">
      <c r="B4" s="24">
        <v>42156</v>
      </c>
      <c r="C4" s="25">
        <v>873.5</v>
      </c>
      <c r="D4" s="26" t="s">
        <v>35</v>
      </c>
      <c r="E4" s="27">
        <v>42156</v>
      </c>
      <c r="F4" s="28">
        <v>182539.5</v>
      </c>
      <c r="G4" s="29"/>
      <c r="H4" s="30">
        <v>42156</v>
      </c>
      <c r="I4" s="31">
        <v>0</v>
      </c>
      <c r="J4" s="32"/>
      <c r="K4" s="33"/>
      <c r="L4" s="34">
        <v>201230</v>
      </c>
    </row>
    <row r="5" spans="1:12" x14ac:dyDescent="0.25">
      <c r="B5" s="24">
        <v>42157</v>
      </c>
      <c r="C5" s="25">
        <v>8817.6</v>
      </c>
      <c r="D5" s="35" t="s">
        <v>36</v>
      </c>
      <c r="E5" s="36">
        <v>42157</v>
      </c>
      <c r="F5" s="28">
        <v>132741</v>
      </c>
      <c r="G5" s="37"/>
      <c r="H5" s="38">
        <v>42157</v>
      </c>
      <c r="I5" s="31">
        <v>0</v>
      </c>
      <c r="J5" s="39" t="s">
        <v>37</v>
      </c>
      <c r="K5" s="40">
        <v>649</v>
      </c>
      <c r="L5" s="34">
        <v>123923.4</v>
      </c>
    </row>
    <row r="6" spans="1:12" x14ac:dyDescent="0.25">
      <c r="B6" s="24">
        <v>42158</v>
      </c>
      <c r="C6" s="25">
        <v>15124</v>
      </c>
      <c r="D6" s="35" t="s">
        <v>38</v>
      </c>
      <c r="E6" s="36">
        <v>42158</v>
      </c>
      <c r="F6" s="28">
        <v>83408</v>
      </c>
      <c r="G6" s="29"/>
      <c r="H6" s="38">
        <v>42158</v>
      </c>
      <c r="I6" s="31">
        <v>0</v>
      </c>
      <c r="J6" s="41" t="s">
        <v>39</v>
      </c>
      <c r="K6" s="40">
        <v>10000</v>
      </c>
      <c r="L6" s="34">
        <v>74380</v>
      </c>
    </row>
    <row r="7" spans="1:12" x14ac:dyDescent="0.25">
      <c r="B7" s="24">
        <v>42159</v>
      </c>
      <c r="C7" s="25">
        <v>2440</v>
      </c>
      <c r="D7" s="42" t="s">
        <v>40</v>
      </c>
      <c r="E7" s="36">
        <v>42159</v>
      </c>
      <c r="F7" s="28">
        <v>150620.5</v>
      </c>
      <c r="G7" s="29"/>
      <c r="H7" s="38">
        <v>42159</v>
      </c>
      <c r="I7" s="31">
        <v>70</v>
      </c>
      <c r="J7" s="39" t="s">
        <v>41</v>
      </c>
      <c r="K7" s="40">
        <v>28750</v>
      </c>
      <c r="L7" s="34">
        <v>148110.5</v>
      </c>
    </row>
    <row r="8" spans="1:12" x14ac:dyDescent="0.25">
      <c r="B8" s="24">
        <v>42160</v>
      </c>
      <c r="C8" s="25">
        <v>0</v>
      </c>
      <c r="D8" s="42"/>
      <c r="E8" s="36">
        <v>42160</v>
      </c>
      <c r="F8" s="28">
        <v>233309.5</v>
      </c>
      <c r="G8" s="29"/>
      <c r="H8" s="38">
        <v>42160</v>
      </c>
      <c r="I8" s="31">
        <v>0</v>
      </c>
      <c r="J8" s="39" t="s">
        <v>42</v>
      </c>
      <c r="K8" s="28">
        <v>11403.22</v>
      </c>
      <c r="L8" s="34">
        <v>233309.5</v>
      </c>
    </row>
    <row r="9" spans="1:12" x14ac:dyDescent="0.25">
      <c r="B9" s="24">
        <v>42161</v>
      </c>
      <c r="C9" s="25">
        <v>2769</v>
      </c>
      <c r="D9" s="42" t="s">
        <v>43</v>
      </c>
      <c r="E9" s="36">
        <v>42161</v>
      </c>
      <c r="F9" s="28">
        <v>193635.5</v>
      </c>
      <c r="G9" s="29"/>
      <c r="H9" s="38">
        <v>42161</v>
      </c>
      <c r="I9" s="31">
        <v>0</v>
      </c>
      <c r="J9" s="39" t="s">
        <v>44</v>
      </c>
      <c r="K9" s="28">
        <v>11235.4</v>
      </c>
      <c r="L9" s="34">
        <v>190866.5</v>
      </c>
    </row>
    <row r="10" spans="1:12" x14ac:dyDescent="0.25">
      <c r="A10" s="43"/>
      <c r="B10" s="24">
        <v>42162</v>
      </c>
      <c r="C10" s="25">
        <v>7819</v>
      </c>
      <c r="D10" s="42" t="s">
        <v>38</v>
      </c>
      <c r="E10" s="36">
        <v>42162</v>
      </c>
      <c r="F10" s="28">
        <v>65936.5</v>
      </c>
      <c r="G10" s="29"/>
      <c r="H10" s="38">
        <v>42162</v>
      </c>
      <c r="I10" s="31">
        <v>100</v>
      </c>
      <c r="J10" s="39" t="s">
        <v>45</v>
      </c>
      <c r="K10" s="28">
        <v>11235.4</v>
      </c>
      <c r="L10" s="34">
        <v>58017.5</v>
      </c>
    </row>
    <row r="11" spans="1:12" x14ac:dyDescent="0.25">
      <c r="B11" s="24">
        <v>42163</v>
      </c>
      <c r="C11" s="25">
        <v>59024</v>
      </c>
      <c r="D11" s="42" t="s">
        <v>38</v>
      </c>
      <c r="E11" s="36">
        <v>42163</v>
      </c>
      <c r="F11" s="28">
        <v>202079.5</v>
      </c>
      <c r="G11" s="29"/>
      <c r="H11" s="38">
        <v>42163</v>
      </c>
      <c r="I11" s="31">
        <v>0</v>
      </c>
      <c r="J11" s="39" t="s">
        <v>46</v>
      </c>
      <c r="K11" s="28">
        <v>10802.07</v>
      </c>
      <c r="L11" s="34">
        <v>143055</v>
      </c>
    </row>
    <row r="12" spans="1:12" x14ac:dyDescent="0.25">
      <c r="A12" s="44"/>
      <c r="B12" s="24">
        <v>42164</v>
      </c>
      <c r="C12" s="25">
        <v>3204</v>
      </c>
      <c r="D12" s="42" t="s">
        <v>4</v>
      </c>
      <c r="E12" s="36">
        <v>42164</v>
      </c>
      <c r="F12" s="28">
        <v>144952</v>
      </c>
      <c r="G12" s="29"/>
      <c r="H12" s="38">
        <v>42164</v>
      </c>
      <c r="I12" s="31">
        <v>0</v>
      </c>
      <c r="J12" s="39" t="s">
        <v>47</v>
      </c>
      <c r="K12" s="28">
        <v>0</v>
      </c>
      <c r="L12" s="34">
        <v>147133.5</v>
      </c>
    </row>
    <row r="13" spans="1:12" x14ac:dyDescent="0.25">
      <c r="A13" s="44"/>
      <c r="B13" s="24">
        <v>42165</v>
      </c>
      <c r="C13" s="25">
        <v>8517.2000000000007</v>
      </c>
      <c r="D13" s="45" t="s">
        <v>48</v>
      </c>
      <c r="E13" s="36">
        <v>42165</v>
      </c>
      <c r="F13" s="28">
        <v>111553.5</v>
      </c>
      <c r="G13" s="29"/>
      <c r="H13" s="38">
        <v>42165</v>
      </c>
      <c r="I13" s="31">
        <v>0</v>
      </c>
      <c r="J13" s="46" t="s">
        <v>49</v>
      </c>
      <c r="K13" s="28">
        <v>800</v>
      </c>
      <c r="L13" s="34">
        <v>102236.5</v>
      </c>
    </row>
    <row r="14" spans="1:12" x14ac:dyDescent="0.25">
      <c r="B14" s="24">
        <v>42166</v>
      </c>
      <c r="C14" s="25">
        <v>13378.4</v>
      </c>
      <c r="D14" s="42" t="s">
        <v>50</v>
      </c>
      <c r="E14" s="36">
        <v>42166</v>
      </c>
      <c r="F14" s="28">
        <v>157316.5</v>
      </c>
      <c r="G14" s="29"/>
      <c r="H14" s="38">
        <v>42166</v>
      </c>
      <c r="I14" s="31">
        <v>60</v>
      </c>
      <c r="J14" s="47">
        <v>42165</v>
      </c>
      <c r="K14" s="28">
        <v>0</v>
      </c>
      <c r="L14" s="34">
        <v>143878</v>
      </c>
    </row>
    <row r="15" spans="1:12" x14ac:dyDescent="0.25">
      <c r="A15" s="44"/>
      <c r="B15" s="24">
        <v>42167</v>
      </c>
      <c r="C15" s="25">
        <v>0</v>
      </c>
      <c r="D15" s="42"/>
      <c r="E15" s="36">
        <v>42167</v>
      </c>
      <c r="F15" s="28">
        <v>194492.5</v>
      </c>
      <c r="G15" s="29"/>
      <c r="H15" s="38">
        <v>42167</v>
      </c>
      <c r="I15" s="31">
        <v>0</v>
      </c>
      <c r="J15" s="48"/>
      <c r="K15" s="28">
        <v>0</v>
      </c>
      <c r="L15" s="34">
        <v>208520.5</v>
      </c>
    </row>
    <row r="16" spans="1:12" x14ac:dyDescent="0.25">
      <c r="A16" s="44"/>
      <c r="B16" s="24">
        <v>42168</v>
      </c>
      <c r="C16" s="25">
        <v>48565</v>
      </c>
      <c r="D16" s="42" t="s">
        <v>51</v>
      </c>
      <c r="E16" s="36">
        <v>42168</v>
      </c>
      <c r="F16" s="28">
        <v>179962.5</v>
      </c>
      <c r="G16" s="29"/>
      <c r="H16" s="38">
        <v>42168</v>
      </c>
      <c r="I16" s="31">
        <v>0</v>
      </c>
      <c r="J16" s="39"/>
      <c r="K16" s="28">
        <v>0</v>
      </c>
      <c r="L16" s="34">
        <v>131397.5</v>
      </c>
    </row>
    <row r="17" spans="1:12" x14ac:dyDescent="0.25">
      <c r="A17" s="44"/>
      <c r="B17" s="24">
        <v>42169</v>
      </c>
      <c r="C17" s="25">
        <v>667.6</v>
      </c>
      <c r="D17" s="42" t="s">
        <v>52</v>
      </c>
      <c r="E17" s="36">
        <v>42169</v>
      </c>
      <c r="F17" s="28">
        <v>141642</v>
      </c>
      <c r="G17" s="29"/>
      <c r="H17" s="38">
        <v>42169</v>
      </c>
      <c r="I17" s="31">
        <v>0</v>
      </c>
      <c r="J17" s="39"/>
      <c r="K17" s="28">
        <v>0</v>
      </c>
      <c r="L17" s="34">
        <v>140974.5</v>
      </c>
    </row>
    <row r="18" spans="1:12" x14ac:dyDescent="0.25">
      <c r="B18" s="24">
        <v>42170</v>
      </c>
      <c r="C18" s="25">
        <v>2558</v>
      </c>
      <c r="D18" s="42" t="s">
        <v>53</v>
      </c>
      <c r="E18" s="36">
        <v>42170</v>
      </c>
      <c r="F18" s="28">
        <v>216523</v>
      </c>
      <c r="G18" s="29"/>
      <c r="H18" s="38">
        <v>42170</v>
      </c>
      <c r="I18" s="31">
        <v>0</v>
      </c>
      <c r="J18" s="46"/>
      <c r="K18" s="40">
        <v>0</v>
      </c>
      <c r="L18" s="34">
        <v>213965</v>
      </c>
    </row>
    <row r="19" spans="1:12" x14ac:dyDescent="0.25">
      <c r="A19" s="44"/>
      <c r="B19" s="24">
        <v>42171</v>
      </c>
      <c r="C19" s="25">
        <v>6626</v>
      </c>
      <c r="D19" s="42" t="s">
        <v>54</v>
      </c>
      <c r="E19" s="36">
        <v>42171</v>
      </c>
      <c r="F19" s="28">
        <v>143271.5</v>
      </c>
      <c r="G19" s="29"/>
      <c r="H19" s="38">
        <v>42171</v>
      </c>
      <c r="I19" s="31">
        <v>0</v>
      </c>
      <c r="J19" s="49"/>
      <c r="K19" s="28">
        <v>0</v>
      </c>
      <c r="L19" s="34">
        <v>136645.5</v>
      </c>
    </row>
    <row r="20" spans="1:12" x14ac:dyDescent="0.25">
      <c r="B20" s="24">
        <v>42172</v>
      </c>
      <c r="C20" s="25">
        <v>0</v>
      </c>
      <c r="D20" s="42" t="s">
        <v>55</v>
      </c>
      <c r="E20" s="36">
        <v>42172</v>
      </c>
      <c r="F20" s="28">
        <v>92265</v>
      </c>
      <c r="G20" s="29"/>
      <c r="H20" s="38">
        <v>42172</v>
      </c>
      <c r="I20" s="31">
        <v>127</v>
      </c>
      <c r="J20" s="49"/>
      <c r="K20" s="28">
        <v>0</v>
      </c>
      <c r="L20" s="34">
        <v>92138</v>
      </c>
    </row>
    <row r="21" spans="1:12" x14ac:dyDescent="0.25">
      <c r="B21" s="24">
        <v>42173</v>
      </c>
      <c r="C21" s="25">
        <v>24533</v>
      </c>
      <c r="D21" s="26" t="s">
        <v>51</v>
      </c>
      <c r="E21" s="36">
        <v>42173</v>
      </c>
      <c r="F21" s="28">
        <v>110973.5</v>
      </c>
      <c r="G21" s="29"/>
      <c r="H21" s="38">
        <v>42173</v>
      </c>
      <c r="I21" s="31">
        <v>0</v>
      </c>
      <c r="J21" s="39"/>
      <c r="K21" s="40">
        <v>0</v>
      </c>
      <c r="L21" s="34">
        <v>86440.5</v>
      </c>
    </row>
    <row r="22" spans="1:12" x14ac:dyDescent="0.25">
      <c r="B22" s="24">
        <v>42174</v>
      </c>
      <c r="C22" s="25">
        <v>323</v>
      </c>
      <c r="D22" s="26" t="s">
        <v>56</v>
      </c>
      <c r="E22" s="36">
        <v>42174</v>
      </c>
      <c r="F22" s="28">
        <v>165978</v>
      </c>
      <c r="G22" s="37"/>
      <c r="H22" s="38">
        <v>42174</v>
      </c>
      <c r="I22" s="31">
        <v>0</v>
      </c>
      <c r="J22" s="39"/>
      <c r="K22" s="40">
        <v>0</v>
      </c>
      <c r="L22" s="34">
        <v>165655</v>
      </c>
    </row>
    <row r="23" spans="1:12" x14ac:dyDescent="0.25">
      <c r="A23" s="44"/>
      <c r="B23" s="24">
        <v>42175</v>
      </c>
      <c r="C23" s="25">
        <v>11057</v>
      </c>
      <c r="D23" s="26" t="s">
        <v>57</v>
      </c>
      <c r="E23" s="36">
        <v>42175</v>
      </c>
      <c r="F23" s="28">
        <v>152635</v>
      </c>
      <c r="G23" s="29"/>
      <c r="H23" s="38">
        <v>42175</v>
      </c>
      <c r="I23" s="31">
        <v>0</v>
      </c>
      <c r="J23" s="48"/>
      <c r="K23" s="28">
        <v>0</v>
      </c>
      <c r="L23" s="34">
        <v>141578</v>
      </c>
    </row>
    <row r="24" spans="1:12" x14ac:dyDescent="0.25">
      <c r="A24" s="44"/>
      <c r="B24" s="24">
        <v>42176</v>
      </c>
      <c r="C24" s="25">
        <v>497</v>
      </c>
      <c r="D24" s="26" t="s">
        <v>56</v>
      </c>
      <c r="E24" s="36">
        <v>42176</v>
      </c>
      <c r="F24" s="28">
        <v>66483.5</v>
      </c>
      <c r="G24" s="29"/>
      <c r="H24" s="38">
        <v>42176</v>
      </c>
      <c r="I24" s="31">
        <v>0</v>
      </c>
      <c r="J24" s="50"/>
      <c r="K24" s="40"/>
      <c r="L24" s="34">
        <v>65986.5</v>
      </c>
    </row>
    <row r="25" spans="1:12" x14ac:dyDescent="0.25">
      <c r="B25" s="24">
        <v>42177</v>
      </c>
      <c r="C25" s="25">
        <v>11463</v>
      </c>
      <c r="D25" s="42" t="s">
        <v>58</v>
      </c>
      <c r="E25" s="36">
        <v>42177</v>
      </c>
      <c r="F25" s="28">
        <v>220493</v>
      </c>
      <c r="G25" s="29"/>
      <c r="H25" s="38">
        <v>42177</v>
      </c>
      <c r="I25" s="31">
        <v>110</v>
      </c>
      <c r="J25" s="39"/>
      <c r="K25" s="40"/>
      <c r="L25" s="34">
        <v>208920</v>
      </c>
    </row>
    <row r="26" spans="1:12" x14ac:dyDescent="0.25">
      <c r="B26" s="24">
        <v>42178</v>
      </c>
      <c r="C26" s="25">
        <v>48093</v>
      </c>
      <c r="D26" s="42" t="s">
        <v>59</v>
      </c>
      <c r="E26" s="36">
        <v>42178</v>
      </c>
      <c r="F26" s="28">
        <v>93973</v>
      </c>
      <c r="G26" s="29"/>
      <c r="H26" s="38">
        <v>42178</v>
      </c>
      <c r="I26" s="31">
        <v>2100</v>
      </c>
      <c r="J26" s="51"/>
      <c r="K26" s="40"/>
      <c r="L26" s="34">
        <v>43780</v>
      </c>
    </row>
    <row r="27" spans="1:12" x14ac:dyDescent="0.25">
      <c r="B27" s="24">
        <v>42179</v>
      </c>
      <c r="C27" s="25">
        <v>0</v>
      </c>
      <c r="D27" s="42"/>
      <c r="E27" s="36">
        <v>42179</v>
      </c>
      <c r="F27" s="28">
        <v>122093</v>
      </c>
      <c r="G27" s="29"/>
      <c r="H27" s="38">
        <v>42179</v>
      </c>
      <c r="I27" s="31">
        <v>0</v>
      </c>
      <c r="J27" s="39"/>
      <c r="K27" s="40"/>
      <c r="L27" s="34">
        <v>122093</v>
      </c>
    </row>
    <row r="28" spans="1:12" x14ac:dyDescent="0.25">
      <c r="B28" s="24">
        <v>42180</v>
      </c>
      <c r="C28" s="25">
        <v>12315</v>
      </c>
      <c r="D28" s="42" t="s">
        <v>60</v>
      </c>
      <c r="E28" s="36">
        <v>42180</v>
      </c>
      <c r="F28" s="28">
        <v>78676</v>
      </c>
      <c r="G28" s="29"/>
      <c r="H28" s="38">
        <v>42180</v>
      </c>
      <c r="I28" s="31">
        <v>0</v>
      </c>
      <c r="J28" s="39"/>
      <c r="K28" s="40"/>
      <c r="L28" s="34">
        <f>62500+3861</f>
        <v>66361</v>
      </c>
    </row>
    <row r="29" spans="1:12" x14ac:dyDescent="0.25">
      <c r="B29" s="24">
        <v>42181</v>
      </c>
      <c r="C29" s="25">
        <v>8909</v>
      </c>
      <c r="D29" s="42" t="s">
        <v>61</v>
      </c>
      <c r="E29" s="36">
        <v>42181</v>
      </c>
      <c r="F29" s="28">
        <v>157522</v>
      </c>
      <c r="G29" s="29"/>
      <c r="H29" s="38">
        <v>42181</v>
      </c>
      <c r="I29" s="31">
        <v>60</v>
      </c>
      <c r="J29" s="39"/>
      <c r="K29" s="40"/>
      <c r="L29" s="34">
        <v>148553</v>
      </c>
    </row>
    <row r="30" spans="1:12" x14ac:dyDescent="0.25">
      <c r="B30" s="24">
        <v>42182</v>
      </c>
      <c r="C30" s="25">
        <v>2959</v>
      </c>
      <c r="D30" s="42" t="s">
        <v>62</v>
      </c>
      <c r="E30" s="36">
        <v>42182</v>
      </c>
      <c r="F30" s="28">
        <v>181722</v>
      </c>
      <c r="G30" s="29"/>
      <c r="H30" s="38">
        <v>42182</v>
      </c>
      <c r="I30" s="31">
        <v>0</v>
      </c>
      <c r="J30" s="39"/>
      <c r="K30" s="40"/>
      <c r="L30" s="34">
        <v>178763</v>
      </c>
    </row>
    <row r="31" spans="1:12" x14ac:dyDescent="0.25">
      <c r="B31" s="24">
        <v>42183</v>
      </c>
      <c r="C31" s="25">
        <v>18787</v>
      </c>
      <c r="D31" s="42" t="s">
        <v>63</v>
      </c>
      <c r="E31" s="36">
        <v>42183</v>
      </c>
      <c r="F31" s="28">
        <v>56632.5</v>
      </c>
      <c r="G31" s="29"/>
      <c r="H31" s="38">
        <v>42183</v>
      </c>
      <c r="I31" s="31">
        <v>100</v>
      </c>
      <c r="J31" s="39"/>
      <c r="K31" s="40"/>
      <c r="L31" s="34">
        <v>37745.5</v>
      </c>
    </row>
    <row r="32" spans="1:12" x14ac:dyDescent="0.25">
      <c r="B32" s="24">
        <v>42184</v>
      </c>
      <c r="C32" s="25">
        <v>11406</v>
      </c>
      <c r="D32" s="35" t="s">
        <v>64</v>
      </c>
      <c r="E32" s="36">
        <v>42184</v>
      </c>
      <c r="F32" s="28">
        <v>117188.5</v>
      </c>
      <c r="G32" s="29"/>
      <c r="H32" s="38">
        <v>42184</v>
      </c>
      <c r="I32" s="31">
        <v>0</v>
      </c>
      <c r="J32" s="39"/>
      <c r="K32" s="40"/>
      <c r="L32" s="34">
        <v>105782.5</v>
      </c>
    </row>
    <row r="33" spans="1:12" x14ac:dyDescent="0.25">
      <c r="B33" s="24">
        <v>42185</v>
      </c>
      <c r="C33" s="25">
        <v>0</v>
      </c>
      <c r="D33" s="42"/>
      <c r="E33" s="36">
        <v>42185</v>
      </c>
      <c r="F33" s="28">
        <v>81899.5</v>
      </c>
      <c r="G33" s="29"/>
      <c r="H33" s="38">
        <v>42185</v>
      </c>
      <c r="I33" s="31">
        <v>0</v>
      </c>
      <c r="J33" s="39"/>
      <c r="K33" s="40"/>
      <c r="L33" s="34">
        <v>81899.5</v>
      </c>
    </row>
    <row r="34" spans="1:12" ht="15.75" thickBot="1" x14ac:dyDescent="0.3">
      <c r="A34" s="44"/>
      <c r="B34" s="24"/>
      <c r="C34" s="25"/>
      <c r="D34" s="42"/>
      <c r="E34" s="36"/>
      <c r="F34" s="28">
        <v>0</v>
      </c>
      <c r="G34" s="29"/>
      <c r="H34" s="38"/>
      <c r="I34" s="31">
        <v>0</v>
      </c>
      <c r="J34" s="39"/>
      <c r="K34" s="40"/>
      <c r="L34" s="34">
        <v>0</v>
      </c>
    </row>
    <row r="35" spans="1:12" ht="15.75" thickBot="1" x14ac:dyDescent="0.3">
      <c r="A35" s="52"/>
      <c r="B35" s="53"/>
      <c r="C35" s="54">
        <v>0</v>
      </c>
      <c r="D35" s="55"/>
      <c r="E35" s="56"/>
      <c r="F35" s="40">
        <v>0</v>
      </c>
      <c r="H35" s="57"/>
      <c r="I35" s="58">
        <v>0</v>
      </c>
      <c r="J35" s="39"/>
      <c r="K35" s="40"/>
      <c r="L35" s="59">
        <v>0</v>
      </c>
    </row>
    <row r="36" spans="1:12" ht="15.75" thickBot="1" x14ac:dyDescent="0.3">
      <c r="A36" s="60"/>
      <c r="B36" s="61" t="s">
        <v>30</v>
      </c>
      <c r="C36" s="62">
        <v>0</v>
      </c>
      <c r="D36" s="55"/>
      <c r="E36" s="63"/>
      <c r="F36" s="64">
        <v>0</v>
      </c>
      <c r="H36" s="65"/>
      <c r="I36" s="66">
        <v>0</v>
      </c>
      <c r="J36" s="67"/>
      <c r="K36" s="64"/>
      <c r="L36" s="68">
        <v>0</v>
      </c>
    </row>
    <row r="37" spans="1:12" x14ac:dyDescent="0.25">
      <c r="B37" s="69" t="s">
        <v>13</v>
      </c>
      <c r="C37" s="70">
        <f>SUM(C4:C36)</f>
        <v>330725.30000000005</v>
      </c>
      <c r="D37" s="55"/>
      <c r="E37" s="71" t="s">
        <v>13</v>
      </c>
      <c r="F37" s="72">
        <f>SUM(F4:F36)</f>
        <v>4232518</v>
      </c>
      <c r="H37" s="15" t="s">
        <v>13</v>
      </c>
      <c r="I37" s="73">
        <f>SUM(I4:I36)</f>
        <v>2727</v>
      </c>
      <c r="J37" s="73"/>
      <c r="K37" s="73">
        <f t="shared" ref="K37" si="0">SUM(K4:K36)</f>
        <v>84875.09</v>
      </c>
      <c r="L37" s="16">
        <f>SUM(L4:L36)</f>
        <v>3943338.9</v>
      </c>
    </row>
    <row r="38" spans="1:12" x14ac:dyDescent="0.25">
      <c r="A38" s="108"/>
      <c r="B38" s="108"/>
      <c r="C38" s="59"/>
      <c r="I38" s="73"/>
      <c r="K38" s="73"/>
    </row>
    <row r="39" spans="1:12" ht="15.75" x14ac:dyDescent="0.25">
      <c r="A39" s="74"/>
      <c r="B39" s="75"/>
      <c r="C39" s="59"/>
      <c r="D39" s="76"/>
      <c r="E39" s="75"/>
      <c r="F39" s="75"/>
      <c r="H39" s="109" t="s">
        <v>65</v>
      </c>
      <c r="I39" s="110"/>
      <c r="J39" s="111">
        <f>I37+K37</f>
        <v>87602.09</v>
      </c>
      <c r="K39" s="112"/>
      <c r="L39" s="77"/>
    </row>
    <row r="40" spans="1:12" ht="15.75" x14ac:dyDescent="0.25">
      <c r="A40" s="97"/>
      <c r="B40" s="97"/>
      <c r="C40" s="59"/>
      <c r="D40" s="98" t="s">
        <v>66</v>
      </c>
      <c r="E40" s="98"/>
      <c r="F40" s="78">
        <f>F37-J39-C37</f>
        <v>3814190.6100000003</v>
      </c>
      <c r="I40" s="79"/>
    </row>
    <row r="41" spans="1:12" x14ac:dyDescent="0.25">
      <c r="A41" s="76"/>
      <c r="B41" s="75"/>
      <c r="C41" s="59"/>
      <c r="D41" s="76"/>
      <c r="E41" s="75"/>
      <c r="F41" s="78">
        <v>0</v>
      </c>
    </row>
    <row r="42" spans="1:12" ht="15.75" thickBot="1" x14ac:dyDescent="0.3">
      <c r="E42" s="80" t="s">
        <v>67</v>
      </c>
      <c r="F42" s="81">
        <v>-4244451.84</v>
      </c>
      <c r="I42" s="82" t="s">
        <v>68</v>
      </c>
      <c r="J42" s="83"/>
      <c r="K42" s="81">
        <v>453629.27</v>
      </c>
    </row>
    <row r="43" spans="1:12" ht="15.75" thickTop="1" x14ac:dyDescent="0.25">
      <c r="E43" s="15" t="s">
        <v>69</v>
      </c>
      <c r="F43" s="73">
        <f>SUM(F40:F42)</f>
        <v>-430261.22999999952</v>
      </c>
      <c r="K43" s="73">
        <f>F45+K42</f>
        <v>62961.040000000503</v>
      </c>
    </row>
    <row r="44" spans="1:12" ht="15.75" thickBot="1" x14ac:dyDescent="0.3">
      <c r="D44" s="71" t="s">
        <v>70</v>
      </c>
      <c r="E44" s="71"/>
      <c r="F44" s="84">
        <v>39593</v>
      </c>
      <c r="I44" s="15" t="s">
        <v>31</v>
      </c>
      <c r="J44" s="85"/>
      <c r="K44" s="86">
        <v>-295319.14</v>
      </c>
    </row>
    <row r="45" spans="1:12" ht="20.25" thickTop="1" thickBot="1" x14ac:dyDescent="0.35">
      <c r="E45" s="69" t="s">
        <v>71</v>
      </c>
      <c r="F45" s="87">
        <f>F44+F43</f>
        <v>-390668.22999999952</v>
      </c>
      <c r="I45" s="99" t="s">
        <v>72</v>
      </c>
      <c r="J45" s="100"/>
      <c r="K45" s="88">
        <f>K43+K44</f>
        <v>-232358.09999999951</v>
      </c>
    </row>
    <row r="46" spans="1:12" ht="15.75" thickTop="1" x14ac:dyDescent="0.25"/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 s="101"/>
      <c r="I52" s="101"/>
      <c r="J52" s="89"/>
      <c r="K52" s="90"/>
      <c r="L52"/>
    </row>
    <row r="53" spans="2:12" x14ac:dyDescent="0.25">
      <c r="B53"/>
      <c r="C53"/>
      <c r="E53"/>
      <c r="F53"/>
      <c r="H53" s="101"/>
      <c r="I53" s="101"/>
      <c r="J53" s="89"/>
      <c r="K53" s="90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  <row r="111" spans="2:12" x14ac:dyDescent="0.25">
      <c r="B111"/>
      <c r="C111"/>
      <c r="E111"/>
      <c r="F111"/>
      <c r="H111"/>
      <c r="I111"/>
      <c r="J111"/>
      <c r="K111"/>
      <c r="L111"/>
    </row>
    <row r="112" spans="2:12" x14ac:dyDescent="0.25">
      <c r="B112"/>
      <c r="C112"/>
      <c r="E112"/>
      <c r="F112"/>
      <c r="H112"/>
      <c r="I112"/>
      <c r="J112"/>
      <c r="K112"/>
      <c r="L112"/>
    </row>
    <row r="113" spans="1:12" x14ac:dyDescent="0.25">
      <c r="B113"/>
      <c r="C113"/>
      <c r="E113"/>
      <c r="F113"/>
      <c r="H113"/>
      <c r="I113"/>
      <c r="J113"/>
      <c r="K113"/>
      <c r="L113"/>
    </row>
    <row r="114" spans="1:12" x14ac:dyDescent="0.25">
      <c r="B114"/>
      <c r="C114"/>
      <c r="E114"/>
      <c r="F114"/>
      <c r="H114"/>
      <c r="I114"/>
      <c r="J114"/>
      <c r="K114"/>
      <c r="L114"/>
    </row>
    <row r="115" spans="1:12" x14ac:dyDescent="0.25">
      <c r="B115"/>
      <c r="C115"/>
      <c r="E115"/>
      <c r="F115"/>
      <c r="H115"/>
      <c r="I115"/>
      <c r="J115"/>
      <c r="K115"/>
      <c r="L115"/>
    </row>
    <row r="116" spans="1:12" x14ac:dyDescent="0.25">
      <c r="B116"/>
      <c r="C116"/>
      <c r="E116"/>
      <c r="F116"/>
      <c r="H116"/>
      <c r="I116"/>
      <c r="J116"/>
      <c r="K116"/>
      <c r="L116"/>
    </row>
    <row r="117" spans="1:12" x14ac:dyDescent="0.25">
      <c r="B117"/>
      <c r="C117"/>
      <c r="E117"/>
      <c r="F117"/>
      <c r="H117"/>
      <c r="I117"/>
      <c r="J117"/>
      <c r="K117"/>
      <c r="L117"/>
    </row>
    <row r="118" spans="1:12" x14ac:dyDescent="0.25">
      <c r="B118"/>
      <c r="C118"/>
      <c r="E118"/>
      <c r="F118"/>
      <c r="H118"/>
      <c r="I118"/>
      <c r="J118"/>
      <c r="K118"/>
      <c r="L118"/>
    </row>
    <row r="119" spans="1:12" x14ac:dyDescent="0.25">
      <c r="B119"/>
      <c r="C119"/>
      <c r="E119"/>
      <c r="F119"/>
      <c r="H119"/>
      <c r="I119"/>
      <c r="J119"/>
      <c r="K119"/>
      <c r="L119"/>
    </row>
    <row r="120" spans="1:12" x14ac:dyDescent="0.25">
      <c r="B120"/>
      <c r="C120"/>
      <c r="E120"/>
      <c r="F120"/>
      <c r="H120"/>
      <c r="I120"/>
      <c r="J120"/>
      <c r="K120"/>
      <c r="L120"/>
    </row>
    <row r="121" spans="1:12" x14ac:dyDescent="0.25">
      <c r="B121"/>
      <c r="C121"/>
      <c r="E121"/>
      <c r="F121"/>
      <c r="H121"/>
      <c r="I121"/>
      <c r="J121"/>
      <c r="K121"/>
      <c r="L121"/>
    </row>
    <row r="122" spans="1:12" x14ac:dyDescent="0.25">
      <c r="B122"/>
      <c r="C122"/>
      <c r="E122"/>
      <c r="F122"/>
      <c r="H122"/>
      <c r="I122"/>
      <c r="J122"/>
      <c r="K122"/>
      <c r="L122"/>
    </row>
    <row r="123" spans="1:12" x14ac:dyDescent="0.25">
      <c r="B123"/>
      <c r="C123"/>
      <c r="E123"/>
      <c r="F123"/>
      <c r="H123"/>
      <c r="I123"/>
      <c r="J123"/>
      <c r="K123"/>
      <c r="L123"/>
    </row>
    <row r="124" spans="1:12" x14ac:dyDescent="0.25">
      <c r="B124"/>
      <c r="C124"/>
      <c r="E124"/>
      <c r="F124"/>
      <c r="H124"/>
      <c r="I124"/>
      <c r="J124"/>
      <c r="K124"/>
      <c r="L124"/>
    </row>
    <row r="125" spans="1:12" x14ac:dyDescent="0.25">
      <c r="B125"/>
      <c r="C125"/>
      <c r="E125"/>
      <c r="F125"/>
      <c r="H125"/>
      <c r="I125"/>
      <c r="J125"/>
      <c r="K125"/>
      <c r="L125"/>
    </row>
    <row r="126" spans="1:12" x14ac:dyDescent="0.25">
      <c r="B126"/>
      <c r="C126"/>
      <c r="E126"/>
      <c r="F126"/>
      <c r="H126"/>
      <c r="I126"/>
      <c r="J126"/>
      <c r="K126"/>
      <c r="L126"/>
    </row>
    <row r="127" spans="1:12" x14ac:dyDescent="0.25">
      <c r="B127"/>
      <c r="C127"/>
      <c r="E127"/>
      <c r="F127"/>
      <c r="H127"/>
      <c r="I127"/>
      <c r="J127"/>
      <c r="K127"/>
      <c r="L127"/>
    </row>
    <row r="128" spans="1:12" x14ac:dyDescent="0.25">
      <c r="A128" s="91">
        <v>20794</v>
      </c>
      <c r="B128" s="92">
        <v>17851.400000000001</v>
      </c>
      <c r="C128"/>
      <c r="E128"/>
      <c r="F128"/>
      <c r="H128"/>
      <c r="I128"/>
      <c r="J128"/>
      <c r="K128"/>
      <c r="L128"/>
    </row>
    <row r="129" spans="1:12" x14ac:dyDescent="0.25">
      <c r="A129" s="91">
        <v>20801</v>
      </c>
      <c r="B129" s="92">
        <v>26809.47</v>
      </c>
      <c r="C129"/>
      <c r="E129"/>
      <c r="F129"/>
      <c r="H129"/>
      <c r="I129"/>
      <c r="J129"/>
      <c r="K129"/>
      <c r="L129"/>
    </row>
    <row r="130" spans="1:12" x14ac:dyDescent="0.25">
      <c r="A130" s="91">
        <v>20865</v>
      </c>
      <c r="B130" s="92">
        <v>139407.93</v>
      </c>
      <c r="C130"/>
      <c r="E130"/>
      <c r="F130"/>
      <c r="H130"/>
      <c r="I130"/>
      <c r="J130"/>
      <c r="K130"/>
      <c r="L130"/>
    </row>
    <row r="131" spans="1:12" x14ac:dyDescent="0.25">
      <c r="A131" s="91">
        <v>20875</v>
      </c>
      <c r="B131" s="92">
        <v>24013.4</v>
      </c>
      <c r="C131"/>
      <c r="E131"/>
      <c r="F131"/>
      <c r="H131"/>
      <c r="I131"/>
      <c r="J131"/>
      <c r="K131"/>
      <c r="L131"/>
    </row>
    <row r="132" spans="1:12" x14ac:dyDescent="0.25">
      <c r="A132" s="91">
        <v>20937</v>
      </c>
      <c r="B132" s="92">
        <v>38147.26</v>
      </c>
      <c r="C132"/>
      <c r="E132"/>
      <c r="F132"/>
      <c r="H132"/>
      <c r="I132"/>
      <c r="J132"/>
      <c r="K132"/>
      <c r="L132"/>
    </row>
    <row r="133" spans="1:12" x14ac:dyDescent="0.25">
      <c r="A133" s="91">
        <v>20939</v>
      </c>
      <c r="B133" s="93">
        <v>405306.8</v>
      </c>
      <c r="C133"/>
      <c r="E133"/>
      <c r="F133"/>
      <c r="H133"/>
      <c r="I133"/>
      <c r="J133"/>
      <c r="K133"/>
      <c r="L133"/>
    </row>
    <row r="134" spans="1:12" x14ac:dyDescent="0.25">
      <c r="A134" s="91">
        <v>20940</v>
      </c>
      <c r="B134" s="92">
        <v>115623.46</v>
      </c>
      <c r="C134"/>
      <c r="E134"/>
      <c r="F134"/>
      <c r="H134"/>
      <c r="I134"/>
      <c r="J134"/>
      <c r="K134"/>
      <c r="L134"/>
    </row>
    <row r="135" spans="1:12" x14ac:dyDescent="0.25">
      <c r="A135" s="91">
        <v>20965</v>
      </c>
      <c r="B135" s="92">
        <v>7401.6</v>
      </c>
      <c r="C135"/>
      <c r="E135"/>
      <c r="F135"/>
      <c r="H135"/>
      <c r="I135"/>
      <c r="J135"/>
      <c r="K135"/>
      <c r="L135"/>
    </row>
    <row r="136" spans="1:12" x14ac:dyDescent="0.25">
      <c r="A136" s="91">
        <v>21096</v>
      </c>
      <c r="B136" s="92">
        <v>25879.4</v>
      </c>
      <c r="C136"/>
      <c r="E136"/>
      <c r="F136"/>
      <c r="H136"/>
      <c r="I136"/>
      <c r="J136"/>
      <c r="K136"/>
      <c r="L136"/>
    </row>
    <row r="137" spans="1:12" x14ac:dyDescent="0.25">
      <c r="A137" s="91">
        <v>21136</v>
      </c>
      <c r="B137" s="92">
        <v>16434.599999999999</v>
      </c>
      <c r="C137"/>
      <c r="E137"/>
      <c r="F137"/>
      <c r="H137"/>
      <c r="I137"/>
      <c r="J137"/>
      <c r="K137"/>
      <c r="L137"/>
    </row>
    <row r="138" spans="1:12" x14ac:dyDescent="0.25">
      <c r="A138" s="91">
        <v>21225</v>
      </c>
      <c r="B138" s="92">
        <v>25797.3</v>
      </c>
      <c r="C138"/>
      <c r="E138"/>
      <c r="F138"/>
      <c r="H138"/>
      <c r="I138"/>
      <c r="J138"/>
      <c r="K138"/>
      <c r="L138"/>
    </row>
    <row r="139" spans="1:12" x14ac:dyDescent="0.25">
      <c r="A139" s="91">
        <v>21229</v>
      </c>
      <c r="B139" s="92">
        <v>19726</v>
      </c>
      <c r="C139"/>
      <c r="E139"/>
      <c r="F139"/>
      <c r="H139"/>
      <c r="I139"/>
      <c r="J139"/>
      <c r="K139"/>
      <c r="L139"/>
    </row>
    <row r="140" spans="1:12" x14ac:dyDescent="0.25">
      <c r="A140" s="91">
        <v>21306</v>
      </c>
      <c r="B140" s="92">
        <v>246506.31</v>
      </c>
      <c r="C140"/>
      <c r="E140"/>
      <c r="F140"/>
      <c r="H140"/>
      <c r="I140"/>
      <c r="J140"/>
      <c r="K140"/>
      <c r="L140"/>
    </row>
    <row r="141" spans="1:12" x14ac:dyDescent="0.25">
      <c r="A141" s="91">
        <v>21349</v>
      </c>
      <c r="B141" s="92">
        <v>14612.7</v>
      </c>
      <c r="C141"/>
      <c r="E141"/>
      <c r="F141"/>
      <c r="H141"/>
      <c r="I141"/>
      <c r="J141"/>
      <c r="K141"/>
      <c r="L141"/>
    </row>
    <row r="142" spans="1:12" x14ac:dyDescent="0.25">
      <c r="A142" s="91">
        <v>21388</v>
      </c>
      <c r="B142" s="92">
        <v>14554.3</v>
      </c>
      <c r="C142"/>
      <c r="E142"/>
      <c r="F142"/>
      <c r="H142"/>
      <c r="I142"/>
      <c r="J142"/>
      <c r="K142"/>
      <c r="L142"/>
    </row>
    <row r="143" spans="1:12" x14ac:dyDescent="0.25">
      <c r="A143" s="91">
        <v>21413</v>
      </c>
      <c r="B143" s="92">
        <v>73857.75</v>
      </c>
      <c r="C143"/>
      <c r="E143"/>
      <c r="F143"/>
      <c r="H143"/>
      <c r="I143"/>
      <c r="J143"/>
      <c r="K143"/>
      <c r="L143"/>
    </row>
    <row r="144" spans="1:12" x14ac:dyDescent="0.25">
      <c r="A144" s="91">
        <v>21539</v>
      </c>
      <c r="B144" s="92">
        <v>21928.799999999999</v>
      </c>
      <c r="C144"/>
      <c r="E144"/>
      <c r="F144"/>
      <c r="H144"/>
      <c r="I144"/>
      <c r="J144"/>
      <c r="K144"/>
      <c r="L144"/>
    </row>
    <row r="145" spans="1:12" x14ac:dyDescent="0.25">
      <c r="A145" s="91">
        <v>21571</v>
      </c>
      <c r="B145" s="92">
        <v>4699</v>
      </c>
      <c r="C145"/>
      <c r="E145"/>
      <c r="F145"/>
      <c r="H145"/>
      <c r="I145"/>
      <c r="J145"/>
      <c r="K145"/>
      <c r="L145"/>
    </row>
    <row r="146" spans="1:12" x14ac:dyDescent="0.25">
      <c r="A146" s="91">
        <v>21615</v>
      </c>
      <c r="B146" s="93">
        <v>20161.8</v>
      </c>
      <c r="C146"/>
      <c r="E146"/>
      <c r="F146"/>
      <c r="H146"/>
      <c r="I146"/>
      <c r="J146"/>
      <c r="K146"/>
      <c r="L146"/>
    </row>
    <row r="147" spans="1:12" x14ac:dyDescent="0.25">
      <c r="A147" s="91">
        <v>21685</v>
      </c>
      <c r="B147" s="92">
        <v>318802.8</v>
      </c>
      <c r="C147"/>
      <c r="E147"/>
      <c r="F147"/>
      <c r="H147"/>
      <c r="I147"/>
      <c r="J147"/>
      <c r="K147"/>
      <c r="L147"/>
    </row>
    <row r="148" spans="1:12" x14ac:dyDescent="0.25">
      <c r="A148" s="91">
        <v>21686</v>
      </c>
      <c r="B148" s="93">
        <v>210851.75</v>
      </c>
      <c r="C148"/>
      <c r="E148"/>
      <c r="F148"/>
      <c r="H148"/>
      <c r="I148"/>
      <c r="J148"/>
      <c r="K148"/>
      <c r="L148"/>
    </row>
    <row r="149" spans="1:12" x14ac:dyDescent="0.25">
      <c r="A149" s="91">
        <v>21723</v>
      </c>
      <c r="B149" s="92">
        <v>21672.6</v>
      </c>
      <c r="C149"/>
      <c r="E149"/>
      <c r="F149"/>
      <c r="H149"/>
      <c r="I149"/>
      <c r="J149"/>
      <c r="K149"/>
      <c r="L149"/>
    </row>
    <row r="150" spans="1:12" x14ac:dyDescent="0.25">
      <c r="A150" s="91">
        <v>21838</v>
      </c>
      <c r="B150" s="92">
        <v>2997.55</v>
      </c>
      <c r="C150"/>
      <c r="E150"/>
      <c r="F150"/>
      <c r="H150"/>
      <c r="I150"/>
      <c r="J150"/>
      <c r="K150"/>
      <c r="L150"/>
    </row>
    <row r="151" spans="1:12" x14ac:dyDescent="0.25">
      <c r="A151" s="91">
        <v>21908</v>
      </c>
      <c r="B151" s="92">
        <v>4191</v>
      </c>
      <c r="C151"/>
      <c r="E151"/>
      <c r="F151"/>
      <c r="H151"/>
      <c r="I151"/>
      <c r="J151"/>
      <c r="K151"/>
      <c r="L151"/>
    </row>
    <row r="152" spans="1:12" x14ac:dyDescent="0.25">
      <c r="A152" s="91">
        <v>21976</v>
      </c>
      <c r="B152" s="92">
        <v>28084.2</v>
      </c>
      <c r="C152"/>
      <c r="E152"/>
      <c r="F152"/>
      <c r="H152"/>
      <c r="I152"/>
      <c r="J152"/>
      <c r="K152"/>
      <c r="L152"/>
    </row>
    <row r="153" spans="1:12" x14ac:dyDescent="0.25">
      <c r="A153" s="91">
        <v>22089</v>
      </c>
      <c r="B153" s="92">
        <v>9062.2000000000007</v>
      </c>
      <c r="C153"/>
      <c r="E153"/>
      <c r="F153"/>
      <c r="H153"/>
      <c r="I153"/>
      <c r="J153"/>
      <c r="K153"/>
      <c r="L153"/>
    </row>
    <row r="154" spans="1:12" x14ac:dyDescent="0.25">
      <c r="A154" s="91">
        <v>22138</v>
      </c>
      <c r="B154" s="92">
        <v>12922.8</v>
      </c>
      <c r="C154"/>
      <c r="E154"/>
      <c r="F154"/>
      <c r="H154"/>
      <c r="I154"/>
      <c r="J154"/>
      <c r="K154"/>
      <c r="L154"/>
    </row>
    <row r="155" spans="1:12" x14ac:dyDescent="0.25">
      <c r="A155" s="91">
        <v>22142</v>
      </c>
      <c r="B155" s="92">
        <v>3933.6</v>
      </c>
      <c r="C155"/>
      <c r="E155"/>
      <c r="F155"/>
      <c r="H155"/>
      <c r="I155"/>
      <c r="J155"/>
      <c r="K155"/>
      <c r="L155"/>
    </row>
    <row r="156" spans="1:12" x14ac:dyDescent="0.25">
      <c r="A156" s="91">
        <v>22173</v>
      </c>
      <c r="B156" s="92">
        <v>3920.4</v>
      </c>
      <c r="C156"/>
      <c r="E156"/>
      <c r="F156"/>
      <c r="H156"/>
      <c r="I156"/>
      <c r="J156"/>
      <c r="K156"/>
      <c r="L156"/>
    </row>
    <row r="157" spans="1:12" x14ac:dyDescent="0.25">
      <c r="A157" s="91">
        <v>22219</v>
      </c>
      <c r="B157" s="92">
        <v>108324.59</v>
      </c>
      <c r="C157"/>
      <c r="E157"/>
      <c r="F157"/>
      <c r="H157"/>
      <c r="I157"/>
      <c r="J157"/>
      <c r="K157"/>
      <c r="L157"/>
    </row>
    <row r="158" spans="1:12" x14ac:dyDescent="0.25">
      <c r="A158" s="91">
        <v>22254</v>
      </c>
      <c r="B158" s="92">
        <v>24441.3</v>
      </c>
      <c r="C158"/>
      <c r="E158"/>
      <c r="F158"/>
      <c r="H158"/>
      <c r="I158"/>
      <c r="J158"/>
      <c r="K158"/>
      <c r="L158"/>
    </row>
    <row r="159" spans="1:12" x14ac:dyDescent="0.25">
      <c r="A159" s="91">
        <v>22255</v>
      </c>
      <c r="B159" s="92">
        <v>6684.6</v>
      </c>
      <c r="C159"/>
      <c r="E159"/>
      <c r="F159"/>
      <c r="H159"/>
      <c r="I159"/>
      <c r="J159"/>
      <c r="K159"/>
      <c r="L159"/>
    </row>
    <row r="160" spans="1:12" x14ac:dyDescent="0.25">
      <c r="A160" s="91">
        <v>22332</v>
      </c>
      <c r="B160" s="92">
        <v>25972.7</v>
      </c>
      <c r="C160"/>
      <c r="E160"/>
      <c r="F160"/>
      <c r="H160"/>
      <c r="I160"/>
      <c r="J160"/>
      <c r="K160"/>
      <c r="L160"/>
    </row>
    <row r="161" spans="1:12" x14ac:dyDescent="0.25">
      <c r="A161" s="91">
        <v>22420</v>
      </c>
      <c r="B161" s="92">
        <v>39440.550000000003</v>
      </c>
      <c r="C161"/>
      <c r="E161"/>
      <c r="F161"/>
      <c r="H161"/>
      <c r="I161"/>
      <c r="J161"/>
      <c r="K161"/>
      <c r="L161"/>
    </row>
    <row r="162" spans="1:12" x14ac:dyDescent="0.25">
      <c r="B162"/>
      <c r="C162"/>
      <c r="E162"/>
      <c r="F162"/>
      <c r="H162"/>
      <c r="I162"/>
      <c r="J162"/>
      <c r="K162"/>
      <c r="L162"/>
    </row>
    <row r="163" spans="1:12" x14ac:dyDescent="0.25">
      <c r="B163"/>
      <c r="C163"/>
      <c r="E163"/>
      <c r="F163"/>
      <c r="H163"/>
      <c r="I163"/>
      <c r="J163"/>
      <c r="K163"/>
      <c r="L163"/>
    </row>
    <row r="164" spans="1:12" x14ac:dyDescent="0.25">
      <c r="B164"/>
      <c r="C164"/>
      <c r="E164"/>
      <c r="F164"/>
      <c r="H164"/>
      <c r="I164"/>
      <c r="J164"/>
      <c r="K164"/>
      <c r="L164"/>
    </row>
    <row r="165" spans="1:12" x14ac:dyDescent="0.25">
      <c r="B165"/>
      <c r="C165"/>
      <c r="E165"/>
      <c r="F165"/>
      <c r="H165"/>
      <c r="I165"/>
      <c r="J165"/>
      <c r="K165"/>
      <c r="L165"/>
    </row>
    <row r="166" spans="1:12" x14ac:dyDescent="0.25">
      <c r="B166"/>
      <c r="C166"/>
      <c r="E166"/>
      <c r="F166"/>
      <c r="H166"/>
      <c r="I166"/>
      <c r="J166"/>
      <c r="K166"/>
      <c r="L166"/>
    </row>
    <row r="167" spans="1:12" x14ac:dyDescent="0.25">
      <c r="B167"/>
      <c r="C167"/>
      <c r="E167"/>
      <c r="F167"/>
      <c r="H167"/>
      <c r="I167"/>
      <c r="J167"/>
      <c r="K167"/>
      <c r="L167"/>
    </row>
    <row r="168" spans="1:12" x14ac:dyDescent="0.25">
      <c r="B168"/>
      <c r="C168"/>
      <c r="E168"/>
      <c r="F168"/>
      <c r="H168"/>
      <c r="I168"/>
      <c r="J168"/>
      <c r="K168"/>
      <c r="L168"/>
    </row>
    <row r="169" spans="1:12" x14ac:dyDescent="0.25">
      <c r="B169"/>
      <c r="C169"/>
      <c r="E169"/>
      <c r="F169"/>
      <c r="H169"/>
      <c r="I169"/>
      <c r="J169"/>
      <c r="K169"/>
      <c r="L169"/>
    </row>
    <row r="170" spans="1:12" x14ac:dyDescent="0.25">
      <c r="B170"/>
      <c r="C170"/>
      <c r="E170"/>
      <c r="F170"/>
      <c r="H170"/>
      <c r="I170"/>
      <c r="J170"/>
      <c r="K170"/>
      <c r="L170"/>
    </row>
    <row r="171" spans="1:12" x14ac:dyDescent="0.25">
      <c r="B171"/>
      <c r="C171"/>
      <c r="E171"/>
      <c r="F171"/>
      <c r="H171"/>
      <c r="I171"/>
      <c r="J171"/>
      <c r="K171"/>
      <c r="L171"/>
    </row>
    <row r="172" spans="1:12" x14ac:dyDescent="0.25">
      <c r="B172"/>
      <c r="C172"/>
      <c r="E172"/>
      <c r="F172"/>
      <c r="H172"/>
      <c r="I172"/>
      <c r="J172"/>
      <c r="K172"/>
      <c r="L172"/>
    </row>
    <row r="173" spans="1:12" x14ac:dyDescent="0.25">
      <c r="B173"/>
      <c r="C173"/>
      <c r="E173"/>
      <c r="F173"/>
      <c r="H173"/>
      <c r="I173"/>
      <c r="J173"/>
      <c r="K173"/>
      <c r="L173"/>
    </row>
    <row r="174" spans="1:12" x14ac:dyDescent="0.25">
      <c r="B174"/>
      <c r="C174"/>
      <c r="E174"/>
      <c r="F174"/>
      <c r="H174"/>
      <c r="I174"/>
      <c r="J174"/>
      <c r="K174"/>
      <c r="L174"/>
    </row>
    <row r="175" spans="1:12" x14ac:dyDescent="0.25">
      <c r="B175"/>
      <c r="C175"/>
      <c r="E175"/>
      <c r="F175"/>
      <c r="H175"/>
      <c r="I175"/>
      <c r="J175"/>
      <c r="K175"/>
      <c r="L175"/>
    </row>
    <row r="176" spans="1:12" x14ac:dyDescent="0.25">
      <c r="B176"/>
      <c r="C176"/>
      <c r="E176"/>
      <c r="F176"/>
      <c r="H176"/>
      <c r="I176"/>
      <c r="J176"/>
      <c r="K176"/>
      <c r="L176"/>
    </row>
    <row r="177" spans="2:12" x14ac:dyDescent="0.25">
      <c r="B177"/>
      <c r="C177"/>
      <c r="E177"/>
      <c r="F177"/>
      <c r="H177"/>
      <c r="I177"/>
      <c r="J177"/>
      <c r="K177"/>
      <c r="L177"/>
    </row>
    <row r="178" spans="2:12" x14ac:dyDescent="0.25">
      <c r="B178"/>
      <c r="C178"/>
      <c r="E178"/>
      <c r="F178"/>
      <c r="H178"/>
      <c r="I178"/>
      <c r="J178"/>
      <c r="K178"/>
      <c r="L178"/>
    </row>
    <row r="179" spans="2:12" x14ac:dyDescent="0.25">
      <c r="B179"/>
      <c r="C179"/>
      <c r="E179"/>
      <c r="F179"/>
      <c r="H179"/>
      <c r="I179"/>
      <c r="J179"/>
      <c r="K179"/>
      <c r="L179"/>
    </row>
    <row r="180" spans="2:12" x14ac:dyDescent="0.25">
      <c r="B180"/>
      <c r="C180"/>
      <c r="E180"/>
      <c r="F180"/>
      <c r="H180"/>
      <c r="I180"/>
      <c r="J180"/>
      <c r="K180"/>
      <c r="L180"/>
    </row>
    <row r="181" spans="2:12" x14ac:dyDescent="0.25">
      <c r="B181"/>
      <c r="C181"/>
      <c r="E181"/>
      <c r="F181"/>
      <c r="H181"/>
      <c r="I181"/>
      <c r="J181"/>
      <c r="K181"/>
      <c r="L181"/>
    </row>
    <row r="182" spans="2:12" x14ac:dyDescent="0.25">
      <c r="B182"/>
      <c r="C182"/>
      <c r="E182"/>
      <c r="F182"/>
      <c r="H182"/>
      <c r="I182"/>
      <c r="J182"/>
      <c r="K182"/>
      <c r="L182"/>
    </row>
    <row r="183" spans="2:12" x14ac:dyDescent="0.25">
      <c r="B183"/>
      <c r="C183"/>
      <c r="E183"/>
      <c r="F183"/>
      <c r="H183"/>
      <c r="I183"/>
      <c r="J183"/>
      <c r="K183"/>
      <c r="L183"/>
    </row>
    <row r="184" spans="2:12" x14ac:dyDescent="0.25">
      <c r="B184"/>
      <c r="C184"/>
      <c r="E184"/>
      <c r="F184"/>
      <c r="H184"/>
      <c r="I184"/>
      <c r="J184"/>
      <c r="K184"/>
      <c r="L184"/>
    </row>
    <row r="185" spans="2:12" x14ac:dyDescent="0.25">
      <c r="B185"/>
      <c r="C185"/>
      <c r="E185"/>
      <c r="F185"/>
      <c r="H185"/>
      <c r="I185"/>
      <c r="J185"/>
      <c r="K185"/>
      <c r="L185"/>
    </row>
    <row r="186" spans="2:12" x14ac:dyDescent="0.25">
      <c r="B186"/>
      <c r="C186"/>
      <c r="E186"/>
      <c r="F186"/>
      <c r="H186"/>
      <c r="I186"/>
      <c r="J186"/>
      <c r="K186"/>
      <c r="L186"/>
    </row>
    <row r="187" spans="2:12" x14ac:dyDescent="0.25">
      <c r="B187"/>
      <c r="C187"/>
      <c r="E187"/>
      <c r="F187"/>
      <c r="H187"/>
      <c r="I187"/>
      <c r="J187"/>
      <c r="K187"/>
      <c r="L187"/>
    </row>
    <row r="188" spans="2:12" x14ac:dyDescent="0.25">
      <c r="B188"/>
      <c r="C188"/>
      <c r="E188"/>
      <c r="F188"/>
      <c r="H188"/>
      <c r="I188"/>
      <c r="J188"/>
      <c r="K188"/>
      <c r="L188"/>
    </row>
    <row r="189" spans="2:12" x14ac:dyDescent="0.25">
      <c r="B189"/>
      <c r="C189"/>
      <c r="E189"/>
      <c r="F189"/>
      <c r="H189"/>
      <c r="I189"/>
      <c r="J189"/>
      <c r="K189"/>
      <c r="L189"/>
    </row>
    <row r="190" spans="2:12" x14ac:dyDescent="0.25">
      <c r="B190"/>
      <c r="C190"/>
      <c r="E190"/>
      <c r="F190"/>
      <c r="H190"/>
      <c r="I190"/>
      <c r="J190"/>
      <c r="K190"/>
      <c r="L190"/>
    </row>
    <row r="191" spans="2:12" x14ac:dyDescent="0.25">
      <c r="B191"/>
      <c r="C191"/>
      <c r="E191"/>
      <c r="F191"/>
      <c r="H191"/>
      <c r="I191"/>
      <c r="J191"/>
      <c r="K191"/>
      <c r="L191"/>
    </row>
    <row r="192" spans="2:12" x14ac:dyDescent="0.25">
      <c r="B192"/>
      <c r="C192"/>
      <c r="E192"/>
      <c r="F192"/>
      <c r="H192"/>
      <c r="I192"/>
      <c r="J192"/>
      <c r="K192"/>
      <c r="L192"/>
    </row>
    <row r="193" spans="2:12" x14ac:dyDescent="0.25">
      <c r="B193"/>
      <c r="C193"/>
      <c r="E193"/>
      <c r="F193"/>
      <c r="H193"/>
      <c r="I193"/>
      <c r="J193"/>
      <c r="K193"/>
      <c r="L193"/>
    </row>
    <row r="194" spans="2:12" x14ac:dyDescent="0.25">
      <c r="B194"/>
      <c r="C194"/>
      <c r="E194"/>
      <c r="F194"/>
      <c r="H194"/>
      <c r="I194"/>
      <c r="J194"/>
      <c r="K194"/>
      <c r="L194"/>
    </row>
    <row r="195" spans="2:12" x14ac:dyDescent="0.25">
      <c r="B195"/>
      <c r="C195"/>
      <c r="E195"/>
      <c r="F195"/>
      <c r="H195"/>
      <c r="I195"/>
      <c r="J195"/>
      <c r="K195"/>
      <c r="L195"/>
    </row>
    <row r="196" spans="2:12" x14ac:dyDescent="0.25">
      <c r="B196"/>
      <c r="C196"/>
      <c r="E196"/>
      <c r="F196"/>
      <c r="H196"/>
      <c r="I196"/>
      <c r="J196"/>
      <c r="K196"/>
      <c r="L196"/>
    </row>
    <row r="197" spans="2:12" x14ac:dyDescent="0.25">
      <c r="B197"/>
      <c r="C197"/>
      <c r="E197"/>
      <c r="F197"/>
      <c r="H197"/>
      <c r="I197"/>
      <c r="J197"/>
      <c r="K197"/>
      <c r="L197"/>
    </row>
    <row r="198" spans="2:12" x14ac:dyDescent="0.25">
      <c r="B198"/>
      <c r="C198"/>
      <c r="E198"/>
      <c r="F198"/>
      <c r="H198"/>
      <c r="I198"/>
      <c r="J198"/>
      <c r="K198"/>
      <c r="L198"/>
    </row>
    <row r="199" spans="2:12" x14ac:dyDescent="0.25">
      <c r="B199"/>
      <c r="C199"/>
      <c r="E199"/>
      <c r="F199"/>
      <c r="H199"/>
      <c r="I199"/>
      <c r="J199"/>
      <c r="K199"/>
      <c r="L199"/>
    </row>
    <row r="200" spans="2:12" x14ac:dyDescent="0.25">
      <c r="B200"/>
      <c r="C200"/>
      <c r="E200"/>
      <c r="F200"/>
      <c r="H200"/>
      <c r="I200"/>
      <c r="J200"/>
      <c r="K200"/>
      <c r="L200"/>
    </row>
    <row r="201" spans="2:12" x14ac:dyDescent="0.25">
      <c r="B201"/>
      <c r="C201"/>
      <c r="E201"/>
      <c r="F201"/>
      <c r="H201"/>
      <c r="I201"/>
      <c r="J201"/>
      <c r="K201"/>
      <c r="L201"/>
    </row>
    <row r="202" spans="2:12" x14ac:dyDescent="0.25">
      <c r="B202"/>
      <c r="C202"/>
      <c r="E202"/>
      <c r="F202"/>
      <c r="H202"/>
      <c r="I202"/>
      <c r="J202"/>
      <c r="K202"/>
      <c r="L202"/>
    </row>
    <row r="203" spans="2:12" x14ac:dyDescent="0.25">
      <c r="B203"/>
      <c r="C203"/>
      <c r="E203"/>
      <c r="F203"/>
      <c r="H203"/>
      <c r="I203"/>
      <c r="J203"/>
      <c r="K203"/>
      <c r="L203"/>
    </row>
    <row r="204" spans="2:12" x14ac:dyDescent="0.25">
      <c r="B204"/>
      <c r="C204"/>
      <c r="E204"/>
      <c r="F204"/>
      <c r="H204"/>
      <c r="I204"/>
      <c r="J204"/>
      <c r="K204"/>
      <c r="L204"/>
    </row>
    <row r="205" spans="2:12" x14ac:dyDescent="0.25">
      <c r="B205"/>
      <c r="C205"/>
      <c r="E205"/>
      <c r="F205"/>
      <c r="H205"/>
      <c r="I205"/>
      <c r="J205"/>
      <c r="K205"/>
      <c r="L205"/>
    </row>
    <row r="206" spans="2:12" x14ac:dyDescent="0.25">
      <c r="B206"/>
      <c r="C206"/>
      <c r="E206"/>
      <c r="F206"/>
      <c r="H206"/>
      <c r="I206"/>
      <c r="J206"/>
      <c r="K206"/>
      <c r="L206"/>
    </row>
    <row r="207" spans="2:12" x14ac:dyDescent="0.25">
      <c r="B207"/>
      <c r="C207"/>
      <c r="E207"/>
      <c r="F207"/>
      <c r="H207"/>
      <c r="I207"/>
      <c r="J207"/>
      <c r="K207"/>
      <c r="L207"/>
    </row>
    <row r="208" spans="2:12" x14ac:dyDescent="0.25">
      <c r="B208"/>
      <c r="C208"/>
      <c r="E208"/>
      <c r="F208"/>
      <c r="H208"/>
      <c r="I208"/>
      <c r="J208"/>
      <c r="K208"/>
      <c r="L208"/>
    </row>
    <row r="209" spans="2:12" x14ac:dyDescent="0.25">
      <c r="B209"/>
      <c r="C209"/>
      <c r="E209"/>
      <c r="F209"/>
      <c r="H209"/>
      <c r="I209"/>
      <c r="J209"/>
      <c r="K209"/>
      <c r="L209"/>
    </row>
    <row r="210" spans="2:12" x14ac:dyDescent="0.25">
      <c r="B210"/>
      <c r="C210"/>
      <c r="E210"/>
      <c r="F210"/>
      <c r="H210"/>
      <c r="I210"/>
      <c r="J210"/>
      <c r="K210"/>
      <c r="L210"/>
    </row>
    <row r="211" spans="2:12" x14ac:dyDescent="0.25">
      <c r="B211"/>
      <c r="C211"/>
      <c r="E211"/>
      <c r="F211"/>
      <c r="H211"/>
      <c r="I211"/>
      <c r="J211"/>
      <c r="K211"/>
      <c r="L211"/>
    </row>
    <row r="212" spans="2:12" x14ac:dyDescent="0.25">
      <c r="B212"/>
      <c r="C212"/>
      <c r="E212"/>
      <c r="F212"/>
      <c r="H212"/>
      <c r="I212"/>
      <c r="J212"/>
      <c r="K212"/>
      <c r="L212"/>
    </row>
    <row r="213" spans="2:12" x14ac:dyDescent="0.25">
      <c r="B213"/>
      <c r="C213"/>
      <c r="E213"/>
      <c r="F213"/>
      <c r="H213"/>
      <c r="I213"/>
      <c r="J213"/>
      <c r="K213"/>
      <c r="L213"/>
    </row>
    <row r="214" spans="2:12" x14ac:dyDescent="0.25">
      <c r="B214"/>
      <c r="C214"/>
      <c r="E214"/>
      <c r="F214"/>
      <c r="H214"/>
      <c r="I214"/>
      <c r="J214"/>
      <c r="K214"/>
      <c r="L214"/>
    </row>
    <row r="215" spans="2:12" x14ac:dyDescent="0.25">
      <c r="B215"/>
      <c r="C215"/>
      <c r="E215"/>
      <c r="F215"/>
      <c r="H215"/>
      <c r="I215"/>
      <c r="J215"/>
      <c r="K215"/>
      <c r="L215"/>
    </row>
    <row r="216" spans="2:12" x14ac:dyDescent="0.25">
      <c r="B216"/>
      <c r="C216"/>
      <c r="E216"/>
      <c r="F216"/>
      <c r="H216"/>
      <c r="I216"/>
      <c r="J216"/>
      <c r="K216"/>
      <c r="L216"/>
    </row>
    <row r="217" spans="2:12" x14ac:dyDescent="0.25">
      <c r="B217"/>
      <c r="C217"/>
      <c r="E217"/>
      <c r="F217"/>
      <c r="H217"/>
      <c r="I217"/>
      <c r="J217"/>
      <c r="K217"/>
      <c r="L217"/>
    </row>
    <row r="218" spans="2:12" x14ac:dyDescent="0.25">
      <c r="B218"/>
      <c r="C218"/>
      <c r="E218"/>
      <c r="F218"/>
      <c r="H218"/>
      <c r="I218"/>
      <c r="J218"/>
      <c r="K218"/>
      <c r="L218"/>
    </row>
    <row r="219" spans="2:12" x14ac:dyDescent="0.25">
      <c r="B219"/>
      <c r="C219"/>
      <c r="E219"/>
      <c r="F219"/>
      <c r="H219"/>
      <c r="I219"/>
      <c r="J219"/>
      <c r="K219"/>
      <c r="L219"/>
    </row>
    <row r="220" spans="2:12" x14ac:dyDescent="0.25">
      <c r="B220"/>
      <c r="C220"/>
      <c r="E220"/>
      <c r="F220"/>
      <c r="H220"/>
      <c r="I220"/>
      <c r="J220"/>
      <c r="K220"/>
      <c r="L220"/>
    </row>
    <row r="221" spans="2:12" x14ac:dyDescent="0.25">
      <c r="B221"/>
      <c r="C221"/>
      <c r="E221"/>
      <c r="F221"/>
      <c r="H221"/>
      <c r="I221"/>
      <c r="J221"/>
      <c r="K221"/>
      <c r="L221"/>
    </row>
    <row r="222" spans="2:12" x14ac:dyDescent="0.25">
      <c r="B222"/>
      <c r="C222"/>
      <c r="E222"/>
      <c r="F222"/>
      <c r="H222"/>
      <c r="I222"/>
      <c r="J222"/>
      <c r="K222"/>
      <c r="L222"/>
    </row>
    <row r="223" spans="2:12" x14ac:dyDescent="0.25">
      <c r="B223"/>
      <c r="C223"/>
      <c r="E223"/>
      <c r="F223"/>
      <c r="H223"/>
      <c r="I223"/>
      <c r="J223"/>
      <c r="K223"/>
      <c r="L223"/>
    </row>
    <row r="224" spans="2:12" x14ac:dyDescent="0.25">
      <c r="B224"/>
      <c r="C224"/>
      <c r="E224"/>
      <c r="F224"/>
      <c r="H224"/>
      <c r="I224"/>
      <c r="J224"/>
      <c r="K224"/>
      <c r="L224"/>
    </row>
    <row r="225" spans="2:12" x14ac:dyDescent="0.25">
      <c r="B225"/>
      <c r="C225"/>
      <c r="E225"/>
      <c r="F225"/>
      <c r="H225"/>
      <c r="I225"/>
      <c r="J225"/>
      <c r="K225"/>
      <c r="L225"/>
    </row>
    <row r="226" spans="2:12" x14ac:dyDescent="0.25">
      <c r="B226"/>
      <c r="C226"/>
      <c r="E226"/>
      <c r="F226"/>
      <c r="H226"/>
      <c r="I226"/>
      <c r="J226"/>
      <c r="K226"/>
      <c r="L226"/>
    </row>
    <row r="227" spans="2:12" x14ac:dyDescent="0.25">
      <c r="B227"/>
      <c r="C227"/>
      <c r="E227"/>
      <c r="F227"/>
      <c r="H227"/>
      <c r="I227"/>
      <c r="J227"/>
      <c r="K227"/>
      <c r="L227"/>
    </row>
    <row r="228" spans="2:12" x14ac:dyDescent="0.25">
      <c r="B228"/>
      <c r="C228"/>
      <c r="E228"/>
      <c r="F228"/>
      <c r="H228"/>
      <c r="I228"/>
      <c r="J228"/>
      <c r="K228"/>
      <c r="L228"/>
    </row>
    <row r="229" spans="2:12" x14ac:dyDescent="0.25">
      <c r="B229"/>
      <c r="C229"/>
      <c r="E229"/>
      <c r="F229"/>
      <c r="H229"/>
      <c r="I229"/>
      <c r="J229"/>
      <c r="K229"/>
      <c r="L229"/>
    </row>
    <row r="230" spans="2:12" x14ac:dyDescent="0.25">
      <c r="B230"/>
      <c r="C230"/>
      <c r="E230"/>
      <c r="F230"/>
      <c r="H230"/>
      <c r="I230"/>
      <c r="J230"/>
      <c r="K230"/>
      <c r="L230"/>
    </row>
    <row r="231" spans="2:12" x14ac:dyDescent="0.25">
      <c r="B231"/>
      <c r="C231"/>
      <c r="E231"/>
      <c r="F231"/>
      <c r="H231"/>
      <c r="I231"/>
      <c r="J231"/>
      <c r="K231"/>
      <c r="L231"/>
    </row>
    <row r="232" spans="2:12" x14ac:dyDescent="0.25">
      <c r="B232"/>
      <c r="C232"/>
      <c r="E232"/>
      <c r="F232"/>
      <c r="H232"/>
      <c r="I232"/>
      <c r="J232"/>
      <c r="K232"/>
      <c r="L232"/>
    </row>
    <row r="233" spans="2:12" x14ac:dyDescent="0.25">
      <c r="B233"/>
      <c r="C233"/>
      <c r="E233"/>
      <c r="F233"/>
      <c r="H233"/>
      <c r="I233"/>
      <c r="J233"/>
      <c r="K233"/>
      <c r="L233"/>
    </row>
    <row r="234" spans="2:12" x14ac:dyDescent="0.25">
      <c r="B234"/>
      <c r="C234"/>
      <c r="E234"/>
      <c r="F234"/>
      <c r="H234"/>
      <c r="I234"/>
      <c r="J234"/>
      <c r="K234"/>
      <c r="L234"/>
    </row>
    <row r="235" spans="2:12" x14ac:dyDescent="0.25">
      <c r="B235"/>
      <c r="C235"/>
      <c r="E235"/>
      <c r="F235"/>
      <c r="H235"/>
      <c r="I235"/>
      <c r="J235"/>
      <c r="K235"/>
      <c r="L235"/>
    </row>
    <row r="236" spans="2:12" x14ac:dyDescent="0.25">
      <c r="B236"/>
      <c r="C236"/>
      <c r="E236"/>
      <c r="F236"/>
      <c r="H236"/>
      <c r="I236"/>
      <c r="J236"/>
      <c r="K236"/>
      <c r="L236"/>
    </row>
    <row r="237" spans="2:12" x14ac:dyDescent="0.25">
      <c r="B237"/>
      <c r="C237"/>
      <c r="E237"/>
      <c r="F237"/>
      <c r="H237"/>
      <c r="I237"/>
      <c r="J237"/>
      <c r="K237"/>
      <c r="L237"/>
    </row>
    <row r="238" spans="2:12" x14ac:dyDescent="0.25">
      <c r="B238"/>
      <c r="C238"/>
      <c r="E238"/>
      <c r="F238"/>
      <c r="H238"/>
      <c r="I238"/>
      <c r="J238"/>
      <c r="K238"/>
      <c r="L238"/>
    </row>
    <row r="239" spans="2:12" x14ac:dyDescent="0.25">
      <c r="B239"/>
      <c r="C239"/>
      <c r="E239"/>
      <c r="F239"/>
      <c r="H239"/>
      <c r="I239"/>
      <c r="J239"/>
      <c r="K239"/>
      <c r="L239"/>
    </row>
    <row r="240" spans="2:12" x14ac:dyDescent="0.25">
      <c r="B240"/>
      <c r="C240"/>
      <c r="E240"/>
      <c r="F240"/>
      <c r="H240"/>
      <c r="I240"/>
      <c r="J240"/>
      <c r="K240"/>
      <c r="L240"/>
    </row>
    <row r="241" spans="2:12" x14ac:dyDescent="0.25">
      <c r="B241"/>
      <c r="C241"/>
      <c r="E241"/>
      <c r="F241"/>
      <c r="H241"/>
      <c r="I241"/>
      <c r="J241"/>
      <c r="K241"/>
      <c r="L241"/>
    </row>
    <row r="242" spans="2:12" x14ac:dyDescent="0.25">
      <c r="B242"/>
      <c r="C242"/>
      <c r="E242"/>
      <c r="F242"/>
      <c r="H242"/>
      <c r="I242"/>
      <c r="J242"/>
      <c r="K242"/>
      <c r="L242"/>
    </row>
    <row r="243" spans="2:12" x14ac:dyDescent="0.25">
      <c r="B243"/>
      <c r="C243"/>
      <c r="E243"/>
      <c r="F243"/>
      <c r="H243"/>
      <c r="I243"/>
      <c r="J243"/>
      <c r="K243"/>
      <c r="L243"/>
    </row>
    <row r="244" spans="2:12" x14ac:dyDescent="0.25">
      <c r="B244"/>
      <c r="C244"/>
      <c r="E244"/>
      <c r="F244"/>
      <c r="H244"/>
      <c r="I244"/>
      <c r="J244"/>
      <c r="K244"/>
      <c r="L244"/>
    </row>
    <row r="245" spans="2:12" x14ac:dyDescent="0.25">
      <c r="B245"/>
      <c r="C245"/>
      <c r="E245"/>
      <c r="F245"/>
      <c r="H245"/>
      <c r="I245"/>
      <c r="J245"/>
      <c r="K245"/>
      <c r="L245"/>
    </row>
    <row r="246" spans="2:12" x14ac:dyDescent="0.25">
      <c r="B246"/>
      <c r="C246"/>
      <c r="E246"/>
      <c r="F246"/>
      <c r="H246"/>
      <c r="I246"/>
      <c r="J246"/>
      <c r="K246"/>
      <c r="L246"/>
    </row>
    <row r="247" spans="2:12" x14ac:dyDescent="0.25">
      <c r="B247"/>
      <c r="C247"/>
      <c r="E247"/>
      <c r="F247"/>
      <c r="H247"/>
      <c r="I247"/>
      <c r="J247"/>
      <c r="K247"/>
      <c r="L247"/>
    </row>
    <row r="248" spans="2:12" x14ac:dyDescent="0.25">
      <c r="B248"/>
      <c r="C248"/>
      <c r="E248"/>
      <c r="F248"/>
      <c r="H248"/>
      <c r="I248"/>
      <c r="J248"/>
      <c r="K248"/>
      <c r="L248"/>
    </row>
    <row r="249" spans="2:12" x14ac:dyDescent="0.25">
      <c r="B249"/>
      <c r="C249"/>
      <c r="E249"/>
      <c r="F249"/>
      <c r="H249"/>
      <c r="I249"/>
      <c r="J249"/>
      <c r="K249"/>
      <c r="L249"/>
    </row>
    <row r="250" spans="2:12" x14ac:dyDescent="0.25">
      <c r="B250"/>
      <c r="C250"/>
      <c r="E250"/>
      <c r="F250"/>
      <c r="H250"/>
      <c r="I250"/>
      <c r="J250"/>
      <c r="K250"/>
      <c r="L250"/>
    </row>
    <row r="251" spans="2:12" x14ac:dyDescent="0.25">
      <c r="B251"/>
      <c r="C251"/>
      <c r="E251"/>
      <c r="F251"/>
      <c r="H251"/>
      <c r="I251"/>
      <c r="J251"/>
      <c r="K251"/>
      <c r="L251"/>
    </row>
    <row r="252" spans="2:12" x14ac:dyDescent="0.25">
      <c r="B252"/>
      <c r="C252"/>
      <c r="E252"/>
      <c r="F252"/>
      <c r="H252"/>
      <c r="I252"/>
      <c r="J252"/>
      <c r="K252"/>
      <c r="L252"/>
    </row>
    <row r="253" spans="2:12" x14ac:dyDescent="0.25">
      <c r="B253"/>
      <c r="C253"/>
      <c r="E253"/>
      <c r="F253"/>
      <c r="H253"/>
      <c r="I253"/>
      <c r="J253"/>
      <c r="K253"/>
      <c r="L253"/>
    </row>
    <row r="254" spans="2:12" x14ac:dyDescent="0.25">
      <c r="B254"/>
      <c r="C254"/>
      <c r="E254"/>
      <c r="F254"/>
      <c r="H254"/>
      <c r="I254"/>
      <c r="J254"/>
      <c r="K254"/>
      <c r="L254"/>
    </row>
    <row r="255" spans="2:12" x14ac:dyDescent="0.25">
      <c r="B255"/>
      <c r="C255"/>
      <c r="E255"/>
      <c r="F255"/>
      <c r="H255"/>
      <c r="I255"/>
      <c r="J255"/>
      <c r="K255"/>
      <c r="L255"/>
    </row>
    <row r="256" spans="2:12" x14ac:dyDescent="0.25">
      <c r="B256"/>
      <c r="C256"/>
      <c r="E256"/>
      <c r="F256"/>
      <c r="H256"/>
      <c r="I256"/>
      <c r="J256"/>
      <c r="K256"/>
      <c r="L256"/>
    </row>
    <row r="257" spans="2:12" x14ac:dyDescent="0.25">
      <c r="B257"/>
      <c r="C257"/>
      <c r="E257"/>
      <c r="F257"/>
      <c r="H257"/>
      <c r="I257"/>
      <c r="J257"/>
      <c r="K257"/>
      <c r="L257"/>
    </row>
    <row r="258" spans="2:12" x14ac:dyDescent="0.25">
      <c r="B258"/>
      <c r="C258"/>
      <c r="E258"/>
      <c r="F258"/>
      <c r="H258"/>
      <c r="I258"/>
      <c r="J258"/>
      <c r="K258"/>
      <c r="L258"/>
    </row>
  </sheetData>
  <mergeCells count="10">
    <mergeCell ref="A40:B40"/>
    <mergeCell ref="D40:E40"/>
    <mergeCell ref="I45:J45"/>
    <mergeCell ref="H52:I53"/>
    <mergeCell ref="C1:J1"/>
    <mergeCell ref="E3:F3"/>
    <mergeCell ref="I3:K3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39"/>
  <sheetViews>
    <sheetView workbookViewId="0">
      <selection activeCell="B3" sqref="B3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80</v>
      </c>
      <c r="C2" s="9"/>
      <c r="D2" s="4"/>
      <c r="E2" s="5"/>
    </row>
    <row r="3" spans="2:5" ht="19.5" thickTop="1" x14ac:dyDescent="0.3">
      <c r="B3" s="2" t="s">
        <v>10</v>
      </c>
      <c r="C3" s="8">
        <v>54.44</v>
      </c>
      <c r="D3" s="3">
        <v>50</v>
      </c>
      <c r="E3" s="1">
        <f t="shared" ref="E3:E37" si="0">D3*C3</f>
        <v>2722</v>
      </c>
    </row>
    <row r="4" spans="2:5" x14ac:dyDescent="0.3">
      <c r="B4" s="2" t="s">
        <v>73</v>
      </c>
      <c r="C4" s="8">
        <v>35</v>
      </c>
      <c r="D4" s="3">
        <v>18</v>
      </c>
      <c r="E4" s="1">
        <f t="shared" si="0"/>
        <v>630</v>
      </c>
    </row>
    <row r="5" spans="2:5" x14ac:dyDescent="0.3">
      <c r="B5" s="2" t="s">
        <v>75</v>
      </c>
      <c r="C5" s="8">
        <v>14</v>
      </c>
      <c r="D5" s="3">
        <v>48</v>
      </c>
      <c r="E5" s="1">
        <f t="shared" si="0"/>
        <v>672</v>
      </c>
    </row>
    <row r="6" spans="2:5" x14ac:dyDescent="0.3">
      <c r="B6" s="2" t="s">
        <v>2</v>
      </c>
      <c r="C6" s="8">
        <v>248.8</v>
      </c>
      <c r="D6" s="3">
        <v>42</v>
      </c>
      <c r="E6" s="1">
        <f t="shared" si="0"/>
        <v>10449.6</v>
      </c>
    </row>
    <row r="7" spans="2:5" x14ac:dyDescent="0.3">
      <c r="B7" s="2" t="s">
        <v>18</v>
      </c>
      <c r="E7" s="1">
        <f t="shared" si="0"/>
        <v>0</v>
      </c>
    </row>
    <row r="8" spans="2:5" x14ac:dyDescent="0.3">
      <c r="B8" s="2" t="s">
        <v>6</v>
      </c>
      <c r="C8" s="8">
        <v>59.6</v>
      </c>
      <c r="D8" s="3">
        <v>20</v>
      </c>
      <c r="E8" s="1">
        <f t="shared" si="0"/>
        <v>1192</v>
      </c>
    </row>
    <row r="9" spans="2:5" x14ac:dyDescent="0.3">
      <c r="B9" s="2" t="s">
        <v>3</v>
      </c>
      <c r="C9" s="8">
        <v>912.47</v>
      </c>
      <c r="D9" s="3">
        <v>28.5</v>
      </c>
      <c r="E9" s="1">
        <f t="shared" si="0"/>
        <v>26005.395</v>
      </c>
    </row>
    <row r="10" spans="2:5" x14ac:dyDescent="0.3">
      <c r="B10" s="2" t="s">
        <v>0</v>
      </c>
      <c r="C10" s="8">
        <v>34.4</v>
      </c>
      <c r="D10" s="3">
        <v>96</v>
      </c>
      <c r="E10" s="1">
        <f t="shared" si="0"/>
        <v>3302.3999999999996</v>
      </c>
    </row>
    <row r="11" spans="2:5" x14ac:dyDescent="0.3">
      <c r="B11" s="2" t="s">
        <v>16</v>
      </c>
      <c r="C11" s="8">
        <v>98.04</v>
      </c>
      <c r="D11" s="3">
        <v>50</v>
      </c>
      <c r="E11" s="1">
        <f t="shared" si="0"/>
        <v>4902</v>
      </c>
    </row>
    <row r="12" spans="2:5" x14ac:dyDescent="0.3">
      <c r="B12" s="2" t="s">
        <v>22</v>
      </c>
      <c r="C12" s="8">
        <v>51.8</v>
      </c>
      <c r="D12" s="3">
        <v>23</v>
      </c>
      <c r="E12" s="1">
        <f t="shared" si="0"/>
        <v>1191.3999999999999</v>
      </c>
    </row>
    <row r="13" spans="2:5" x14ac:dyDescent="0.3">
      <c r="B13" s="2" t="s">
        <v>1</v>
      </c>
      <c r="C13" s="8">
        <v>79</v>
      </c>
      <c r="D13" s="3">
        <v>23</v>
      </c>
      <c r="E13" s="1">
        <f t="shared" si="0"/>
        <v>1817</v>
      </c>
    </row>
    <row r="14" spans="2:5" x14ac:dyDescent="0.3">
      <c r="B14" s="2" t="s">
        <v>76</v>
      </c>
      <c r="C14" s="8">
        <v>190.54</v>
      </c>
      <c r="D14" s="3">
        <v>25</v>
      </c>
      <c r="E14" s="1"/>
    </row>
    <row r="15" spans="2:5" x14ac:dyDescent="0.3">
      <c r="B15" s="14" t="s">
        <v>21</v>
      </c>
      <c r="E15" s="1">
        <f t="shared" si="0"/>
        <v>0</v>
      </c>
    </row>
    <row r="16" spans="2:5" x14ac:dyDescent="0.3">
      <c r="B16" s="2" t="s">
        <v>7</v>
      </c>
      <c r="C16" s="8">
        <v>1005</v>
      </c>
      <c r="D16" s="3">
        <v>13</v>
      </c>
      <c r="E16" s="1">
        <f t="shared" si="0"/>
        <v>13065</v>
      </c>
    </row>
    <row r="17" spans="2:5" x14ac:dyDescent="0.3">
      <c r="B17" s="2" t="s">
        <v>5</v>
      </c>
      <c r="C17" s="8">
        <v>8.9</v>
      </c>
      <c r="D17" s="3">
        <v>40</v>
      </c>
      <c r="E17" s="1">
        <f t="shared" si="0"/>
        <v>356</v>
      </c>
    </row>
    <row r="18" spans="2:5" x14ac:dyDescent="0.3">
      <c r="B18" s="2" t="s">
        <v>11</v>
      </c>
      <c r="C18" s="8">
        <v>41.7</v>
      </c>
      <c r="D18" s="3">
        <v>16</v>
      </c>
      <c r="E18" s="1">
        <f t="shared" si="0"/>
        <v>667.2</v>
      </c>
    </row>
    <row r="19" spans="2:5" x14ac:dyDescent="0.3">
      <c r="B19" s="2" t="s">
        <v>78</v>
      </c>
      <c r="C19" s="8">
        <v>42.5</v>
      </c>
      <c r="D19" s="3">
        <v>40</v>
      </c>
      <c r="E19" s="1">
        <f t="shared" si="0"/>
        <v>1700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18.100000000000001</v>
      </c>
      <c r="D21" s="3">
        <v>66</v>
      </c>
      <c r="E21" s="1">
        <f t="shared" si="0"/>
        <v>1194.6000000000001</v>
      </c>
    </row>
    <row r="22" spans="2:5" x14ac:dyDescent="0.3">
      <c r="B22" s="2" t="s">
        <v>25</v>
      </c>
      <c r="E22" s="1">
        <f t="shared" si="0"/>
        <v>0</v>
      </c>
    </row>
    <row r="23" spans="2:5" x14ac:dyDescent="0.3">
      <c r="B23" s="2" t="s">
        <v>19</v>
      </c>
      <c r="C23" s="8">
        <v>120</v>
      </c>
      <c r="D23" s="3">
        <v>16</v>
      </c>
      <c r="E23" s="1">
        <f t="shared" si="0"/>
        <v>1920</v>
      </c>
    </row>
    <row r="24" spans="2:5" x14ac:dyDescent="0.3">
      <c r="B24" s="10" t="s">
        <v>15</v>
      </c>
      <c r="C24" s="11"/>
      <c r="D24" s="12"/>
      <c r="E24" s="1">
        <f t="shared" si="0"/>
        <v>0</v>
      </c>
    </row>
    <row r="25" spans="2:5" x14ac:dyDescent="0.3">
      <c r="B25" s="10" t="s">
        <v>77</v>
      </c>
      <c r="C25" s="11">
        <v>27.22</v>
      </c>
      <c r="D25" s="12">
        <v>37</v>
      </c>
      <c r="E25" s="1">
        <f t="shared" si="0"/>
        <v>1007.14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E27" s="1">
        <f t="shared" si="0"/>
        <v>0</v>
      </c>
    </row>
    <row r="28" spans="2:5" x14ac:dyDescent="0.3">
      <c r="B28" s="2" t="s">
        <v>23</v>
      </c>
      <c r="C28" s="8">
        <v>11.8</v>
      </c>
      <c r="D28" s="3">
        <v>56</v>
      </c>
      <c r="E28" s="1">
        <f t="shared" si="0"/>
        <v>660.80000000000007</v>
      </c>
    </row>
    <row r="29" spans="2:5" x14ac:dyDescent="0.3">
      <c r="B29" s="2" t="s">
        <v>28</v>
      </c>
      <c r="C29" s="8">
        <v>113</v>
      </c>
      <c r="D29" s="3">
        <v>40</v>
      </c>
      <c r="E29" s="1">
        <f t="shared" si="0"/>
        <v>4520</v>
      </c>
    </row>
    <row r="30" spans="2:5" x14ac:dyDescent="0.3">
      <c r="B30" s="2" t="s">
        <v>20</v>
      </c>
      <c r="C30" s="8">
        <v>20.5</v>
      </c>
      <c r="D30" s="3">
        <v>78</v>
      </c>
      <c r="E30" s="1">
        <f t="shared" si="0"/>
        <v>1599</v>
      </c>
    </row>
    <row r="31" spans="2:5" x14ac:dyDescent="0.3">
      <c r="B31" s="10" t="s">
        <v>9</v>
      </c>
      <c r="C31" s="11">
        <v>20</v>
      </c>
      <c r="D31" s="12">
        <v>740</v>
      </c>
      <c r="E31" s="1">
        <f t="shared" si="0"/>
        <v>14800</v>
      </c>
    </row>
    <row r="32" spans="2:5" x14ac:dyDescent="0.3">
      <c r="B32" s="2" t="s">
        <v>17</v>
      </c>
      <c r="C32" s="8">
        <v>60</v>
      </c>
      <c r="D32" s="3">
        <v>64</v>
      </c>
      <c r="E32" s="1">
        <f t="shared" si="0"/>
        <v>3840</v>
      </c>
    </row>
    <row r="33" spans="2:5" x14ac:dyDescent="0.3">
      <c r="B33" s="2" t="s">
        <v>12</v>
      </c>
      <c r="C33" s="8">
        <v>27</v>
      </c>
      <c r="D33" s="3">
        <v>40</v>
      </c>
      <c r="E33" s="1">
        <f t="shared" si="0"/>
        <v>1080</v>
      </c>
    </row>
    <row r="34" spans="2:5" x14ac:dyDescent="0.3">
      <c r="B34" s="2" t="s">
        <v>24</v>
      </c>
      <c r="C34" s="8">
        <v>14</v>
      </c>
      <c r="D34" s="3">
        <v>15</v>
      </c>
      <c r="E34" s="1">
        <f t="shared" si="0"/>
        <v>210</v>
      </c>
    </row>
    <row r="35" spans="2:5" x14ac:dyDescent="0.3">
      <c r="E35" s="1">
        <f t="shared" si="0"/>
        <v>0</v>
      </c>
    </row>
    <row r="36" spans="2:5" x14ac:dyDescent="0.3">
      <c r="E36" s="1">
        <f t="shared" si="0"/>
        <v>0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85029.934999999998</v>
      </c>
    </row>
    <row r="39" spans="2:5" ht="19.5" thickTop="1" x14ac:dyDescent="0.3">
      <c r="B39"/>
      <c r="C39"/>
      <c r="E39" s="1"/>
    </row>
  </sheetData>
  <pageMargins left="0.70866141732283472" right="0.70866141732283472" top="0.35433070866141736" bottom="0.15748031496062992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topLeftCell="A16" workbookViewId="0">
      <selection activeCell="C31" sqref="C31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3" t="s">
        <v>79</v>
      </c>
      <c r="C2" s="9"/>
      <c r="D2" s="4"/>
      <c r="E2" s="5"/>
    </row>
    <row r="3" spans="2:5" ht="19.5" thickTop="1" x14ac:dyDescent="0.3">
      <c r="B3" s="2" t="s">
        <v>10</v>
      </c>
      <c r="C3" s="8">
        <v>258.58999999999997</v>
      </c>
      <c r="D3" s="3">
        <v>39</v>
      </c>
      <c r="E3" s="1">
        <f t="shared" ref="E3:E37" si="0">D3*C3</f>
        <v>10085.009999999998</v>
      </c>
    </row>
    <row r="4" spans="2:5" x14ac:dyDescent="0.3">
      <c r="B4" s="2" t="s">
        <v>73</v>
      </c>
      <c r="C4" s="8">
        <v>70.8</v>
      </c>
      <c r="D4" s="3">
        <v>20</v>
      </c>
      <c r="E4" s="1">
        <f t="shared" si="0"/>
        <v>1416</v>
      </c>
    </row>
    <row r="5" spans="2:5" x14ac:dyDescent="0.3">
      <c r="B5" s="2" t="s">
        <v>75</v>
      </c>
      <c r="C5" s="8">
        <v>49</v>
      </c>
      <c r="D5" s="3">
        <v>52</v>
      </c>
      <c r="E5" s="1">
        <f t="shared" si="0"/>
        <v>2548</v>
      </c>
    </row>
    <row r="6" spans="2:5" x14ac:dyDescent="0.3">
      <c r="B6" s="2" t="s">
        <v>2</v>
      </c>
      <c r="C6" s="8">
        <v>99.2</v>
      </c>
      <c r="D6" s="3">
        <v>41</v>
      </c>
      <c r="E6" s="1">
        <f t="shared" si="0"/>
        <v>4067.2000000000003</v>
      </c>
    </row>
    <row r="7" spans="2:5" x14ac:dyDescent="0.3">
      <c r="B7" s="2" t="s">
        <v>18</v>
      </c>
      <c r="C7" s="8">
        <f>23.71+17.81+14.99+77.38</f>
        <v>133.88999999999999</v>
      </c>
      <c r="D7" s="3">
        <v>80</v>
      </c>
      <c r="E7" s="1">
        <f t="shared" si="0"/>
        <v>10711.199999999999</v>
      </c>
    </row>
    <row r="8" spans="2:5" x14ac:dyDescent="0.3">
      <c r="B8" s="2" t="s">
        <v>6</v>
      </c>
      <c r="C8" s="8">
        <v>71.2</v>
      </c>
      <c r="D8" s="3">
        <v>26</v>
      </c>
      <c r="E8" s="1">
        <f t="shared" si="0"/>
        <v>1851.2</v>
      </c>
    </row>
    <row r="9" spans="2:5" x14ac:dyDescent="0.3">
      <c r="B9" s="2" t="s">
        <v>3</v>
      </c>
      <c r="C9" s="8">
        <f>906.7+874.5</f>
        <v>1781.2</v>
      </c>
      <c r="D9" s="3">
        <v>33.5</v>
      </c>
      <c r="E9" s="1">
        <f t="shared" si="0"/>
        <v>59670.200000000004</v>
      </c>
    </row>
    <row r="10" spans="2:5" x14ac:dyDescent="0.3">
      <c r="B10" s="2" t="s">
        <v>0</v>
      </c>
      <c r="C10" s="8">
        <v>27.4</v>
      </c>
      <c r="D10" s="3">
        <v>100</v>
      </c>
      <c r="E10" s="1">
        <f t="shared" si="0"/>
        <v>2740</v>
      </c>
    </row>
    <row r="11" spans="2:5" x14ac:dyDescent="0.3">
      <c r="B11" s="2" t="s">
        <v>16</v>
      </c>
      <c r="E11" s="1">
        <f t="shared" si="0"/>
        <v>0</v>
      </c>
    </row>
    <row r="12" spans="2:5" x14ac:dyDescent="0.3">
      <c r="B12" s="2" t="s">
        <v>22</v>
      </c>
      <c r="C12" s="8">
        <v>33.549999999999997</v>
      </c>
      <c r="D12" s="3">
        <v>22</v>
      </c>
      <c r="E12" s="1">
        <f t="shared" si="0"/>
        <v>738.09999999999991</v>
      </c>
    </row>
    <row r="13" spans="2:5" x14ac:dyDescent="0.3">
      <c r="B13" s="2" t="s">
        <v>1</v>
      </c>
      <c r="E13" s="1">
        <f t="shared" si="0"/>
        <v>0</v>
      </c>
    </row>
    <row r="14" spans="2:5" x14ac:dyDescent="0.3">
      <c r="B14" s="2" t="s">
        <v>76</v>
      </c>
      <c r="C14" s="8">
        <v>517.17999999999995</v>
      </c>
      <c r="D14" s="3">
        <v>25</v>
      </c>
      <c r="E14" s="1">
        <f t="shared" si="0"/>
        <v>12929.499999999998</v>
      </c>
    </row>
    <row r="15" spans="2:5" x14ac:dyDescent="0.3">
      <c r="B15" s="14" t="s">
        <v>21</v>
      </c>
      <c r="C15" s="8">
        <v>164</v>
      </c>
      <c r="D15" s="3">
        <v>24</v>
      </c>
      <c r="E15" s="1">
        <f t="shared" si="0"/>
        <v>3936</v>
      </c>
    </row>
    <row r="16" spans="2:5" x14ac:dyDescent="0.3">
      <c r="B16" s="2" t="s">
        <v>7</v>
      </c>
      <c r="C16" s="8">
        <f>250.4+287.6+556</f>
        <v>1094</v>
      </c>
      <c r="D16" s="3">
        <v>14</v>
      </c>
      <c r="E16" s="1">
        <f t="shared" si="0"/>
        <v>15316</v>
      </c>
    </row>
    <row r="17" spans="2:5" x14ac:dyDescent="0.3">
      <c r="B17" s="2" t="s">
        <v>5</v>
      </c>
      <c r="C17" s="8">
        <v>30.05</v>
      </c>
      <c r="D17" s="3">
        <v>43</v>
      </c>
      <c r="E17" s="1">
        <f t="shared" si="0"/>
        <v>1292.1500000000001</v>
      </c>
    </row>
    <row r="18" spans="2:5" x14ac:dyDescent="0.3">
      <c r="B18" s="2" t="s">
        <v>11</v>
      </c>
      <c r="E18" s="1">
        <f t="shared" si="0"/>
        <v>0</v>
      </c>
    </row>
    <row r="19" spans="2:5" x14ac:dyDescent="0.3">
      <c r="B19" s="2" t="s">
        <v>8</v>
      </c>
      <c r="C19" s="8">
        <v>215.1</v>
      </c>
      <c r="D19" s="3">
        <v>42</v>
      </c>
      <c r="E19" s="1">
        <f t="shared" si="0"/>
        <v>9034.1999999999989</v>
      </c>
    </row>
    <row r="20" spans="2:5" x14ac:dyDescent="0.3">
      <c r="B20" s="2" t="s">
        <v>26</v>
      </c>
      <c r="E20" s="1">
        <f t="shared" si="0"/>
        <v>0</v>
      </c>
    </row>
    <row r="21" spans="2:5" x14ac:dyDescent="0.3">
      <c r="B21" s="2" t="s">
        <v>74</v>
      </c>
      <c r="C21" s="8">
        <v>19.100000000000001</v>
      </c>
      <c r="D21" s="3">
        <v>66</v>
      </c>
      <c r="E21" s="1">
        <f t="shared" si="0"/>
        <v>1260.6000000000001</v>
      </c>
    </row>
    <row r="22" spans="2:5" x14ac:dyDescent="0.3">
      <c r="B22" s="2" t="s">
        <v>25</v>
      </c>
      <c r="C22" s="8">
        <v>17.7</v>
      </c>
      <c r="D22" s="3">
        <v>26</v>
      </c>
      <c r="E22" s="1">
        <f t="shared" si="0"/>
        <v>460.2</v>
      </c>
    </row>
    <row r="23" spans="2:5" x14ac:dyDescent="0.3">
      <c r="B23" s="2" t="s">
        <v>19</v>
      </c>
      <c r="C23" s="8">
        <v>130</v>
      </c>
      <c r="D23" s="3">
        <v>16</v>
      </c>
      <c r="E23" s="1">
        <f t="shared" si="0"/>
        <v>2080</v>
      </c>
    </row>
    <row r="24" spans="2:5" x14ac:dyDescent="0.3">
      <c r="B24" s="10" t="s">
        <v>15</v>
      </c>
      <c r="C24" s="11">
        <v>381.08</v>
      </c>
      <c r="D24" s="12">
        <v>50</v>
      </c>
      <c r="E24" s="1">
        <f t="shared" si="0"/>
        <v>19054</v>
      </c>
    </row>
    <row r="25" spans="2:5" x14ac:dyDescent="0.3">
      <c r="B25" s="10" t="s">
        <v>77</v>
      </c>
      <c r="C25" s="11">
        <f>13.6+13.6</f>
        <v>27.2</v>
      </c>
      <c r="D25" s="12">
        <v>36</v>
      </c>
      <c r="E25" s="1">
        <f t="shared" si="0"/>
        <v>979.19999999999993</v>
      </c>
    </row>
    <row r="26" spans="2:5" x14ac:dyDescent="0.3">
      <c r="B26" s="2" t="s">
        <v>27</v>
      </c>
      <c r="E26" s="1">
        <f t="shared" si="0"/>
        <v>0</v>
      </c>
    </row>
    <row r="27" spans="2:5" x14ac:dyDescent="0.3">
      <c r="B27" s="2" t="s">
        <v>4</v>
      </c>
      <c r="C27" s="8">
        <v>57.6</v>
      </c>
      <c r="D27" s="3">
        <v>54</v>
      </c>
      <c r="E27" s="1">
        <f t="shared" si="0"/>
        <v>3110.4</v>
      </c>
    </row>
    <row r="28" spans="2:5" x14ac:dyDescent="0.3">
      <c r="B28" s="2" t="s">
        <v>23</v>
      </c>
      <c r="E28" s="1">
        <f t="shared" si="0"/>
        <v>0</v>
      </c>
    </row>
    <row r="29" spans="2:5" x14ac:dyDescent="0.3">
      <c r="B29" s="2" t="s">
        <v>83</v>
      </c>
      <c r="C29" s="8">
        <v>124.3</v>
      </c>
      <c r="D29" s="3">
        <v>40</v>
      </c>
      <c r="E29" s="1">
        <f t="shared" si="0"/>
        <v>4972</v>
      </c>
    </row>
    <row r="30" spans="2:5" x14ac:dyDescent="0.3">
      <c r="B30" s="2" t="s">
        <v>20</v>
      </c>
      <c r="C30" s="8">
        <v>2.7</v>
      </c>
      <c r="D30" s="3">
        <v>82</v>
      </c>
      <c r="E30" s="1">
        <f t="shared" si="0"/>
        <v>221.4</v>
      </c>
    </row>
    <row r="31" spans="2:5" x14ac:dyDescent="0.3">
      <c r="B31" s="10" t="s">
        <v>9</v>
      </c>
      <c r="C31" s="11">
        <v>68</v>
      </c>
      <c r="D31" s="12">
        <v>750</v>
      </c>
      <c r="E31" s="1">
        <f t="shared" si="0"/>
        <v>51000</v>
      </c>
    </row>
    <row r="32" spans="2:5" x14ac:dyDescent="0.3">
      <c r="B32" s="2" t="s">
        <v>17</v>
      </c>
      <c r="C32" s="8">
        <v>15</v>
      </c>
      <c r="D32" s="3">
        <v>600</v>
      </c>
      <c r="E32" s="1">
        <f t="shared" si="0"/>
        <v>9000</v>
      </c>
    </row>
    <row r="33" spans="2:5" x14ac:dyDescent="0.3">
      <c r="B33" s="2" t="s">
        <v>12</v>
      </c>
      <c r="C33" s="8">
        <v>20</v>
      </c>
      <c r="D33" s="3">
        <v>25</v>
      </c>
      <c r="E33" s="1">
        <f t="shared" si="0"/>
        <v>500</v>
      </c>
    </row>
    <row r="34" spans="2:5" x14ac:dyDescent="0.3">
      <c r="B34" s="2" t="s">
        <v>24</v>
      </c>
      <c r="E34" s="1">
        <f t="shared" si="0"/>
        <v>0</v>
      </c>
    </row>
    <row r="35" spans="2:5" x14ac:dyDescent="0.3">
      <c r="B35" s="2" t="s">
        <v>81</v>
      </c>
      <c r="C35" s="8">
        <f>19.91+19.23+21.31+18.59</f>
        <v>79.040000000000006</v>
      </c>
      <c r="D35" s="3">
        <v>50</v>
      </c>
      <c r="E35" s="1">
        <f t="shared" si="0"/>
        <v>3952.0000000000005</v>
      </c>
    </row>
    <row r="36" spans="2:5" x14ac:dyDescent="0.3">
      <c r="B36" s="2" t="s">
        <v>82</v>
      </c>
      <c r="C36" s="8">
        <v>16.899999999999999</v>
      </c>
      <c r="D36" s="3">
        <v>36</v>
      </c>
      <c r="E36" s="1">
        <f t="shared" si="0"/>
        <v>608.4</v>
      </c>
    </row>
    <row r="37" spans="2:5" x14ac:dyDescent="0.3">
      <c r="E37" s="1">
        <f t="shared" si="0"/>
        <v>0</v>
      </c>
    </row>
    <row r="38" spans="2:5" ht="19.5" thickBot="1" x14ac:dyDescent="0.35">
      <c r="B38"/>
      <c r="C38"/>
      <c r="D38" s="7" t="s">
        <v>13</v>
      </c>
      <c r="E38" s="6">
        <f>SUM(E7:E37)</f>
        <v>215416.75</v>
      </c>
    </row>
    <row r="39" spans="2:5" ht="19.5" thickTop="1" x14ac:dyDescent="0.3">
      <c r="B39"/>
      <c r="C39"/>
      <c r="E39" s="1"/>
    </row>
  </sheetData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Y44"/>
  <sheetViews>
    <sheetView topLeftCell="A25" workbookViewId="0">
      <selection activeCell="F24" sqref="F24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2.28515625" style="3" bestFit="1" customWidth="1"/>
    <col min="5" max="5" width="18.5703125" style="2" customWidth="1"/>
    <col min="10" max="10" width="19.42578125" style="2" bestFit="1" customWidth="1"/>
    <col min="11" max="11" width="12.7109375" style="8" bestFit="1" customWidth="1"/>
    <col min="12" max="12" width="12.28515625" style="3" bestFit="1" customWidth="1"/>
    <col min="13" max="13" width="18.5703125" style="2" customWidth="1"/>
    <col min="16" max="16" width="19.42578125" style="2" bestFit="1" customWidth="1"/>
    <col min="17" max="17" width="12.7109375" style="8" bestFit="1" customWidth="1"/>
    <col min="18" max="18" width="12.28515625" style="3" bestFit="1" customWidth="1"/>
    <col min="19" max="19" width="18.5703125" style="2" customWidth="1"/>
    <col min="22" max="22" width="19.42578125" style="2" bestFit="1" customWidth="1"/>
    <col min="23" max="23" width="12.7109375" style="8" bestFit="1" customWidth="1"/>
    <col min="24" max="24" width="12.28515625" style="3" bestFit="1" customWidth="1"/>
    <col min="25" max="25" width="18.5703125" style="2" customWidth="1"/>
  </cols>
  <sheetData>
    <row r="2" spans="2:25" ht="19.5" thickBot="1" x14ac:dyDescent="0.35">
      <c r="B2" s="13" t="s">
        <v>103</v>
      </c>
      <c r="C2" s="9"/>
      <c r="D2" s="4"/>
      <c r="E2" s="5"/>
      <c r="J2" s="13" t="s">
        <v>101</v>
      </c>
      <c r="K2" s="9"/>
      <c r="L2" s="4"/>
      <c r="M2" s="5"/>
      <c r="P2" s="13" t="s">
        <v>100</v>
      </c>
      <c r="Q2" s="9"/>
      <c r="R2" s="4"/>
      <c r="S2" s="5"/>
      <c r="V2" s="13" t="s">
        <v>84</v>
      </c>
      <c r="W2" s="9"/>
      <c r="X2" s="4"/>
      <c r="Y2" s="5"/>
    </row>
    <row r="3" spans="2:25" ht="19.5" thickTop="1" x14ac:dyDescent="0.3">
      <c r="B3" s="2" t="s">
        <v>102</v>
      </c>
      <c r="E3" s="1">
        <f t="shared" ref="E3:E42" si="0">D3*C3</f>
        <v>0</v>
      </c>
      <c r="J3" s="2" t="s">
        <v>102</v>
      </c>
      <c r="K3" s="8">
        <v>329.4</v>
      </c>
      <c r="L3" s="3">
        <v>34.5</v>
      </c>
      <c r="M3" s="1">
        <f t="shared" ref="M3:M41" si="1">L3*K3</f>
        <v>11364.3</v>
      </c>
      <c r="P3" s="2" t="s">
        <v>89</v>
      </c>
      <c r="S3" s="1">
        <f t="shared" ref="S3:S41" si="2">R3*Q3</f>
        <v>0</v>
      </c>
      <c r="V3" s="2" t="s">
        <v>10</v>
      </c>
      <c r="W3" s="8">
        <v>231.37</v>
      </c>
      <c r="X3" s="3">
        <v>41</v>
      </c>
      <c r="Y3" s="1">
        <f t="shared" ref="Y3:Y42" si="3">X3*W3</f>
        <v>9486.17</v>
      </c>
    </row>
    <row r="4" spans="2:25" x14ac:dyDescent="0.3">
      <c r="B4" s="2" t="s">
        <v>10</v>
      </c>
      <c r="C4" s="8">
        <f>13.61*10</f>
        <v>136.1</v>
      </c>
      <c r="D4" s="3">
        <v>39</v>
      </c>
      <c r="E4" s="1">
        <f t="shared" si="0"/>
        <v>5307.9</v>
      </c>
      <c r="J4" s="2" t="s">
        <v>10</v>
      </c>
      <c r="K4" s="8">
        <f>14*13.61</f>
        <v>190.54</v>
      </c>
      <c r="L4" s="3">
        <v>39</v>
      </c>
      <c r="M4" s="1">
        <f t="shared" si="1"/>
        <v>7431.0599999999995</v>
      </c>
      <c r="P4" s="2" t="s">
        <v>10</v>
      </c>
      <c r="Q4" s="8">
        <v>204.15</v>
      </c>
      <c r="R4" s="3">
        <v>39</v>
      </c>
      <c r="S4" s="1">
        <f t="shared" si="2"/>
        <v>7961.85</v>
      </c>
      <c r="V4" s="2" t="s">
        <v>73</v>
      </c>
      <c r="W4" s="8">
        <v>11.85</v>
      </c>
      <c r="X4" s="3">
        <v>21</v>
      </c>
      <c r="Y4" s="1">
        <f t="shared" si="3"/>
        <v>248.85</v>
      </c>
    </row>
    <row r="5" spans="2:25" x14ac:dyDescent="0.3">
      <c r="B5" s="2" t="s">
        <v>75</v>
      </c>
      <c r="C5" s="8">
        <v>1.1499999999999999</v>
      </c>
      <c r="D5" s="3">
        <v>50</v>
      </c>
      <c r="E5" s="1">
        <f t="shared" si="0"/>
        <v>57.499999999999993</v>
      </c>
      <c r="J5" s="2" t="s">
        <v>75</v>
      </c>
      <c r="K5" s="8">
        <v>5.85</v>
      </c>
      <c r="L5" s="3">
        <v>50</v>
      </c>
      <c r="M5" s="1">
        <f t="shared" si="1"/>
        <v>292.5</v>
      </c>
      <c r="P5" s="2" t="s">
        <v>75</v>
      </c>
      <c r="S5" s="1">
        <f t="shared" si="2"/>
        <v>0</v>
      </c>
      <c r="V5" s="2" t="s">
        <v>75</v>
      </c>
      <c r="W5" s="8">
        <v>495</v>
      </c>
      <c r="X5" s="3">
        <v>51</v>
      </c>
      <c r="Y5" s="1">
        <f t="shared" si="3"/>
        <v>25245</v>
      </c>
    </row>
    <row r="6" spans="2:25" x14ac:dyDescent="0.3">
      <c r="B6" s="2" t="s">
        <v>73</v>
      </c>
      <c r="C6" s="8">
        <v>75.599999999999994</v>
      </c>
      <c r="D6" s="3">
        <v>18</v>
      </c>
      <c r="E6" s="1">
        <f t="shared" si="0"/>
        <v>1360.8</v>
      </c>
      <c r="J6" s="2" t="s">
        <v>73</v>
      </c>
      <c r="K6" s="8">
        <f>18.4+40.05+7</f>
        <v>65.449999999999989</v>
      </c>
      <c r="L6" s="3">
        <v>24</v>
      </c>
      <c r="M6" s="1">
        <f t="shared" si="1"/>
        <v>1570.7999999999997</v>
      </c>
      <c r="P6" s="2" t="s">
        <v>73</v>
      </c>
      <c r="Q6" s="8">
        <v>5.7</v>
      </c>
      <c r="R6" s="3">
        <v>24</v>
      </c>
      <c r="S6" s="1">
        <f t="shared" si="2"/>
        <v>136.80000000000001</v>
      </c>
      <c r="V6" s="2" t="s">
        <v>2</v>
      </c>
      <c r="W6" s="8">
        <v>18.8</v>
      </c>
      <c r="X6" s="3">
        <v>42</v>
      </c>
      <c r="Y6" s="1">
        <f t="shared" si="3"/>
        <v>789.6</v>
      </c>
    </row>
    <row r="7" spans="2:25" x14ac:dyDescent="0.3">
      <c r="B7" s="2" t="s">
        <v>2</v>
      </c>
      <c r="C7" s="8">
        <v>66.2</v>
      </c>
      <c r="D7" s="3">
        <v>43</v>
      </c>
      <c r="E7" s="1">
        <f t="shared" si="0"/>
        <v>2846.6</v>
      </c>
      <c r="J7" s="2" t="s">
        <v>2</v>
      </c>
      <c r="K7" s="8">
        <v>40.799999999999997</v>
      </c>
      <c r="L7" s="3">
        <v>43</v>
      </c>
      <c r="M7" s="1">
        <f t="shared" si="1"/>
        <v>1754.3999999999999</v>
      </c>
      <c r="P7" s="2" t="s">
        <v>2</v>
      </c>
      <c r="S7" s="1">
        <f t="shared" si="2"/>
        <v>0</v>
      </c>
      <c r="V7" s="2" t="s">
        <v>18</v>
      </c>
      <c r="W7" s="8">
        <v>44.58</v>
      </c>
      <c r="X7" s="3">
        <v>84</v>
      </c>
      <c r="Y7" s="1">
        <f t="shared" si="3"/>
        <v>3744.72</v>
      </c>
    </row>
    <row r="8" spans="2:25" x14ac:dyDescent="0.3">
      <c r="B8" s="2" t="s">
        <v>18</v>
      </c>
      <c r="C8" s="8">
        <f>23.63+15.4+12.19+17.26</f>
        <v>68.48</v>
      </c>
      <c r="D8" s="3">
        <v>80</v>
      </c>
      <c r="E8" s="1">
        <f t="shared" si="0"/>
        <v>5478.4000000000005</v>
      </c>
      <c r="J8" s="2" t="s">
        <v>18</v>
      </c>
      <c r="K8" s="8">
        <v>17.3</v>
      </c>
      <c r="L8" s="3">
        <v>84</v>
      </c>
      <c r="M8" s="1">
        <f t="shared" si="1"/>
        <v>1453.2</v>
      </c>
      <c r="P8" s="2" t="s">
        <v>18</v>
      </c>
      <c r="Q8" s="8">
        <v>23.17</v>
      </c>
      <c r="R8" s="3">
        <v>84</v>
      </c>
      <c r="S8" s="1">
        <f t="shared" si="2"/>
        <v>1946.2800000000002</v>
      </c>
      <c r="V8" s="2" t="s">
        <v>6</v>
      </c>
      <c r="W8" s="8">
        <v>265.60000000000002</v>
      </c>
      <c r="X8" s="3">
        <v>20</v>
      </c>
      <c r="Y8" s="1">
        <f t="shared" si="3"/>
        <v>5312</v>
      </c>
    </row>
    <row r="9" spans="2:25" x14ac:dyDescent="0.3">
      <c r="B9" s="2" t="s">
        <v>6</v>
      </c>
      <c r="C9" s="8">
        <f>282.6+60.8</f>
        <v>343.40000000000003</v>
      </c>
      <c r="D9" s="3">
        <v>30</v>
      </c>
      <c r="E9" s="1">
        <f t="shared" si="0"/>
        <v>10302.000000000002</v>
      </c>
      <c r="J9" s="2" t="s">
        <v>6</v>
      </c>
      <c r="K9" s="8">
        <f>76.4+229.8+146.2</f>
        <v>452.40000000000003</v>
      </c>
      <c r="L9" s="3">
        <v>20</v>
      </c>
      <c r="M9" s="1">
        <f t="shared" si="1"/>
        <v>9048</v>
      </c>
      <c r="P9" s="2" t="s">
        <v>6</v>
      </c>
      <c r="Q9" s="8">
        <v>131</v>
      </c>
      <c r="R9" s="3">
        <v>20</v>
      </c>
      <c r="S9" s="1">
        <f t="shared" si="2"/>
        <v>2620</v>
      </c>
      <c r="V9" s="2" t="s">
        <v>3</v>
      </c>
      <c r="W9" s="8">
        <f>928.8+942.4+914.74+922+898.41</f>
        <v>4606.3499999999995</v>
      </c>
      <c r="X9" s="3">
        <v>32</v>
      </c>
      <c r="Y9" s="1">
        <f t="shared" si="3"/>
        <v>147403.19999999998</v>
      </c>
    </row>
    <row r="10" spans="2:25" x14ac:dyDescent="0.3">
      <c r="B10" s="95" t="s">
        <v>5</v>
      </c>
      <c r="C10" s="8">
        <f>4.25+4.05</f>
        <v>8.3000000000000007</v>
      </c>
      <c r="D10" s="3">
        <v>43</v>
      </c>
      <c r="E10" s="1">
        <f t="shared" si="0"/>
        <v>356.90000000000003</v>
      </c>
      <c r="J10" s="44" t="s">
        <v>99</v>
      </c>
      <c r="M10" s="1">
        <v>0</v>
      </c>
      <c r="P10" s="44" t="s">
        <v>99</v>
      </c>
      <c r="Q10" s="8">
        <v>6.95</v>
      </c>
      <c r="R10" s="3">
        <v>36</v>
      </c>
      <c r="S10" s="1">
        <f t="shared" si="2"/>
        <v>250.20000000000002</v>
      </c>
      <c r="T10" s="14"/>
      <c r="V10" s="2" t="s">
        <v>0</v>
      </c>
      <c r="W10" s="8">
        <v>216.4</v>
      </c>
      <c r="X10" s="3">
        <v>100</v>
      </c>
      <c r="Y10" s="1">
        <f t="shared" si="3"/>
        <v>21640</v>
      </c>
    </row>
    <row r="11" spans="2:25" x14ac:dyDescent="0.3">
      <c r="B11" s="44" t="s">
        <v>105</v>
      </c>
      <c r="C11" s="8">
        <v>6.85</v>
      </c>
      <c r="D11" s="3">
        <v>36</v>
      </c>
      <c r="E11" s="1">
        <f t="shared" si="0"/>
        <v>246.6</v>
      </c>
      <c r="J11" s="44"/>
      <c r="M11" s="1">
        <v>0</v>
      </c>
      <c r="P11" s="44"/>
      <c r="S11" s="1"/>
      <c r="T11" s="14"/>
      <c r="Y11" s="1"/>
    </row>
    <row r="12" spans="2:25" x14ac:dyDescent="0.3">
      <c r="B12" s="44" t="s">
        <v>104</v>
      </c>
      <c r="C12" s="8">
        <f>4.4+5.05</f>
        <v>9.4499999999999993</v>
      </c>
      <c r="D12" s="3">
        <v>38</v>
      </c>
      <c r="E12" s="1">
        <f t="shared" si="0"/>
        <v>359.09999999999997</v>
      </c>
      <c r="J12" s="44"/>
      <c r="M12" s="1">
        <v>0</v>
      </c>
      <c r="P12" s="44"/>
      <c r="S12" s="1"/>
      <c r="T12" s="14"/>
      <c r="Y12" s="1"/>
    </row>
    <row r="13" spans="2:25" x14ac:dyDescent="0.3">
      <c r="B13" s="2" t="s">
        <v>3</v>
      </c>
      <c r="C13" s="8">
        <f>926.2+911.7</f>
        <v>1837.9</v>
      </c>
      <c r="D13" s="3">
        <v>30</v>
      </c>
      <c r="E13" s="1">
        <f t="shared" si="0"/>
        <v>55137</v>
      </c>
      <c r="J13" s="2" t="s">
        <v>3</v>
      </c>
      <c r="K13" s="8">
        <v>903.6</v>
      </c>
      <c r="L13" s="3">
        <v>22.5</v>
      </c>
      <c r="M13" s="1">
        <f t="shared" si="1"/>
        <v>20331</v>
      </c>
      <c r="P13" s="2" t="s">
        <v>3</v>
      </c>
      <c r="Q13" s="8">
        <f>928.34+947.39+939.23+941.95+934.24+927.89+925.17+949.21+905.22+920.63+958.28+916.95</f>
        <v>11194.5</v>
      </c>
      <c r="R13" s="3">
        <v>32.5</v>
      </c>
      <c r="S13" s="1">
        <f t="shared" si="2"/>
        <v>363821.25</v>
      </c>
      <c r="V13" s="2" t="s">
        <v>89</v>
      </c>
      <c r="W13" s="8">
        <v>79.040000000000006</v>
      </c>
      <c r="X13" s="3">
        <v>50</v>
      </c>
      <c r="Y13" s="1">
        <f t="shared" si="3"/>
        <v>3952.0000000000005</v>
      </c>
    </row>
    <row r="14" spans="2:25" x14ac:dyDescent="0.3">
      <c r="B14" s="2" t="s">
        <v>0</v>
      </c>
      <c r="C14" s="8">
        <f>35+27.4+28.8+29.1+29.8</f>
        <v>150.10000000000002</v>
      </c>
      <c r="D14" s="3">
        <v>100</v>
      </c>
      <c r="E14" s="1">
        <f t="shared" si="0"/>
        <v>15010.000000000002</v>
      </c>
      <c r="J14" s="2" t="s">
        <v>0</v>
      </c>
      <c r="K14" s="8">
        <f>29.8+29.1+28.8+27.4+35</f>
        <v>150.1</v>
      </c>
      <c r="L14" s="3">
        <v>100</v>
      </c>
      <c r="M14" s="1">
        <f t="shared" si="1"/>
        <v>15010</v>
      </c>
      <c r="P14" s="2" t="s">
        <v>0</v>
      </c>
      <c r="Q14" s="8">
        <f>35+27.4+28.8+29.1+29.8</f>
        <v>150.10000000000002</v>
      </c>
      <c r="R14" s="3">
        <v>100</v>
      </c>
      <c r="S14" s="1">
        <f t="shared" si="2"/>
        <v>15010.000000000002</v>
      </c>
      <c r="V14" s="2" t="s">
        <v>87</v>
      </c>
      <c r="W14" s="8">
        <v>137</v>
      </c>
      <c r="X14" s="3">
        <v>26</v>
      </c>
      <c r="Y14" s="1">
        <f t="shared" si="3"/>
        <v>3562</v>
      </c>
    </row>
    <row r="15" spans="2:25" x14ac:dyDescent="0.3">
      <c r="B15" s="2" t="s">
        <v>81</v>
      </c>
      <c r="C15" s="8">
        <f>19.23+27.31+18.59+19.91</f>
        <v>85.039999999999992</v>
      </c>
      <c r="D15" s="3">
        <v>50</v>
      </c>
      <c r="E15" s="1">
        <f t="shared" si="0"/>
        <v>4252</v>
      </c>
      <c r="J15" s="2" t="s">
        <v>81</v>
      </c>
      <c r="K15" s="8">
        <f>18.59+21.31+19.91+19.23</f>
        <v>79.040000000000006</v>
      </c>
      <c r="L15" s="3">
        <v>50</v>
      </c>
      <c r="M15" s="1">
        <f t="shared" si="1"/>
        <v>3952.0000000000005</v>
      </c>
      <c r="P15" s="2" t="s">
        <v>81</v>
      </c>
      <c r="Q15" s="8">
        <f>19.91+19.23+37.27+18.59</f>
        <v>95</v>
      </c>
      <c r="R15" s="3">
        <v>50</v>
      </c>
      <c r="S15" s="1">
        <f t="shared" si="2"/>
        <v>4750</v>
      </c>
      <c r="V15" s="2" t="s">
        <v>85</v>
      </c>
      <c r="W15" s="8">
        <f>580-27.4+228+233.6+189.6+182.4</f>
        <v>1386.2</v>
      </c>
      <c r="X15" s="3">
        <v>13</v>
      </c>
      <c r="Y15" s="1">
        <f t="shared" si="3"/>
        <v>18020.600000000002</v>
      </c>
    </row>
    <row r="16" spans="2:25" x14ac:dyDescent="0.3">
      <c r="B16" s="2" t="s">
        <v>22</v>
      </c>
      <c r="E16" s="1">
        <f t="shared" si="0"/>
        <v>0</v>
      </c>
      <c r="J16" s="2" t="s">
        <v>22</v>
      </c>
      <c r="K16" s="8">
        <v>25.8</v>
      </c>
      <c r="L16" s="3">
        <v>20</v>
      </c>
      <c r="M16" s="1">
        <f t="shared" si="1"/>
        <v>516</v>
      </c>
      <c r="P16" s="2" t="s">
        <v>22</v>
      </c>
      <c r="S16" s="1">
        <f t="shared" si="2"/>
        <v>0</v>
      </c>
      <c r="V16" s="2" t="s">
        <v>22</v>
      </c>
      <c r="W16" s="8">
        <v>21.45</v>
      </c>
      <c r="X16" s="3">
        <v>20</v>
      </c>
      <c r="Y16" s="1">
        <f t="shared" si="3"/>
        <v>429</v>
      </c>
    </row>
    <row r="17" spans="2:25" x14ac:dyDescent="0.3">
      <c r="B17" s="2" t="s">
        <v>85</v>
      </c>
      <c r="C17" s="8">
        <f>177.8+212.6+645+242.8+55.4</f>
        <v>1333.6000000000001</v>
      </c>
      <c r="D17" s="3">
        <v>13</v>
      </c>
      <c r="E17" s="1">
        <f t="shared" si="0"/>
        <v>17336.800000000003</v>
      </c>
      <c r="J17" s="2" t="s">
        <v>85</v>
      </c>
      <c r="K17" s="8">
        <v>208</v>
      </c>
      <c r="L17" s="3">
        <v>13</v>
      </c>
      <c r="M17" s="1">
        <f t="shared" si="1"/>
        <v>2704</v>
      </c>
      <c r="P17" s="2" t="s">
        <v>85</v>
      </c>
      <c r="Q17" s="8">
        <v>742.4</v>
      </c>
      <c r="R17" s="3">
        <v>13</v>
      </c>
      <c r="S17" s="1">
        <f t="shared" si="2"/>
        <v>9651.1999999999989</v>
      </c>
      <c r="V17" s="14" t="s">
        <v>91</v>
      </c>
      <c r="W17" s="8">
        <v>10.25</v>
      </c>
      <c r="X17" s="3">
        <v>36</v>
      </c>
      <c r="Y17" s="1">
        <f t="shared" si="3"/>
        <v>369</v>
      </c>
    </row>
    <row r="18" spans="2:25" x14ac:dyDescent="0.3">
      <c r="B18" s="2" t="s">
        <v>95</v>
      </c>
      <c r="C18" s="8">
        <f>31*27.22</f>
        <v>843.81999999999994</v>
      </c>
      <c r="D18" s="3">
        <v>24</v>
      </c>
      <c r="E18" s="1">
        <f t="shared" si="0"/>
        <v>20251.68</v>
      </c>
      <c r="J18" s="2" t="s">
        <v>95</v>
      </c>
      <c r="K18" s="8">
        <f>36*27.22</f>
        <v>979.92</v>
      </c>
      <c r="L18" s="3">
        <v>25</v>
      </c>
      <c r="M18" s="1">
        <f t="shared" si="1"/>
        <v>24498</v>
      </c>
      <c r="P18" s="2" t="s">
        <v>95</v>
      </c>
      <c r="Q18" s="8">
        <f>35*27.22</f>
        <v>952.69999999999993</v>
      </c>
      <c r="R18" s="3">
        <v>25</v>
      </c>
      <c r="S18" s="1">
        <f t="shared" si="2"/>
        <v>23817.5</v>
      </c>
      <c r="V18" s="2" t="s">
        <v>93</v>
      </c>
      <c r="W18" s="8">
        <v>979.92</v>
      </c>
      <c r="X18" s="3">
        <v>25</v>
      </c>
      <c r="Y18" s="1">
        <f t="shared" si="3"/>
        <v>24498</v>
      </c>
    </row>
    <row r="19" spans="2:25" x14ac:dyDescent="0.3">
      <c r="B19" s="2" t="s">
        <v>96</v>
      </c>
      <c r="C19" s="8">
        <v>122.4</v>
      </c>
      <c r="D19" s="3">
        <v>24</v>
      </c>
      <c r="E19" s="1">
        <f t="shared" si="0"/>
        <v>2937.6000000000004</v>
      </c>
      <c r="J19" s="2" t="s">
        <v>96</v>
      </c>
      <c r="K19" s="8">
        <v>42.4</v>
      </c>
      <c r="L19" s="3">
        <v>24</v>
      </c>
      <c r="M19" s="1">
        <f t="shared" si="1"/>
        <v>1017.5999999999999</v>
      </c>
      <c r="P19" s="2" t="s">
        <v>96</v>
      </c>
      <c r="Q19" s="8">
        <v>93.4</v>
      </c>
      <c r="R19" s="3">
        <v>23</v>
      </c>
      <c r="S19" s="1">
        <f t="shared" si="2"/>
        <v>2148.2000000000003</v>
      </c>
      <c r="V19" s="2" t="s">
        <v>5</v>
      </c>
      <c r="Y19" s="1">
        <f t="shared" si="3"/>
        <v>0</v>
      </c>
    </row>
    <row r="20" spans="2:25" x14ac:dyDescent="0.3">
      <c r="B20" s="2" t="s">
        <v>82</v>
      </c>
      <c r="E20" s="1">
        <f t="shared" si="0"/>
        <v>0</v>
      </c>
      <c r="J20" s="2" t="s">
        <v>82</v>
      </c>
      <c r="M20" s="1">
        <f t="shared" si="1"/>
        <v>0</v>
      </c>
      <c r="P20" s="2" t="s">
        <v>82</v>
      </c>
      <c r="S20" s="1">
        <f t="shared" si="2"/>
        <v>0</v>
      </c>
      <c r="V20" s="2" t="s">
        <v>90</v>
      </c>
      <c r="W20" s="8">
        <v>174.8</v>
      </c>
      <c r="X20" s="3">
        <v>44</v>
      </c>
      <c r="Y20" s="1">
        <f t="shared" si="3"/>
        <v>7691.2000000000007</v>
      </c>
    </row>
    <row r="21" spans="2:25" x14ac:dyDescent="0.3">
      <c r="B21" s="2" t="s">
        <v>5</v>
      </c>
      <c r="E21" s="1">
        <f t="shared" si="0"/>
        <v>0</v>
      </c>
      <c r="J21" s="2" t="s">
        <v>5</v>
      </c>
      <c r="K21" s="8">
        <v>6.9</v>
      </c>
      <c r="L21" s="3">
        <v>36</v>
      </c>
      <c r="M21" s="1">
        <f t="shared" si="1"/>
        <v>248.4</v>
      </c>
      <c r="P21" s="2" t="s">
        <v>5</v>
      </c>
      <c r="S21" s="1">
        <f t="shared" si="2"/>
        <v>0</v>
      </c>
      <c r="V21" s="2" t="s">
        <v>88</v>
      </c>
      <c r="W21" s="8">
        <v>283.8</v>
      </c>
      <c r="X21" s="3">
        <v>37</v>
      </c>
      <c r="Y21" s="1">
        <f t="shared" si="3"/>
        <v>10500.6</v>
      </c>
    </row>
    <row r="22" spans="2:25" x14ac:dyDescent="0.3">
      <c r="B22" s="2" t="s">
        <v>11</v>
      </c>
      <c r="C22" s="8">
        <v>6.4</v>
      </c>
      <c r="D22" s="3">
        <v>16</v>
      </c>
      <c r="E22" s="1">
        <f t="shared" si="0"/>
        <v>102.4</v>
      </c>
      <c r="M22" s="1">
        <v>0</v>
      </c>
      <c r="S22" s="1"/>
      <c r="Y22" s="1"/>
    </row>
    <row r="23" spans="2:25" x14ac:dyDescent="0.3">
      <c r="B23" s="2" t="s">
        <v>97</v>
      </c>
      <c r="C23" s="8">
        <v>183.2</v>
      </c>
      <c r="D23" s="3">
        <v>39</v>
      </c>
      <c r="E23" s="1">
        <f t="shared" si="0"/>
        <v>7144.7999999999993</v>
      </c>
      <c r="J23" s="2" t="s">
        <v>97</v>
      </c>
      <c r="K23" s="8">
        <v>454.8</v>
      </c>
      <c r="L23" s="3">
        <v>37</v>
      </c>
      <c r="M23" s="1">
        <f t="shared" si="1"/>
        <v>16827.600000000002</v>
      </c>
      <c r="P23" s="2" t="s">
        <v>97</v>
      </c>
      <c r="Q23" s="8">
        <v>237</v>
      </c>
      <c r="R23" s="3">
        <v>41</v>
      </c>
      <c r="S23" s="1">
        <f t="shared" si="2"/>
        <v>9717</v>
      </c>
      <c r="V23" s="2" t="s">
        <v>26</v>
      </c>
      <c r="Y23" s="1">
        <f t="shared" si="3"/>
        <v>0</v>
      </c>
    </row>
    <row r="24" spans="2:25" x14ac:dyDescent="0.3">
      <c r="B24" s="2" t="s">
        <v>90</v>
      </c>
      <c r="E24" s="1">
        <f t="shared" si="0"/>
        <v>0</v>
      </c>
      <c r="J24" s="2" t="s">
        <v>90</v>
      </c>
      <c r="M24" s="1">
        <f t="shared" si="1"/>
        <v>0</v>
      </c>
      <c r="P24" s="2" t="s">
        <v>90</v>
      </c>
      <c r="S24" s="1">
        <f t="shared" si="2"/>
        <v>0</v>
      </c>
      <c r="V24" s="2" t="s">
        <v>74</v>
      </c>
      <c r="Y24" s="1">
        <f t="shared" si="3"/>
        <v>0</v>
      </c>
    </row>
    <row r="25" spans="2:25" x14ac:dyDescent="0.3">
      <c r="B25" s="2" t="s">
        <v>26</v>
      </c>
      <c r="E25" s="1">
        <f t="shared" si="0"/>
        <v>0</v>
      </c>
      <c r="J25" s="2" t="s">
        <v>26</v>
      </c>
      <c r="M25" s="1">
        <f t="shared" si="1"/>
        <v>0</v>
      </c>
      <c r="P25" s="2" t="s">
        <v>26</v>
      </c>
      <c r="S25" s="1">
        <f t="shared" si="2"/>
        <v>0</v>
      </c>
      <c r="V25" s="2" t="s">
        <v>25</v>
      </c>
      <c r="Y25" s="1">
        <f t="shared" si="3"/>
        <v>0</v>
      </c>
    </row>
    <row r="26" spans="2:25" x14ac:dyDescent="0.3">
      <c r="B26" s="2" t="s">
        <v>74</v>
      </c>
      <c r="C26" s="8">
        <v>2.75</v>
      </c>
      <c r="D26" s="3">
        <v>66</v>
      </c>
      <c r="E26" s="1">
        <f t="shared" si="0"/>
        <v>181.5</v>
      </c>
      <c r="J26" s="2" t="s">
        <v>74</v>
      </c>
      <c r="M26" s="1">
        <f t="shared" si="1"/>
        <v>0</v>
      </c>
      <c r="P26" s="2" t="s">
        <v>74</v>
      </c>
      <c r="S26" s="1">
        <f t="shared" si="2"/>
        <v>0</v>
      </c>
      <c r="V26" s="2" t="s">
        <v>19</v>
      </c>
      <c r="W26" s="8">
        <v>110</v>
      </c>
      <c r="X26" s="3">
        <v>16</v>
      </c>
      <c r="Y26" s="1">
        <f t="shared" si="3"/>
        <v>1760</v>
      </c>
    </row>
    <row r="27" spans="2:25" x14ac:dyDescent="0.3">
      <c r="B27" s="2" t="s">
        <v>25</v>
      </c>
      <c r="C27" s="8">
        <f>3.75+16.15</f>
        <v>19.899999999999999</v>
      </c>
      <c r="D27" s="3">
        <v>22</v>
      </c>
      <c r="E27" s="1">
        <f t="shared" si="0"/>
        <v>437.79999999999995</v>
      </c>
      <c r="J27" s="2" t="s">
        <v>25</v>
      </c>
      <c r="K27" s="8">
        <v>10.050000000000001</v>
      </c>
      <c r="L27" s="3">
        <v>24</v>
      </c>
      <c r="M27" s="1">
        <f t="shared" si="1"/>
        <v>241.20000000000002</v>
      </c>
      <c r="P27" s="2" t="s">
        <v>25</v>
      </c>
      <c r="S27" s="1">
        <f t="shared" si="2"/>
        <v>0</v>
      </c>
      <c r="V27" s="10" t="s">
        <v>15</v>
      </c>
      <c r="W27" s="11">
        <v>762.16</v>
      </c>
      <c r="X27" s="12">
        <v>50</v>
      </c>
      <c r="Y27" s="1">
        <f t="shared" si="3"/>
        <v>38108</v>
      </c>
    </row>
    <row r="28" spans="2:25" x14ac:dyDescent="0.3">
      <c r="B28" s="2" t="s">
        <v>19</v>
      </c>
      <c r="E28" s="1">
        <f t="shared" si="0"/>
        <v>0</v>
      </c>
      <c r="J28" s="2" t="s">
        <v>19</v>
      </c>
      <c r="M28" s="1">
        <f t="shared" si="1"/>
        <v>0</v>
      </c>
      <c r="P28" s="2" t="s">
        <v>19</v>
      </c>
      <c r="Q28" s="8">
        <v>90</v>
      </c>
      <c r="R28" s="3">
        <v>16</v>
      </c>
      <c r="S28" s="1">
        <f t="shared" si="2"/>
        <v>1440</v>
      </c>
      <c r="V28" s="10" t="s">
        <v>77</v>
      </c>
      <c r="W28" s="11">
        <v>27.22</v>
      </c>
      <c r="X28" s="12">
        <v>36</v>
      </c>
      <c r="Y28" s="1">
        <f t="shared" si="3"/>
        <v>979.92</v>
      </c>
    </row>
    <row r="29" spans="2:25" x14ac:dyDescent="0.3">
      <c r="B29" s="2" t="s">
        <v>15</v>
      </c>
      <c r="C29" s="8">
        <f>17*27.22</f>
        <v>462.74</v>
      </c>
      <c r="D29" s="3">
        <v>51</v>
      </c>
      <c r="E29" s="1">
        <f t="shared" si="0"/>
        <v>23599.74</v>
      </c>
      <c r="M29" s="1">
        <v>0</v>
      </c>
      <c r="S29" s="1"/>
      <c r="V29" s="10"/>
      <c r="W29" s="11"/>
      <c r="X29" s="12"/>
      <c r="Y29" s="1"/>
    </row>
    <row r="30" spans="2:25" x14ac:dyDescent="0.3">
      <c r="B30" s="10" t="s">
        <v>5</v>
      </c>
      <c r="C30" s="11"/>
      <c r="D30" s="12"/>
      <c r="E30" s="1">
        <f t="shared" si="0"/>
        <v>0</v>
      </c>
      <c r="J30" s="10" t="s">
        <v>5</v>
      </c>
      <c r="K30" s="11">
        <v>3.65</v>
      </c>
      <c r="L30" s="12">
        <v>43</v>
      </c>
      <c r="M30" s="1">
        <f t="shared" si="1"/>
        <v>156.94999999999999</v>
      </c>
      <c r="P30" s="10" t="s">
        <v>15</v>
      </c>
      <c r="Q30" s="11">
        <v>27.22</v>
      </c>
      <c r="R30" s="12">
        <v>50</v>
      </c>
      <c r="S30" s="1">
        <f t="shared" si="2"/>
        <v>1361</v>
      </c>
      <c r="V30" s="2" t="s">
        <v>27</v>
      </c>
      <c r="Y30" s="1">
        <f t="shared" si="3"/>
        <v>0</v>
      </c>
    </row>
    <row r="31" spans="2:25" x14ac:dyDescent="0.3">
      <c r="B31" s="10" t="s">
        <v>77</v>
      </c>
      <c r="C31" s="11">
        <f>13.61*5</f>
        <v>68.05</v>
      </c>
      <c r="D31" s="12">
        <v>31</v>
      </c>
      <c r="E31" s="1">
        <f t="shared" si="0"/>
        <v>2109.5499999999997</v>
      </c>
      <c r="J31" s="10" t="s">
        <v>77</v>
      </c>
      <c r="K31" s="11">
        <v>13.61</v>
      </c>
      <c r="L31" s="12">
        <v>36</v>
      </c>
      <c r="M31" s="1">
        <f t="shared" si="1"/>
        <v>489.96</v>
      </c>
      <c r="P31" s="10" t="s">
        <v>77</v>
      </c>
      <c r="Q31" s="11">
        <v>27.22</v>
      </c>
      <c r="R31" s="12">
        <v>36</v>
      </c>
      <c r="S31" s="1">
        <f t="shared" si="2"/>
        <v>979.92</v>
      </c>
      <c r="V31" s="2" t="s">
        <v>4</v>
      </c>
      <c r="W31" s="8">
        <v>26.55</v>
      </c>
      <c r="X31" s="3">
        <v>55</v>
      </c>
      <c r="Y31" s="1">
        <f t="shared" si="3"/>
        <v>1460.25</v>
      </c>
    </row>
    <row r="32" spans="2:25" x14ac:dyDescent="0.3">
      <c r="B32" s="2" t="s">
        <v>27</v>
      </c>
      <c r="C32" s="8">
        <v>2.65</v>
      </c>
      <c r="D32" s="3">
        <v>26</v>
      </c>
      <c r="E32" s="1">
        <f t="shared" si="0"/>
        <v>68.899999999999991</v>
      </c>
      <c r="J32" s="2" t="s">
        <v>27</v>
      </c>
      <c r="K32" s="8">
        <v>15.8</v>
      </c>
      <c r="L32" s="3">
        <v>26</v>
      </c>
      <c r="M32" s="1">
        <f t="shared" si="1"/>
        <v>410.8</v>
      </c>
      <c r="P32" s="2" t="s">
        <v>27</v>
      </c>
      <c r="S32" s="1">
        <f t="shared" si="2"/>
        <v>0</v>
      </c>
      <c r="V32" s="2" t="s">
        <v>23</v>
      </c>
      <c r="Y32" s="1">
        <f t="shared" si="3"/>
        <v>0</v>
      </c>
    </row>
    <row r="33" spans="2:25" x14ac:dyDescent="0.3">
      <c r="B33" s="2" t="s">
        <v>4</v>
      </c>
      <c r="E33" s="1">
        <f t="shared" si="0"/>
        <v>0</v>
      </c>
      <c r="J33" s="2" t="s">
        <v>4</v>
      </c>
      <c r="K33" s="8">
        <v>12.7</v>
      </c>
      <c r="L33" s="3">
        <v>50</v>
      </c>
      <c r="M33" s="1">
        <f t="shared" si="1"/>
        <v>635</v>
      </c>
      <c r="P33" s="2" t="s">
        <v>4</v>
      </c>
      <c r="Q33" s="8">
        <v>20.75</v>
      </c>
      <c r="R33" s="3">
        <v>50</v>
      </c>
      <c r="S33" s="1">
        <f t="shared" si="2"/>
        <v>1037.5</v>
      </c>
      <c r="V33" s="2" t="s">
        <v>83</v>
      </c>
      <c r="Y33" s="1">
        <f t="shared" si="3"/>
        <v>0</v>
      </c>
    </row>
    <row r="34" spans="2:25" x14ac:dyDescent="0.3">
      <c r="B34" s="2" t="s">
        <v>86</v>
      </c>
      <c r="C34" s="8">
        <f>522+132.4</f>
        <v>654.4</v>
      </c>
      <c r="D34" s="3">
        <v>30</v>
      </c>
      <c r="E34" s="1">
        <f t="shared" si="0"/>
        <v>19632</v>
      </c>
      <c r="J34" s="2" t="s">
        <v>86</v>
      </c>
      <c r="K34" s="8">
        <v>808.31</v>
      </c>
      <c r="L34" s="3">
        <v>27.5</v>
      </c>
      <c r="M34" s="1">
        <f t="shared" si="1"/>
        <v>22228.524999999998</v>
      </c>
      <c r="P34" s="2" t="s">
        <v>86</v>
      </c>
      <c r="Q34" s="8">
        <v>442.78</v>
      </c>
      <c r="R34" s="3">
        <v>33</v>
      </c>
      <c r="S34" s="1">
        <f t="shared" si="2"/>
        <v>14611.74</v>
      </c>
      <c r="V34" s="2" t="s">
        <v>86</v>
      </c>
      <c r="W34" s="8">
        <v>433</v>
      </c>
      <c r="X34" s="3">
        <v>32</v>
      </c>
      <c r="Y34" s="1">
        <f t="shared" si="3"/>
        <v>13856</v>
      </c>
    </row>
    <row r="35" spans="2:25" x14ac:dyDescent="0.3">
      <c r="B35" s="2" t="s">
        <v>23</v>
      </c>
      <c r="E35" s="1">
        <f t="shared" si="0"/>
        <v>0</v>
      </c>
      <c r="J35" s="2" t="s">
        <v>23</v>
      </c>
      <c r="M35" s="1">
        <f t="shared" si="1"/>
        <v>0</v>
      </c>
      <c r="P35" s="2" t="s">
        <v>23</v>
      </c>
      <c r="S35" s="1">
        <f t="shared" si="2"/>
        <v>0</v>
      </c>
      <c r="V35" s="2" t="s">
        <v>20</v>
      </c>
      <c r="W35" s="8">
        <v>13.9</v>
      </c>
      <c r="X35" s="3">
        <v>82</v>
      </c>
      <c r="Y35" s="1">
        <f t="shared" si="3"/>
        <v>1139.8</v>
      </c>
    </row>
    <row r="36" spans="2:25" x14ac:dyDescent="0.3">
      <c r="B36" s="2" t="s">
        <v>83</v>
      </c>
      <c r="E36" s="1">
        <f t="shared" si="0"/>
        <v>0</v>
      </c>
      <c r="J36" s="2" t="s">
        <v>83</v>
      </c>
      <c r="M36" s="1">
        <f t="shared" si="1"/>
        <v>0</v>
      </c>
      <c r="P36" s="2" t="s">
        <v>83</v>
      </c>
      <c r="S36" s="1">
        <f t="shared" si="2"/>
        <v>0</v>
      </c>
      <c r="V36" s="10" t="s">
        <v>9</v>
      </c>
      <c r="W36" s="11">
        <v>66</v>
      </c>
      <c r="X36" s="12">
        <v>740</v>
      </c>
      <c r="Y36" s="1">
        <f t="shared" si="3"/>
        <v>48840</v>
      </c>
    </row>
    <row r="37" spans="2:25" x14ac:dyDescent="0.3">
      <c r="B37" s="2" t="s">
        <v>20</v>
      </c>
      <c r="C37" s="8">
        <f>26+37</f>
        <v>63</v>
      </c>
      <c r="D37" s="3">
        <v>78</v>
      </c>
      <c r="E37" s="1">
        <f t="shared" si="0"/>
        <v>4914</v>
      </c>
      <c r="J37" s="2" t="s">
        <v>20</v>
      </c>
      <c r="K37" s="8">
        <v>1.5</v>
      </c>
      <c r="L37" s="3">
        <v>75</v>
      </c>
      <c r="M37" s="1">
        <f t="shared" si="1"/>
        <v>112.5</v>
      </c>
      <c r="P37" s="2" t="s">
        <v>20</v>
      </c>
      <c r="Q37" s="8">
        <v>31.5</v>
      </c>
      <c r="R37" s="3">
        <v>78</v>
      </c>
      <c r="S37" s="1">
        <f t="shared" si="2"/>
        <v>2457</v>
      </c>
      <c r="V37" s="2" t="s">
        <v>17</v>
      </c>
      <c r="W37" s="8">
        <v>150</v>
      </c>
      <c r="X37" s="3">
        <v>600</v>
      </c>
      <c r="Y37" s="1">
        <f t="shared" si="3"/>
        <v>90000</v>
      </c>
    </row>
    <row r="38" spans="2:25" x14ac:dyDescent="0.3">
      <c r="B38" s="10" t="s">
        <v>94</v>
      </c>
      <c r="C38" s="11">
        <v>6</v>
      </c>
      <c r="D38" s="12">
        <v>740</v>
      </c>
      <c r="E38" s="1">
        <f t="shared" si="0"/>
        <v>4440</v>
      </c>
      <c r="J38" s="10" t="s">
        <v>94</v>
      </c>
      <c r="K38" s="11">
        <v>61</v>
      </c>
      <c r="L38" s="12">
        <v>740</v>
      </c>
      <c r="M38" s="1">
        <f t="shared" si="1"/>
        <v>45140</v>
      </c>
      <c r="P38" s="10" t="s">
        <v>94</v>
      </c>
      <c r="Q38" s="11">
        <v>65</v>
      </c>
      <c r="R38" s="12">
        <v>740</v>
      </c>
      <c r="S38" s="1">
        <f t="shared" si="2"/>
        <v>48100</v>
      </c>
      <c r="V38" s="2" t="s">
        <v>12</v>
      </c>
      <c r="W38" s="8">
        <v>54</v>
      </c>
      <c r="X38" s="3">
        <v>40</v>
      </c>
      <c r="Y38" s="1">
        <f t="shared" si="3"/>
        <v>2160</v>
      </c>
    </row>
    <row r="39" spans="2:25" x14ac:dyDescent="0.3">
      <c r="B39" s="2" t="s">
        <v>17</v>
      </c>
      <c r="C39" s="8">
        <v>13</v>
      </c>
      <c r="D39" s="3">
        <v>600</v>
      </c>
      <c r="E39" s="1">
        <f t="shared" si="0"/>
        <v>7800</v>
      </c>
      <c r="J39" s="2" t="s">
        <v>17</v>
      </c>
      <c r="K39" s="8">
        <f>15*10</f>
        <v>150</v>
      </c>
      <c r="L39" s="3">
        <v>600</v>
      </c>
      <c r="M39" s="1">
        <f t="shared" si="1"/>
        <v>90000</v>
      </c>
      <c r="P39" s="2" t="s">
        <v>17</v>
      </c>
      <c r="Q39" s="8">
        <v>15</v>
      </c>
      <c r="R39" s="3">
        <v>60</v>
      </c>
      <c r="S39" s="1">
        <f t="shared" si="2"/>
        <v>900</v>
      </c>
      <c r="V39" s="2" t="s">
        <v>24</v>
      </c>
      <c r="W39" s="8">
        <v>9.9499999999999993</v>
      </c>
      <c r="X39" s="3">
        <v>13</v>
      </c>
      <c r="Y39" s="1">
        <f t="shared" si="3"/>
        <v>129.35</v>
      </c>
    </row>
    <row r="40" spans="2:25" x14ac:dyDescent="0.3">
      <c r="B40" s="2" t="s">
        <v>12</v>
      </c>
      <c r="C40" s="8">
        <v>20</v>
      </c>
      <c r="D40" s="3">
        <v>28</v>
      </c>
      <c r="E40" s="1">
        <f t="shared" si="0"/>
        <v>560</v>
      </c>
      <c r="J40" s="2" t="s">
        <v>12</v>
      </c>
      <c r="K40" s="8">
        <v>26</v>
      </c>
      <c r="L40" s="3">
        <v>28</v>
      </c>
      <c r="M40" s="1">
        <f t="shared" si="1"/>
        <v>728</v>
      </c>
      <c r="P40" s="2" t="s">
        <v>12</v>
      </c>
      <c r="Q40" s="8">
        <v>40</v>
      </c>
      <c r="R40" s="3">
        <v>25</v>
      </c>
      <c r="S40" s="1">
        <f t="shared" si="2"/>
        <v>1000</v>
      </c>
      <c r="V40" s="2" t="s">
        <v>81</v>
      </c>
      <c r="Y40" s="1">
        <f t="shared" si="3"/>
        <v>0</v>
      </c>
    </row>
    <row r="41" spans="2:25" x14ac:dyDescent="0.3">
      <c r="B41" s="2" t="s">
        <v>24</v>
      </c>
      <c r="E41" s="1">
        <f t="shared" si="0"/>
        <v>0</v>
      </c>
      <c r="J41" s="2" t="s">
        <v>24</v>
      </c>
      <c r="M41" s="1">
        <f t="shared" si="1"/>
        <v>0</v>
      </c>
      <c r="P41" s="2" t="s">
        <v>24</v>
      </c>
      <c r="S41" s="1">
        <f t="shared" si="2"/>
        <v>0</v>
      </c>
      <c r="V41" s="2" t="s">
        <v>82</v>
      </c>
      <c r="W41" s="8">
        <v>5.85</v>
      </c>
      <c r="X41" s="3">
        <v>26</v>
      </c>
      <c r="Y41" s="1">
        <f t="shared" si="3"/>
        <v>152.1</v>
      </c>
    </row>
    <row r="42" spans="2:25" x14ac:dyDescent="0.3">
      <c r="B42" s="2" t="s">
        <v>98</v>
      </c>
      <c r="C42" s="8">
        <v>8.6</v>
      </c>
      <c r="D42" s="3">
        <v>28</v>
      </c>
      <c r="E42" s="1">
        <f t="shared" si="0"/>
        <v>240.79999999999998</v>
      </c>
      <c r="J42" s="2" t="s">
        <v>98</v>
      </c>
      <c r="M42" s="1">
        <f t="shared" ref="M42" si="4">L42*K42</f>
        <v>0</v>
      </c>
      <c r="P42" s="2" t="s">
        <v>98</v>
      </c>
      <c r="Q42" s="8">
        <v>15.5</v>
      </c>
      <c r="R42" s="3">
        <v>26</v>
      </c>
      <c r="S42" s="1">
        <f t="shared" ref="S42" si="5">R42*Q42</f>
        <v>403</v>
      </c>
      <c r="V42" s="2" t="s">
        <v>92</v>
      </c>
      <c r="W42" s="8">
        <v>204</v>
      </c>
      <c r="X42" s="3">
        <v>70</v>
      </c>
      <c r="Y42" s="1">
        <f t="shared" si="3"/>
        <v>14280</v>
      </c>
    </row>
    <row r="43" spans="2:25" ht="19.5" thickBot="1" x14ac:dyDescent="0.35">
      <c r="B43"/>
      <c r="C43"/>
      <c r="D43" s="7" t="s">
        <v>13</v>
      </c>
      <c r="E43" s="6">
        <f>SUM(E3:E42)</f>
        <v>212472.36999999994</v>
      </c>
      <c r="J43"/>
      <c r="K43"/>
      <c r="L43" s="7" t="s">
        <v>13</v>
      </c>
      <c r="M43" s="6">
        <f>SUM(M3:M42)</f>
        <v>278161.79500000004</v>
      </c>
      <c r="P43"/>
      <c r="Q43"/>
      <c r="R43" s="7" t="s">
        <v>13</v>
      </c>
      <c r="S43" s="6">
        <f>SUM(S7:S42)</f>
        <v>506021.79</v>
      </c>
      <c r="V43"/>
      <c r="W43"/>
      <c r="X43" s="7" t="s">
        <v>13</v>
      </c>
      <c r="Y43" s="6">
        <f>SUM(Y7:Y42)</f>
        <v>459987.73999999993</v>
      </c>
    </row>
    <row r="44" spans="2:25" ht="19.5" thickTop="1" x14ac:dyDescent="0.3">
      <c r="B44"/>
      <c r="C44"/>
      <c r="E44" s="1"/>
      <c r="J44"/>
      <c r="K44"/>
      <c r="M44" s="1"/>
      <c r="P44"/>
      <c r="Q44"/>
      <c r="S44" s="1"/>
      <c r="V44"/>
      <c r="W44"/>
      <c r="Y44" s="1"/>
    </row>
  </sheetData>
  <sortState ref="P3:S37">
    <sortCondition ref="P3:P37"/>
  </sortState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6"/>
  <sheetViews>
    <sheetView topLeftCell="A28" workbookViewId="0">
      <selection activeCell="F23" sqref="F23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4.42578125" style="3" bestFit="1" customWidth="1"/>
    <col min="5" max="5" width="18.5703125" style="2" customWidth="1"/>
    <col min="9" max="9" width="19.42578125" style="2" bestFit="1" customWidth="1"/>
    <col min="10" max="10" width="12.7109375" style="8" bestFit="1" customWidth="1"/>
    <col min="11" max="11" width="14.42578125" style="3" bestFit="1" customWidth="1"/>
    <col min="12" max="12" width="18.5703125" style="2" customWidth="1"/>
    <col min="15" max="15" width="19.42578125" style="2" bestFit="1" customWidth="1"/>
    <col min="16" max="16" width="12.7109375" style="8" bestFit="1" customWidth="1"/>
    <col min="17" max="17" width="14.42578125" style="3" bestFit="1" customWidth="1"/>
    <col min="18" max="18" width="18.5703125" style="2" customWidth="1"/>
    <col min="22" max="22" width="19.42578125" style="2" bestFit="1" customWidth="1"/>
    <col min="23" max="23" width="12.7109375" style="8" bestFit="1" customWidth="1"/>
    <col min="24" max="24" width="12.28515625" style="3" bestFit="1" customWidth="1"/>
    <col min="25" max="25" width="18.5703125" style="2" customWidth="1"/>
    <col min="29" max="29" width="19.42578125" style="2" bestFit="1" customWidth="1"/>
    <col min="30" max="30" width="12.7109375" style="8" bestFit="1" customWidth="1"/>
    <col min="31" max="31" width="12.28515625" style="3" bestFit="1" customWidth="1"/>
    <col min="32" max="32" width="18.5703125" style="2" customWidth="1"/>
  </cols>
  <sheetData>
    <row r="2" spans="2:32" ht="19.5" thickBot="1" x14ac:dyDescent="0.35">
      <c r="B2" s="13" t="s">
        <v>122</v>
      </c>
      <c r="C2" s="9"/>
      <c r="D2" s="4"/>
      <c r="E2" s="5"/>
      <c r="I2" s="13" t="s">
        <v>119</v>
      </c>
      <c r="J2" s="9"/>
      <c r="K2" s="4"/>
      <c r="L2" s="5"/>
      <c r="O2" s="13" t="s">
        <v>117</v>
      </c>
      <c r="P2" s="9"/>
      <c r="Q2" s="4"/>
      <c r="R2" s="5"/>
      <c r="V2" s="13" t="s">
        <v>113</v>
      </c>
      <c r="W2" s="9"/>
      <c r="X2" s="4"/>
      <c r="Y2" s="5"/>
      <c r="AC2" s="13" t="s">
        <v>106</v>
      </c>
      <c r="AD2" s="9"/>
      <c r="AE2" s="4"/>
      <c r="AF2" s="5"/>
    </row>
    <row r="3" spans="2:32" ht="19.5" thickTop="1" x14ac:dyDescent="0.3">
      <c r="B3" s="2" t="s">
        <v>10</v>
      </c>
      <c r="C3" s="8">
        <v>95.27</v>
      </c>
      <c r="D3" s="3">
        <v>39</v>
      </c>
      <c r="E3" s="1">
        <f t="shared" ref="E3:E44" si="0">D3*C3</f>
        <v>3715.5299999999997</v>
      </c>
      <c r="I3" s="2" t="s">
        <v>10</v>
      </c>
      <c r="J3" s="8">
        <f>13.6+13.6+13.6</f>
        <v>40.799999999999997</v>
      </c>
      <c r="K3" s="3">
        <v>36</v>
      </c>
      <c r="L3" s="1">
        <f t="shared" ref="L3:L44" si="1">K3*J3</f>
        <v>1468.8</v>
      </c>
      <c r="O3" s="2" t="s">
        <v>10</v>
      </c>
      <c r="P3" s="8">
        <v>13.6</v>
      </c>
      <c r="Q3" s="3">
        <v>46</v>
      </c>
      <c r="R3" s="1">
        <f t="shared" ref="R3:R44" si="2">Q3*P3</f>
        <v>625.6</v>
      </c>
      <c r="V3" s="2" t="s">
        <v>18</v>
      </c>
      <c r="W3" s="8">
        <f>17.23+21.91+15.41+23.63</f>
        <v>78.179999999999993</v>
      </c>
      <c r="X3" s="3">
        <v>82</v>
      </c>
      <c r="Y3" s="1">
        <f t="shared" ref="Y3:Y44" si="3">X3*W3</f>
        <v>6410.7599999999993</v>
      </c>
      <c r="AC3" s="2" t="s">
        <v>102</v>
      </c>
      <c r="AF3" s="1">
        <f t="shared" ref="AF3:AF44" si="4">AE3*AD3</f>
        <v>0</v>
      </c>
    </row>
    <row r="4" spans="2:32" x14ac:dyDescent="0.3">
      <c r="B4" s="2" t="s">
        <v>75</v>
      </c>
      <c r="C4" s="8">
        <v>9.4</v>
      </c>
      <c r="D4" s="3">
        <v>58</v>
      </c>
      <c r="E4" s="1">
        <f t="shared" si="0"/>
        <v>545.20000000000005</v>
      </c>
      <c r="I4" s="2" t="s">
        <v>75</v>
      </c>
      <c r="J4" s="8">
        <v>5.35</v>
      </c>
      <c r="K4" s="3">
        <v>58</v>
      </c>
      <c r="L4" s="1">
        <f t="shared" si="1"/>
        <v>310.29999999999995</v>
      </c>
      <c r="O4" s="2" t="s">
        <v>75</v>
      </c>
      <c r="R4" s="1">
        <f t="shared" si="2"/>
        <v>0</v>
      </c>
      <c r="V4" s="2" t="s">
        <v>10</v>
      </c>
      <c r="W4" s="8">
        <f>13.6+4</f>
        <v>17.600000000000001</v>
      </c>
      <c r="X4" s="3">
        <v>56</v>
      </c>
      <c r="Y4" s="1">
        <f t="shared" si="3"/>
        <v>985.60000000000014</v>
      </c>
      <c r="AC4" s="2" t="s">
        <v>10</v>
      </c>
      <c r="AD4" s="8">
        <f>13.61*8</f>
        <v>108.88</v>
      </c>
      <c r="AE4" s="3">
        <v>39</v>
      </c>
      <c r="AF4" s="1">
        <f t="shared" si="4"/>
        <v>4246.32</v>
      </c>
    </row>
    <row r="5" spans="2:32" x14ac:dyDescent="0.3">
      <c r="B5" s="2" t="s">
        <v>73</v>
      </c>
      <c r="C5" s="8">
        <v>103.4</v>
      </c>
      <c r="D5" s="3">
        <v>18</v>
      </c>
      <c r="E5" s="1">
        <f t="shared" si="0"/>
        <v>1861.2</v>
      </c>
      <c r="I5" s="2" t="s">
        <v>73</v>
      </c>
      <c r="J5" s="8">
        <v>66.400000000000006</v>
      </c>
      <c r="K5" s="3">
        <v>24</v>
      </c>
      <c r="L5" s="1">
        <f t="shared" si="1"/>
        <v>1593.6000000000001</v>
      </c>
      <c r="O5" s="2" t="s">
        <v>73</v>
      </c>
      <c r="P5" s="8">
        <v>127.6</v>
      </c>
      <c r="Q5" s="3">
        <v>20</v>
      </c>
      <c r="R5" s="1">
        <f t="shared" si="2"/>
        <v>2552</v>
      </c>
      <c r="V5" s="2" t="s">
        <v>75</v>
      </c>
      <c r="W5" s="8">
        <v>9.4499999999999993</v>
      </c>
      <c r="X5" s="3">
        <v>60</v>
      </c>
      <c r="Y5" s="1">
        <f t="shared" si="3"/>
        <v>567</v>
      </c>
      <c r="AC5" s="2" t="s">
        <v>75</v>
      </c>
      <c r="AD5" s="8">
        <v>2.5</v>
      </c>
      <c r="AE5" s="3">
        <v>50</v>
      </c>
      <c r="AF5" s="1">
        <f t="shared" si="4"/>
        <v>125</v>
      </c>
    </row>
    <row r="6" spans="2:32" x14ac:dyDescent="0.3">
      <c r="B6" s="2" t="s">
        <v>2</v>
      </c>
      <c r="E6" s="1">
        <f t="shared" si="0"/>
        <v>0</v>
      </c>
      <c r="I6" s="2" t="s">
        <v>2</v>
      </c>
      <c r="L6" s="1">
        <f t="shared" si="1"/>
        <v>0</v>
      </c>
      <c r="O6" s="2" t="s">
        <v>2</v>
      </c>
      <c r="R6" s="1">
        <f t="shared" si="2"/>
        <v>0</v>
      </c>
      <c r="V6" s="2" t="s">
        <v>73</v>
      </c>
      <c r="W6" s="8">
        <f>25.75+11.45</f>
        <v>37.200000000000003</v>
      </c>
      <c r="X6" s="3">
        <v>20</v>
      </c>
      <c r="Y6" s="1">
        <f t="shared" si="3"/>
        <v>744</v>
      </c>
      <c r="AC6" s="2" t="s">
        <v>73</v>
      </c>
      <c r="AD6" s="8">
        <v>135.4</v>
      </c>
      <c r="AE6" s="3">
        <v>22</v>
      </c>
      <c r="AF6" s="1">
        <f t="shared" si="4"/>
        <v>2978.8</v>
      </c>
    </row>
    <row r="7" spans="2:32" x14ac:dyDescent="0.3">
      <c r="B7" s="2" t="s">
        <v>18</v>
      </c>
      <c r="C7" s="8">
        <f>17.23+21.91+15.41+23.53</f>
        <v>78.08</v>
      </c>
      <c r="D7" s="3">
        <v>80</v>
      </c>
      <c r="E7" s="1">
        <f t="shared" si="0"/>
        <v>6246.4</v>
      </c>
      <c r="I7" s="2" t="s">
        <v>18</v>
      </c>
      <c r="J7" s="8">
        <f>17.23+21.91+15.41+23.63</f>
        <v>78.179999999999993</v>
      </c>
      <c r="K7" s="3">
        <v>84</v>
      </c>
      <c r="L7" s="1">
        <f t="shared" si="1"/>
        <v>6567.119999999999</v>
      </c>
      <c r="O7" s="2" t="s">
        <v>18</v>
      </c>
      <c r="P7" s="8">
        <v>78.38</v>
      </c>
      <c r="Q7" s="3">
        <v>86</v>
      </c>
      <c r="R7" s="1">
        <f t="shared" si="2"/>
        <v>6740.6799999999994</v>
      </c>
      <c r="V7" s="2" t="s">
        <v>2</v>
      </c>
      <c r="W7" s="8">
        <v>174</v>
      </c>
      <c r="X7" s="3">
        <v>42</v>
      </c>
      <c r="Y7" s="1">
        <f t="shared" si="3"/>
        <v>7308</v>
      </c>
      <c r="AC7" s="2" t="s">
        <v>2</v>
      </c>
      <c r="AD7" s="8">
        <v>161.4</v>
      </c>
      <c r="AE7" s="3">
        <v>43</v>
      </c>
      <c r="AF7" s="1">
        <f t="shared" si="4"/>
        <v>6940.2</v>
      </c>
    </row>
    <row r="8" spans="2:32" x14ac:dyDescent="0.3">
      <c r="B8" s="94" t="s">
        <v>115</v>
      </c>
      <c r="E8" s="1">
        <f t="shared" si="0"/>
        <v>0</v>
      </c>
      <c r="I8" s="94" t="s">
        <v>115</v>
      </c>
      <c r="L8" s="1">
        <f t="shared" si="1"/>
        <v>0</v>
      </c>
      <c r="O8" s="94" t="s">
        <v>115</v>
      </c>
      <c r="P8" s="8">
        <v>14.25</v>
      </c>
      <c r="Q8" s="3">
        <v>86</v>
      </c>
      <c r="R8" s="1">
        <f t="shared" si="2"/>
        <v>1225.5</v>
      </c>
      <c r="V8" s="2" t="s">
        <v>112</v>
      </c>
      <c r="W8" s="8">
        <f>19.23+19.91+21.31+18.59</f>
        <v>79.040000000000006</v>
      </c>
      <c r="X8" s="3">
        <v>50</v>
      </c>
      <c r="Y8" s="1">
        <f t="shared" si="3"/>
        <v>3952.0000000000005</v>
      </c>
      <c r="AC8" s="2" t="s">
        <v>112</v>
      </c>
      <c r="AD8" s="8">
        <f>19.23+19.91+21.31+18.59</f>
        <v>79.040000000000006</v>
      </c>
      <c r="AE8" s="3">
        <v>50</v>
      </c>
      <c r="AF8" s="1">
        <f t="shared" si="4"/>
        <v>3952.0000000000005</v>
      </c>
    </row>
    <row r="9" spans="2:32" x14ac:dyDescent="0.3">
      <c r="B9" s="2" t="s">
        <v>116</v>
      </c>
      <c r="C9" s="8">
        <v>154</v>
      </c>
      <c r="D9" s="3">
        <v>24</v>
      </c>
      <c r="E9" s="1">
        <f t="shared" si="0"/>
        <v>3696</v>
      </c>
      <c r="I9" s="2" t="s">
        <v>116</v>
      </c>
      <c r="J9" s="8">
        <v>304.10000000000002</v>
      </c>
      <c r="K9" s="3">
        <v>26</v>
      </c>
      <c r="L9" s="1">
        <f t="shared" si="1"/>
        <v>7906.6</v>
      </c>
      <c r="O9" s="2" t="s">
        <v>116</v>
      </c>
      <c r="P9" s="8">
        <v>392.2</v>
      </c>
      <c r="Q9" s="3">
        <v>24</v>
      </c>
      <c r="R9" s="1">
        <f t="shared" si="2"/>
        <v>9412.7999999999993</v>
      </c>
      <c r="V9" s="2" t="s">
        <v>116</v>
      </c>
      <c r="W9" s="8">
        <f>258.2+74.4</f>
        <v>332.6</v>
      </c>
      <c r="X9" s="3">
        <v>24</v>
      </c>
      <c r="Y9" s="1">
        <f t="shared" si="3"/>
        <v>7982.4000000000005</v>
      </c>
      <c r="AC9" s="2" t="s">
        <v>107</v>
      </c>
      <c r="AD9" s="8">
        <v>356.4</v>
      </c>
      <c r="AE9" s="3">
        <v>20</v>
      </c>
      <c r="AF9" s="1">
        <f t="shared" si="4"/>
        <v>7128</v>
      </c>
    </row>
    <row r="10" spans="2:32" x14ac:dyDescent="0.3">
      <c r="B10" s="2" t="s">
        <v>3</v>
      </c>
      <c r="C10" s="8">
        <f>995+1003+969</f>
        <v>2967</v>
      </c>
      <c r="D10" s="3">
        <v>30</v>
      </c>
      <c r="E10" s="1">
        <f t="shared" si="0"/>
        <v>89010</v>
      </c>
      <c r="I10" s="2" t="s">
        <v>3</v>
      </c>
      <c r="J10" s="8">
        <f>923.5+933.9+893.1</f>
        <v>2750.5</v>
      </c>
      <c r="K10" s="3">
        <v>31</v>
      </c>
      <c r="L10" s="1">
        <f t="shared" si="1"/>
        <v>85265.5</v>
      </c>
      <c r="O10" s="2" t="s">
        <v>3</v>
      </c>
      <c r="P10" s="8">
        <v>898.5</v>
      </c>
      <c r="Q10" s="3">
        <v>33.5</v>
      </c>
      <c r="R10" s="1">
        <f t="shared" si="2"/>
        <v>30099.75</v>
      </c>
      <c r="V10" s="95" t="s">
        <v>5</v>
      </c>
      <c r="W10" s="8">
        <v>24.25</v>
      </c>
      <c r="X10" s="3">
        <v>43</v>
      </c>
      <c r="Y10" s="1">
        <f t="shared" si="3"/>
        <v>1042.75</v>
      </c>
      <c r="AC10" s="95" t="s">
        <v>5</v>
      </c>
      <c r="AD10" s="8">
        <v>4.7</v>
      </c>
      <c r="AE10" s="3">
        <v>43</v>
      </c>
      <c r="AF10" s="1">
        <f t="shared" si="4"/>
        <v>202.1</v>
      </c>
    </row>
    <row r="11" spans="2:32" x14ac:dyDescent="0.3">
      <c r="B11" s="2" t="s">
        <v>0</v>
      </c>
      <c r="C11" s="8">
        <f>29.8+29.1+27.4</f>
        <v>86.300000000000011</v>
      </c>
      <c r="D11" s="3">
        <v>100</v>
      </c>
      <c r="E11" s="1">
        <f t="shared" si="0"/>
        <v>8630.0000000000018</v>
      </c>
      <c r="I11" s="2" t="s">
        <v>0</v>
      </c>
      <c r="J11" s="8">
        <v>29.8</v>
      </c>
      <c r="K11" s="3">
        <v>98</v>
      </c>
      <c r="L11" s="1">
        <f t="shared" si="1"/>
        <v>2920.4</v>
      </c>
      <c r="O11" s="2" t="s">
        <v>0</v>
      </c>
      <c r="P11" s="8">
        <v>298</v>
      </c>
      <c r="Q11" s="3">
        <v>100</v>
      </c>
      <c r="R11" s="1">
        <f t="shared" si="2"/>
        <v>29800</v>
      </c>
      <c r="V11" s="44" t="s">
        <v>105</v>
      </c>
      <c r="Y11" s="1">
        <f t="shared" si="3"/>
        <v>0</v>
      </c>
      <c r="AC11" s="44" t="s">
        <v>105</v>
      </c>
      <c r="AF11" s="1">
        <f t="shared" si="4"/>
        <v>0</v>
      </c>
    </row>
    <row r="12" spans="2:32" x14ac:dyDescent="0.3">
      <c r="B12" s="2" t="s">
        <v>81</v>
      </c>
      <c r="E12" s="1">
        <f t="shared" si="0"/>
        <v>0</v>
      </c>
      <c r="I12" s="2" t="s">
        <v>81</v>
      </c>
      <c r="L12" s="1">
        <f t="shared" si="1"/>
        <v>0</v>
      </c>
      <c r="O12" s="2" t="s">
        <v>81</v>
      </c>
      <c r="R12" s="1">
        <f t="shared" si="2"/>
        <v>0</v>
      </c>
      <c r="V12" s="44" t="s">
        <v>109</v>
      </c>
      <c r="Y12" s="1">
        <f t="shared" si="3"/>
        <v>0</v>
      </c>
      <c r="AC12" s="44" t="s">
        <v>109</v>
      </c>
      <c r="AD12" s="8">
        <v>4.3</v>
      </c>
      <c r="AE12" s="3">
        <v>38</v>
      </c>
      <c r="AF12" s="1">
        <f t="shared" si="4"/>
        <v>163.4</v>
      </c>
    </row>
    <row r="13" spans="2:32" x14ac:dyDescent="0.3">
      <c r="B13" s="2" t="s">
        <v>112</v>
      </c>
      <c r="C13" s="8">
        <f>19.23+19.91+21.31+18.59</f>
        <v>79.040000000000006</v>
      </c>
      <c r="D13" s="3">
        <v>5</v>
      </c>
      <c r="E13" s="1">
        <f t="shared" si="0"/>
        <v>395.20000000000005</v>
      </c>
      <c r="I13" s="2" t="s">
        <v>112</v>
      </c>
      <c r="J13" s="8">
        <f>19.23+19.91+21.31+18.59</f>
        <v>79.040000000000006</v>
      </c>
      <c r="K13" s="3">
        <v>40</v>
      </c>
      <c r="L13" s="1">
        <f t="shared" si="1"/>
        <v>3161.6000000000004</v>
      </c>
      <c r="O13" s="2" t="s">
        <v>112</v>
      </c>
      <c r="P13" s="8">
        <v>79.040000000000006</v>
      </c>
      <c r="Q13" s="3">
        <v>51</v>
      </c>
      <c r="R13" s="1">
        <f t="shared" si="2"/>
        <v>4031.0400000000004</v>
      </c>
      <c r="V13" s="2" t="s">
        <v>3</v>
      </c>
      <c r="W13" s="8">
        <f>926.08+911.56+928.8+926.98+949.66+905.22+920.63+939.23+934.24+955.56+967.35</f>
        <v>10265.31</v>
      </c>
      <c r="X13" s="3">
        <v>32.5</v>
      </c>
      <c r="Y13" s="1">
        <f t="shared" si="3"/>
        <v>333622.57500000001</v>
      </c>
      <c r="AC13" s="2" t="s">
        <v>3</v>
      </c>
      <c r="AF13" s="1">
        <f t="shared" si="4"/>
        <v>0</v>
      </c>
    </row>
    <row r="14" spans="2:32" x14ac:dyDescent="0.3">
      <c r="B14" s="2" t="s">
        <v>102</v>
      </c>
      <c r="C14" s="8">
        <v>211.8</v>
      </c>
      <c r="D14" s="3">
        <v>33</v>
      </c>
      <c r="E14" s="1">
        <f t="shared" si="0"/>
        <v>6989.4000000000005</v>
      </c>
      <c r="I14" s="2" t="s">
        <v>114</v>
      </c>
      <c r="J14" s="8">
        <f>27.22*27</f>
        <v>734.93999999999994</v>
      </c>
      <c r="K14" s="3">
        <v>50</v>
      </c>
      <c r="L14" s="1">
        <f t="shared" si="1"/>
        <v>36747</v>
      </c>
      <c r="O14" s="2" t="s">
        <v>114</v>
      </c>
      <c r="R14" s="1">
        <f t="shared" si="2"/>
        <v>0</v>
      </c>
      <c r="V14" s="2" t="s">
        <v>0</v>
      </c>
      <c r="W14" s="8">
        <f>27.4+29.1+29.8</f>
        <v>86.3</v>
      </c>
      <c r="X14" s="3">
        <v>32.5</v>
      </c>
      <c r="Y14" s="1">
        <f t="shared" si="3"/>
        <v>2804.75</v>
      </c>
      <c r="AC14" s="2" t="s">
        <v>0</v>
      </c>
      <c r="AD14" s="8">
        <f>35+27.04+28.8+29.1+29.8</f>
        <v>149.74</v>
      </c>
      <c r="AE14" s="3">
        <v>100</v>
      </c>
      <c r="AF14" s="1">
        <f t="shared" si="4"/>
        <v>14974</v>
      </c>
    </row>
    <row r="15" spans="2:32" x14ac:dyDescent="0.3">
      <c r="B15" s="2" t="s">
        <v>96</v>
      </c>
      <c r="C15" s="8">
        <v>707.72</v>
      </c>
      <c r="D15" s="3">
        <v>27</v>
      </c>
      <c r="E15" s="1">
        <f t="shared" si="0"/>
        <v>19108.440000000002</v>
      </c>
      <c r="I15" s="2" t="s">
        <v>96</v>
      </c>
      <c r="J15" s="8">
        <v>29.8</v>
      </c>
      <c r="K15" s="3">
        <v>28</v>
      </c>
      <c r="L15" s="1">
        <f t="shared" si="1"/>
        <v>834.4</v>
      </c>
      <c r="O15" s="2" t="s">
        <v>96</v>
      </c>
      <c r="P15" s="8">
        <v>762.16</v>
      </c>
      <c r="Q15" s="3">
        <v>27</v>
      </c>
      <c r="R15" s="1">
        <f t="shared" si="2"/>
        <v>20578.32</v>
      </c>
      <c r="V15" s="2" t="s">
        <v>81</v>
      </c>
      <c r="Y15" s="1">
        <f t="shared" si="3"/>
        <v>0</v>
      </c>
      <c r="AC15" s="2" t="s">
        <v>81</v>
      </c>
      <c r="AF15" s="1">
        <f t="shared" si="4"/>
        <v>0</v>
      </c>
    </row>
    <row r="16" spans="2:32" x14ac:dyDescent="0.3">
      <c r="B16" s="2" t="s">
        <v>85</v>
      </c>
      <c r="C16" s="8">
        <v>430.6</v>
      </c>
      <c r="D16" s="3">
        <v>13</v>
      </c>
      <c r="E16" s="1">
        <f t="shared" si="0"/>
        <v>5597.8</v>
      </c>
      <c r="I16" s="2" t="s">
        <v>85</v>
      </c>
      <c r="L16" s="1">
        <f t="shared" si="1"/>
        <v>0</v>
      </c>
      <c r="O16" s="2" t="s">
        <v>85</v>
      </c>
      <c r="P16" s="8">
        <v>687</v>
      </c>
      <c r="Q16" s="3">
        <v>16</v>
      </c>
      <c r="R16" s="1">
        <f t="shared" si="2"/>
        <v>10992</v>
      </c>
      <c r="V16" s="2" t="s">
        <v>22</v>
      </c>
      <c r="W16" s="8">
        <v>139</v>
      </c>
      <c r="X16" s="3">
        <v>20</v>
      </c>
      <c r="Y16" s="1">
        <f t="shared" si="3"/>
        <v>2780</v>
      </c>
      <c r="AC16" s="2" t="s">
        <v>22</v>
      </c>
      <c r="AD16" s="8">
        <v>129</v>
      </c>
      <c r="AE16" s="3">
        <v>20</v>
      </c>
      <c r="AF16" s="1">
        <f t="shared" si="4"/>
        <v>2580</v>
      </c>
    </row>
    <row r="17" spans="2:32" x14ac:dyDescent="0.3">
      <c r="B17" s="2" t="s">
        <v>120</v>
      </c>
      <c r="C17" s="8">
        <v>82.6</v>
      </c>
      <c r="D17" s="3">
        <v>20</v>
      </c>
      <c r="E17" s="1">
        <f t="shared" si="0"/>
        <v>1652</v>
      </c>
      <c r="I17" s="2" t="s">
        <v>120</v>
      </c>
      <c r="J17" s="8">
        <v>24.7</v>
      </c>
      <c r="K17" s="3">
        <v>20</v>
      </c>
      <c r="L17" s="1">
        <f t="shared" si="1"/>
        <v>494</v>
      </c>
      <c r="O17" s="2" t="s">
        <v>96</v>
      </c>
      <c r="P17" s="8">
        <v>91</v>
      </c>
      <c r="Q17" s="3">
        <v>28</v>
      </c>
      <c r="R17" s="1">
        <f t="shared" si="2"/>
        <v>2548</v>
      </c>
      <c r="V17" s="2" t="s">
        <v>85</v>
      </c>
      <c r="W17" s="8">
        <f>199.2+237.4</f>
        <v>436.6</v>
      </c>
      <c r="X17" s="3">
        <v>13</v>
      </c>
      <c r="Y17" s="1">
        <f t="shared" si="3"/>
        <v>5675.8</v>
      </c>
      <c r="AC17" s="2" t="s">
        <v>85</v>
      </c>
      <c r="AD17" s="8">
        <v>1135</v>
      </c>
      <c r="AE17" s="3">
        <v>13</v>
      </c>
      <c r="AF17" s="1">
        <f t="shared" si="4"/>
        <v>14755</v>
      </c>
    </row>
    <row r="18" spans="2:32" x14ac:dyDescent="0.3">
      <c r="B18" s="2" t="s">
        <v>108</v>
      </c>
      <c r="E18" s="1">
        <f t="shared" si="0"/>
        <v>0</v>
      </c>
      <c r="I18" s="2" t="s">
        <v>108</v>
      </c>
      <c r="J18" s="8">
        <v>19.45</v>
      </c>
      <c r="K18" s="3">
        <v>28</v>
      </c>
      <c r="L18" s="1">
        <f t="shared" si="1"/>
        <v>544.6</v>
      </c>
      <c r="O18" s="2" t="s">
        <v>108</v>
      </c>
      <c r="R18" s="1">
        <f t="shared" si="2"/>
        <v>0</v>
      </c>
      <c r="V18" s="2" t="s">
        <v>114</v>
      </c>
      <c r="W18" s="8">
        <f>27.22*28</f>
        <v>762.16</v>
      </c>
      <c r="X18" s="3">
        <v>20</v>
      </c>
      <c r="Y18" s="1">
        <f t="shared" si="3"/>
        <v>15243.199999999999</v>
      </c>
      <c r="AC18" s="2" t="s">
        <v>95</v>
      </c>
      <c r="AF18" s="1">
        <f t="shared" si="4"/>
        <v>0</v>
      </c>
    </row>
    <row r="19" spans="2:32" x14ac:dyDescent="0.3">
      <c r="B19" s="44" t="s">
        <v>109</v>
      </c>
      <c r="E19" s="1">
        <f t="shared" si="0"/>
        <v>0</v>
      </c>
      <c r="I19" s="44" t="s">
        <v>109</v>
      </c>
      <c r="J19" s="8">
        <v>20.9</v>
      </c>
      <c r="K19" s="3">
        <v>42</v>
      </c>
      <c r="L19" s="1">
        <f t="shared" si="1"/>
        <v>877.8</v>
      </c>
      <c r="O19" s="44" t="s">
        <v>109</v>
      </c>
      <c r="R19" s="1">
        <f t="shared" si="2"/>
        <v>0</v>
      </c>
      <c r="V19" s="2" t="s">
        <v>96</v>
      </c>
      <c r="W19" s="8">
        <v>127.7</v>
      </c>
      <c r="X19" s="3">
        <v>28</v>
      </c>
      <c r="Y19" s="1">
        <f t="shared" si="3"/>
        <v>3575.6</v>
      </c>
      <c r="AC19" s="2" t="s">
        <v>96</v>
      </c>
      <c r="AF19" s="1">
        <f t="shared" si="4"/>
        <v>0</v>
      </c>
    </row>
    <row r="20" spans="2:32" x14ac:dyDescent="0.3">
      <c r="B20" s="95" t="s">
        <v>118</v>
      </c>
      <c r="C20" s="8">
        <v>6.8</v>
      </c>
      <c r="D20" s="3">
        <v>43</v>
      </c>
      <c r="E20" s="1">
        <f t="shared" si="0"/>
        <v>292.39999999999998</v>
      </c>
      <c r="I20" s="95" t="s">
        <v>118</v>
      </c>
      <c r="J20" s="8">
        <v>6.8</v>
      </c>
      <c r="K20" s="3">
        <v>46</v>
      </c>
      <c r="L20" s="1">
        <f t="shared" si="1"/>
        <v>312.8</v>
      </c>
      <c r="O20" s="95" t="s">
        <v>118</v>
      </c>
      <c r="P20" s="8">
        <v>51.8</v>
      </c>
      <c r="Q20" s="3">
        <v>43</v>
      </c>
      <c r="R20" s="1">
        <f t="shared" si="2"/>
        <v>2227.4</v>
      </c>
      <c r="V20" s="2" t="s">
        <v>108</v>
      </c>
      <c r="W20" s="8">
        <v>21.35</v>
      </c>
      <c r="X20" s="3">
        <v>28</v>
      </c>
      <c r="Y20" s="1">
        <f t="shared" si="3"/>
        <v>597.80000000000007</v>
      </c>
      <c r="AC20" s="2" t="s">
        <v>108</v>
      </c>
      <c r="AD20" s="8">
        <v>9.6999999999999993</v>
      </c>
      <c r="AE20" s="3">
        <v>26</v>
      </c>
      <c r="AF20" s="1">
        <f t="shared" si="4"/>
        <v>252.2</v>
      </c>
    </row>
    <row r="21" spans="2:32" x14ac:dyDescent="0.3">
      <c r="B21" s="96" t="s">
        <v>118</v>
      </c>
      <c r="E21" s="1">
        <f t="shared" si="0"/>
        <v>0</v>
      </c>
      <c r="I21" s="96" t="s">
        <v>118</v>
      </c>
      <c r="L21" s="1">
        <f t="shared" si="1"/>
        <v>0</v>
      </c>
      <c r="O21" s="96" t="s">
        <v>118</v>
      </c>
      <c r="R21" s="1">
        <f t="shared" si="2"/>
        <v>0</v>
      </c>
      <c r="V21" s="94" t="s">
        <v>115</v>
      </c>
      <c r="W21" s="8">
        <v>14.3</v>
      </c>
      <c r="X21" s="3">
        <v>64</v>
      </c>
      <c r="Y21" s="1">
        <f t="shared" si="3"/>
        <v>915.2</v>
      </c>
      <c r="AC21" s="2" t="s">
        <v>5</v>
      </c>
      <c r="AF21" s="1">
        <f t="shared" si="4"/>
        <v>0</v>
      </c>
    </row>
    <row r="22" spans="2:32" x14ac:dyDescent="0.3">
      <c r="B22" s="44" t="s">
        <v>105</v>
      </c>
      <c r="E22" s="1">
        <f t="shared" si="0"/>
        <v>0</v>
      </c>
      <c r="I22" s="44" t="s">
        <v>105</v>
      </c>
      <c r="L22" s="1">
        <f t="shared" si="1"/>
        <v>0</v>
      </c>
      <c r="O22" s="44" t="s">
        <v>105</v>
      </c>
      <c r="R22" s="1">
        <f t="shared" si="2"/>
        <v>0</v>
      </c>
      <c r="V22" s="2" t="s">
        <v>11</v>
      </c>
      <c r="W22" s="8">
        <v>20.2</v>
      </c>
      <c r="X22" s="3">
        <v>20</v>
      </c>
      <c r="Y22" s="1">
        <f t="shared" si="3"/>
        <v>404</v>
      </c>
      <c r="AC22" s="2" t="s">
        <v>11</v>
      </c>
      <c r="AD22" s="8">
        <v>37.950000000000003</v>
      </c>
      <c r="AE22" s="3">
        <v>13</v>
      </c>
      <c r="AF22" s="1">
        <f t="shared" si="4"/>
        <v>493.35</v>
      </c>
    </row>
    <row r="23" spans="2:32" x14ac:dyDescent="0.3">
      <c r="B23" s="2" t="s">
        <v>11</v>
      </c>
      <c r="C23" s="8">
        <v>28.75</v>
      </c>
      <c r="D23" s="3">
        <v>22</v>
      </c>
      <c r="E23" s="1">
        <f t="shared" si="0"/>
        <v>632.5</v>
      </c>
      <c r="I23" s="2" t="s">
        <v>11</v>
      </c>
      <c r="J23" s="8">
        <v>7.85</v>
      </c>
      <c r="K23" s="3">
        <v>18</v>
      </c>
      <c r="L23" s="1">
        <f t="shared" si="1"/>
        <v>141.29999999999998</v>
      </c>
      <c r="O23" s="2" t="s">
        <v>11</v>
      </c>
      <c r="R23" s="1">
        <f t="shared" si="2"/>
        <v>0</v>
      </c>
      <c r="V23" s="2" t="s">
        <v>97</v>
      </c>
      <c r="Y23" s="1">
        <f t="shared" si="3"/>
        <v>0</v>
      </c>
      <c r="AC23" s="2" t="s">
        <v>97</v>
      </c>
      <c r="AF23" s="1">
        <f t="shared" si="4"/>
        <v>0</v>
      </c>
    </row>
    <row r="24" spans="2:32" x14ac:dyDescent="0.3">
      <c r="B24" s="2" t="s">
        <v>97</v>
      </c>
      <c r="C24" s="8">
        <v>249.8</v>
      </c>
      <c r="D24" s="3">
        <v>41</v>
      </c>
      <c r="E24" s="1">
        <f t="shared" si="0"/>
        <v>10241.800000000001</v>
      </c>
      <c r="I24" s="2" t="s">
        <v>97</v>
      </c>
      <c r="J24" s="8">
        <v>138.6</v>
      </c>
      <c r="K24" s="3">
        <v>42</v>
      </c>
      <c r="L24" s="1">
        <f t="shared" si="1"/>
        <v>5821.2</v>
      </c>
      <c r="O24" s="2" t="s">
        <v>97</v>
      </c>
      <c r="P24" s="8">
        <v>392.4</v>
      </c>
      <c r="Q24" s="3">
        <v>43</v>
      </c>
      <c r="R24" s="1">
        <f t="shared" si="2"/>
        <v>16873.2</v>
      </c>
      <c r="V24" s="2" t="s">
        <v>90</v>
      </c>
      <c r="Y24" s="1">
        <f t="shared" si="3"/>
        <v>0</v>
      </c>
      <c r="AC24" s="2" t="s">
        <v>90</v>
      </c>
      <c r="AF24" s="1">
        <f t="shared" si="4"/>
        <v>0</v>
      </c>
    </row>
    <row r="25" spans="2:32" x14ac:dyDescent="0.3">
      <c r="B25" s="2" t="s">
        <v>90</v>
      </c>
      <c r="E25" s="1">
        <f t="shared" si="0"/>
        <v>0</v>
      </c>
      <c r="I25" s="2" t="s">
        <v>90</v>
      </c>
      <c r="L25" s="1">
        <f t="shared" si="1"/>
        <v>0</v>
      </c>
      <c r="O25" s="2" t="s">
        <v>90</v>
      </c>
      <c r="R25" s="1">
        <f t="shared" si="2"/>
        <v>0</v>
      </c>
      <c r="V25" s="2" t="s">
        <v>26</v>
      </c>
      <c r="Y25" s="1">
        <f t="shared" si="3"/>
        <v>0</v>
      </c>
      <c r="AC25" s="2" t="s">
        <v>26</v>
      </c>
      <c r="AF25" s="1">
        <f t="shared" si="4"/>
        <v>0</v>
      </c>
    </row>
    <row r="26" spans="2:32" x14ac:dyDescent="0.3">
      <c r="B26" s="2" t="s">
        <v>26</v>
      </c>
      <c r="E26" s="1">
        <f t="shared" si="0"/>
        <v>0</v>
      </c>
      <c r="I26" s="2" t="s">
        <v>26</v>
      </c>
      <c r="L26" s="1">
        <f t="shared" si="1"/>
        <v>0</v>
      </c>
      <c r="O26" s="2" t="s">
        <v>26</v>
      </c>
      <c r="R26" s="1">
        <f t="shared" si="2"/>
        <v>0</v>
      </c>
      <c r="V26" s="2" t="s">
        <v>74</v>
      </c>
      <c r="Y26" s="1">
        <f t="shared" si="3"/>
        <v>0</v>
      </c>
      <c r="AC26" s="2" t="s">
        <v>74</v>
      </c>
      <c r="AF26" s="1">
        <f t="shared" si="4"/>
        <v>0</v>
      </c>
    </row>
    <row r="27" spans="2:32" x14ac:dyDescent="0.3">
      <c r="B27" s="2" t="s">
        <v>74</v>
      </c>
      <c r="E27" s="1">
        <f t="shared" si="0"/>
        <v>0</v>
      </c>
      <c r="I27" s="2" t="s">
        <v>74</v>
      </c>
      <c r="L27" s="1">
        <f t="shared" si="1"/>
        <v>0</v>
      </c>
      <c r="O27" s="2" t="s">
        <v>74</v>
      </c>
      <c r="R27" s="1">
        <f t="shared" si="2"/>
        <v>0</v>
      </c>
      <c r="V27" s="2" t="s">
        <v>25</v>
      </c>
      <c r="W27" s="8">
        <f>10.5+4.85</f>
        <v>15.35</v>
      </c>
      <c r="X27" s="3">
        <v>24</v>
      </c>
      <c r="Y27" s="1">
        <f t="shared" si="3"/>
        <v>368.4</v>
      </c>
      <c r="AC27" s="2" t="s">
        <v>25</v>
      </c>
      <c r="AD27" s="8">
        <v>12.6</v>
      </c>
      <c r="AE27" s="3">
        <v>22</v>
      </c>
      <c r="AF27" s="1">
        <f t="shared" si="4"/>
        <v>277.2</v>
      </c>
    </row>
    <row r="28" spans="2:32" x14ac:dyDescent="0.3">
      <c r="B28" s="2" t="s">
        <v>25</v>
      </c>
      <c r="C28" s="8">
        <v>34.200000000000003</v>
      </c>
      <c r="D28" s="3">
        <v>24</v>
      </c>
      <c r="E28" s="1">
        <f t="shared" si="0"/>
        <v>820.80000000000007</v>
      </c>
      <c r="I28" s="2" t="s">
        <v>25</v>
      </c>
      <c r="J28" s="8">
        <v>23.4</v>
      </c>
      <c r="K28" s="3">
        <v>24</v>
      </c>
      <c r="L28" s="1">
        <f t="shared" si="1"/>
        <v>561.59999999999991</v>
      </c>
      <c r="O28" s="2" t="s">
        <v>25</v>
      </c>
      <c r="P28" s="8">
        <v>42</v>
      </c>
      <c r="Q28" s="3">
        <v>24</v>
      </c>
      <c r="R28" s="1">
        <f t="shared" si="2"/>
        <v>1008</v>
      </c>
      <c r="V28" s="2" t="s">
        <v>19</v>
      </c>
      <c r="W28" s="8">
        <v>330</v>
      </c>
      <c r="X28" s="3">
        <v>18</v>
      </c>
      <c r="Y28" s="1">
        <f t="shared" si="3"/>
        <v>5940</v>
      </c>
      <c r="AC28" s="2" t="s">
        <v>19</v>
      </c>
      <c r="AD28" s="8">
        <v>6.9</v>
      </c>
      <c r="AE28" s="3">
        <v>16</v>
      </c>
      <c r="AF28" s="1">
        <f t="shared" si="4"/>
        <v>110.4</v>
      </c>
    </row>
    <row r="29" spans="2:32" x14ac:dyDescent="0.3">
      <c r="B29" s="2" t="s">
        <v>19</v>
      </c>
      <c r="C29" s="8">
        <v>380</v>
      </c>
      <c r="D29" s="3">
        <v>18</v>
      </c>
      <c r="E29" s="1">
        <f t="shared" si="0"/>
        <v>6840</v>
      </c>
      <c r="I29" s="2" t="s">
        <v>19</v>
      </c>
      <c r="J29" s="8">
        <v>280</v>
      </c>
      <c r="K29" s="3">
        <v>18</v>
      </c>
      <c r="L29" s="1">
        <f t="shared" si="1"/>
        <v>5040</v>
      </c>
      <c r="O29" s="2" t="s">
        <v>19</v>
      </c>
      <c r="P29" s="8">
        <v>280</v>
      </c>
      <c r="Q29" s="3">
        <v>18</v>
      </c>
      <c r="R29" s="1">
        <f t="shared" si="2"/>
        <v>5040</v>
      </c>
      <c r="V29" s="2" t="s">
        <v>15</v>
      </c>
      <c r="Y29" s="1">
        <f t="shared" si="3"/>
        <v>0</v>
      </c>
      <c r="AC29" s="2" t="s">
        <v>15</v>
      </c>
      <c r="AF29" s="1">
        <f t="shared" si="4"/>
        <v>0</v>
      </c>
    </row>
    <row r="30" spans="2:32" x14ac:dyDescent="0.3">
      <c r="B30" s="2" t="s">
        <v>15</v>
      </c>
      <c r="C30" s="11">
        <v>544.4</v>
      </c>
      <c r="D30" s="12">
        <v>51</v>
      </c>
      <c r="E30" s="1">
        <f t="shared" si="0"/>
        <v>27764.399999999998</v>
      </c>
      <c r="I30" s="2" t="s">
        <v>15</v>
      </c>
      <c r="J30" s="11"/>
      <c r="K30" s="12"/>
      <c r="L30" s="1">
        <f t="shared" si="1"/>
        <v>0</v>
      </c>
      <c r="O30" s="2" t="s">
        <v>15</v>
      </c>
      <c r="P30" s="11"/>
      <c r="Q30" s="12"/>
      <c r="R30" s="1">
        <f t="shared" si="2"/>
        <v>0</v>
      </c>
      <c r="V30" s="10" t="s">
        <v>5</v>
      </c>
      <c r="W30" s="11"/>
      <c r="X30" s="12"/>
      <c r="Y30" s="1">
        <f t="shared" si="3"/>
        <v>0</v>
      </c>
      <c r="AC30" s="10" t="s">
        <v>5</v>
      </c>
      <c r="AD30" s="11"/>
      <c r="AE30" s="12"/>
      <c r="AF30" s="1">
        <f t="shared" si="4"/>
        <v>0</v>
      </c>
    </row>
    <row r="31" spans="2:32" x14ac:dyDescent="0.3">
      <c r="B31" s="10" t="s">
        <v>77</v>
      </c>
      <c r="C31" s="11">
        <v>68.05</v>
      </c>
      <c r="D31" s="12">
        <v>31</v>
      </c>
      <c r="E31" s="1">
        <f t="shared" si="0"/>
        <v>2109.5499999999997</v>
      </c>
      <c r="I31" s="10" t="s">
        <v>77</v>
      </c>
      <c r="J31" s="11">
        <f>13.6*5</f>
        <v>68</v>
      </c>
      <c r="K31" s="12">
        <v>36</v>
      </c>
      <c r="L31" s="1">
        <f t="shared" si="1"/>
        <v>2448</v>
      </c>
      <c r="O31" s="10" t="s">
        <v>77</v>
      </c>
      <c r="P31" s="11">
        <v>68</v>
      </c>
      <c r="Q31" s="12">
        <v>36</v>
      </c>
      <c r="R31" s="1">
        <f t="shared" si="2"/>
        <v>2448</v>
      </c>
      <c r="V31" s="10" t="s">
        <v>77</v>
      </c>
      <c r="W31" s="11">
        <f>13.6*5</f>
        <v>68</v>
      </c>
      <c r="X31" s="12">
        <v>46</v>
      </c>
      <c r="Y31" s="1">
        <f t="shared" si="3"/>
        <v>3128</v>
      </c>
      <c r="AC31" s="10" t="s">
        <v>77</v>
      </c>
      <c r="AD31" s="11"/>
      <c r="AE31" s="12"/>
      <c r="AF31" s="1">
        <f t="shared" si="4"/>
        <v>0</v>
      </c>
    </row>
    <row r="32" spans="2:32" x14ac:dyDescent="0.3">
      <c r="B32" s="2" t="s">
        <v>110</v>
      </c>
      <c r="E32" s="1">
        <f t="shared" si="0"/>
        <v>0</v>
      </c>
      <c r="I32" s="2" t="s">
        <v>110</v>
      </c>
      <c r="J32" s="8">
        <f>21*27.22</f>
        <v>571.62</v>
      </c>
      <c r="K32" s="3">
        <v>50</v>
      </c>
      <c r="L32" s="1">
        <f t="shared" si="1"/>
        <v>28581</v>
      </c>
      <c r="O32" s="2" t="s">
        <v>110</v>
      </c>
      <c r="P32" s="8">
        <v>653.28</v>
      </c>
      <c r="Q32" s="3">
        <v>51</v>
      </c>
      <c r="R32" s="1">
        <f t="shared" si="2"/>
        <v>33317.279999999999</v>
      </c>
      <c r="V32" s="2" t="s">
        <v>27</v>
      </c>
      <c r="W32" s="8">
        <v>10.55</v>
      </c>
      <c r="X32" s="3">
        <v>28</v>
      </c>
      <c r="Y32" s="1">
        <f t="shared" si="3"/>
        <v>295.40000000000003</v>
      </c>
      <c r="AC32" s="2" t="s">
        <v>27</v>
      </c>
      <c r="AD32" s="8">
        <v>16.95</v>
      </c>
      <c r="AE32" s="3">
        <v>26</v>
      </c>
      <c r="AF32" s="1">
        <f t="shared" si="4"/>
        <v>440.7</v>
      </c>
    </row>
    <row r="33" spans="2:32" x14ac:dyDescent="0.3">
      <c r="B33" s="2" t="s">
        <v>27</v>
      </c>
      <c r="C33" s="8">
        <v>23.8</v>
      </c>
      <c r="D33" s="3">
        <v>28</v>
      </c>
      <c r="E33" s="1">
        <f t="shared" si="0"/>
        <v>666.4</v>
      </c>
      <c r="I33" s="2" t="s">
        <v>27</v>
      </c>
      <c r="J33" s="8">
        <v>19.25</v>
      </c>
      <c r="K33" s="3">
        <v>20</v>
      </c>
      <c r="L33" s="1">
        <f t="shared" si="1"/>
        <v>385</v>
      </c>
      <c r="O33" s="2" t="s">
        <v>27</v>
      </c>
      <c r="R33" s="1">
        <f t="shared" si="2"/>
        <v>0</v>
      </c>
      <c r="V33" s="2" t="s">
        <v>110</v>
      </c>
      <c r="W33" s="8">
        <f>27.22*2</f>
        <v>54.44</v>
      </c>
      <c r="X33" s="3">
        <v>51</v>
      </c>
      <c r="Y33" s="1">
        <f t="shared" si="3"/>
        <v>2776.44</v>
      </c>
      <c r="AC33" s="2" t="s">
        <v>110</v>
      </c>
      <c r="AD33" s="8">
        <f>27.22*9</f>
        <v>244.98</v>
      </c>
      <c r="AE33" s="3">
        <v>48</v>
      </c>
      <c r="AF33" s="1">
        <f t="shared" si="4"/>
        <v>11759.039999999999</v>
      </c>
    </row>
    <row r="34" spans="2:32" x14ac:dyDescent="0.3">
      <c r="B34" s="2" t="s">
        <v>4</v>
      </c>
      <c r="E34" s="1">
        <f t="shared" si="0"/>
        <v>0</v>
      </c>
      <c r="I34" s="2" t="s">
        <v>4</v>
      </c>
      <c r="L34" s="1">
        <f t="shared" si="1"/>
        <v>0</v>
      </c>
      <c r="O34" s="2" t="s">
        <v>4</v>
      </c>
      <c r="P34" s="8">
        <v>7.15</v>
      </c>
      <c r="Q34" s="3">
        <v>56</v>
      </c>
      <c r="R34" s="1">
        <f t="shared" si="2"/>
        <v>400.40000000000003</v>
      </c>
      <c r="V34" s="2" t="s">
        <v>4</v>
      </c>
      <c r="Y34" s="1">
        <f t="shared" si="3"/>
        <v>0</v>
      </c>
      <c r="AC34" s="2" t="s">
        <v>4</v>
      </c>
      <c r="AF34" s="1">
        <f t="shared" si="4"/>
        <v>0</v>
      </c>
    </row>
    <row r="35" spans="2:32" x14ac:dyDescent="0.3">
      <c r="B35" s="2" t="s">
        <v>86</v>
      </c>
      <c r="C35" s="8">
        <v>60.68</v>
      </c>
      <c r="D35" s="3">
        <v>32</v>
      </c>
      <c r="E35" s="1">
        <f t="shared" si="0"/>
        <v>1941.76</v>
      </c>
      <c r="I35" s="2" t="s">
        <v>86</v>
      </c>
      <c r="J35" s="8">
        <v>598</v>
      </c>
      <c r="K35" s="3">
        <v>32</v>
      </c>
      <c r="L35" s="1">
        <f t="shared" si="1"/>
        <v>19136</v>
      </c>
      <c r="O35" s="2" t="s">
        <v>86</v>
      </c>
      <c r="P35" s="8">
        <v>801.8</v>
      </c>
      <c r="Q35" s="3">
        <v>35</v>
      </c>
      <c r="R35" s="1">
        <f t="shared" si="2"/>
        <v>28063</v>
      </c>
      <c r="V35" s="2" t="s">
        <v>86</v>
      </c>
      <c r="Y35" s="1">
        <f t="shared" si="3"/>
        <v>0</v>
      </c>
      <c r="AC35" s="2" t="s">
        <v>86</v>
      </c>
      <c r="AF35" s="1">
        <f t="shared" si="4"/>
        <v>0</v>
      </c>
    </row>
    <row r="36" spans="2:32" x14ac:dyDescent="0.3">
      <c r="B36" s="2" t="s">
        <v>23</v>
      </c>
      <c r="E36" s="1">
        <f t="shared" si="0"/>
        <v>0</v>
      </c>
      <c r="I36" s="2" t="s">
        <v>23</v>
      </c>
      <c r="L36" s="1">
        <f t="shared" si="1"/>
        <v>0</v>
      </c>
      <c r="O36" s="2" t="s">
        <v>23</v>
      </c>
      <c r="R36" s="1">
        <f t="shared" si="2"/>
        <v>0</v>
      </c>
      <c r="V36" s="2" t="s">
        <v>23</v>
      </c>
      <c r="Y36" s="1">
        <f t="shared" si="3"/>
        <v>0</v>
      </c>
      <c r="AC36" s="2" t="s">
        <v>23</v>
      </c>
      <c r="AF36" s="1">
        <f t="shared" si="4"/>
        <v>0</v>
      </c>
    </row>
    <row r="37" spans="2:32" x14ac:dyDescent="0.3">
      <c r="B37" s="2" t="s">
        <v>83</v>
      </c>
      <c r="E37" s="1">
        <f t="shared" si="0"/>
        <v>0</v>
      </c>
      <c r="I37" s="2" t="s">
        <v>83</v>
      </c>
      <c r="L37" s="1">
        <f t="shared" si="1"/>
        <v>0</v>
      </c>
      <c r="O37" s="2" t="s">
        <v>83</v>
      </c>
      <c r="R37" s="1">
        <f t="shared" si="2"/>
        <v>0</v>
      </c>
      <c r="V37" s="2" t="s">
        <v>83</v>
      </c>
      <c r="Y37" s="1">
        <f t="shared" si="3"/>
        <v>0</v>
      </c>
      <c r="AC37" s="2" t="s">
        <v>83</v>
      </c>
      <c r="AF37" s="1">
        <f t="shared" si="4"/>
        <v>0</v>
      </c>
    </row>
    <row r="38" spans="2:32" x14ac:dyDescent="0.3">
      <c r="B38" s="2" t="s">
        <v>121</v>
      </c>
      <c r="C38" s="8">
        <v>11.85</v>
      </c>
      <c r="D38" s="3">
        <v>68</v>
      </c>
      <c r="E38" s="1">
        <f t="shared" si="0"/>
        <v>805.8</v>
      </c>
      <c r="I38" s="2" t="s">
        <v>121</v>
      </c>
      <c r="J38" s="8">
        <v>14.75</v>
      </c>
      <c r="K38" s="3">
        <v>70</v>
      </c>
      <c r="L38" s="1">
        <f t="shared" si="1"/>
        <v>1032.5</v>
      </c>
      <c r="R38" s="1"/>
      <c r="Y38" s="1"/>
      <c r="AF38" s="1"/>
    </row>
    <row r="39" spans="2:32" x14ac:dyDescent="0.3">
      <c r="B39" s="2" t="s">
        <v>98</v>
      </c>
      <c r="C39" s="8">
        <v>8.5500000000000007</v>
      </c>
      <c r="D39" s="3">
        <v>22</v>
      </c>
      <c r="E39" s="1">
        <f t="shared" si="0"/>
        <v>188.10000000000002</v>
      </c>
      <c r="I39" s="2" t="s">
        <v>98</v>
      </c>
      <c r="L39" s="1">
        <f t="shared" si="1"/>
        <v>0</v>
      </c>
      <c r="O39" s="2" t="s">
        <v>98</v>
      </c>
      <c r="P39" s="8">
        <v>24.5</v>
      </c>
      <c r="Q39" s="3">
        <v>28</v>
      </c>
      <c r="R39" s="1">
        <f t="shared" si="2"/>
        <v>686</v>
      </c>
      <c r="V39" s="2" t="s">
        <v>20</v>
      </c>
      <c r="W39" s="8">
        <v>46.8</v>
      </c>
      <c r="X39" s="3">
        <v>82</v>
      </c>
      <c r="Y39" s="1">
        <f t="shared" si="3"/>
        <v>3837.6</v>
      </c>
      <c r="AC39" s="2" t="s">
        <v>20</v>
      </c>
      <c r="AD39" s="8">
        <v>18.350000000000001</v>
      </c>
      <c r="AE39" s="3">
        <v>78</v>
      </c>
      <c r="AF39" s="1">
        <f t="shared" si="4"/>
        <v>1431.3000000000002</v>
      </c>
    </row>
    <row r="40" spans="2:32" x14ac:dyDescent="0.3">
      <c r="B40" s="2" t="s">
        <v>20</v>
      </c>
      <c r="C40" s="11">
        <v>51.4</v>
      </c>
      <c r="D40" s="12">
        <v>64</v>
      </c>
      <c r="E40" s="1">
        <f t="shared" si="0"/>
        <v>3289.6</v>
      </c>
      <c r="I40" s="2" t="s">
        <v>20</v>
      </c>
      <c r="J40" s="11">
        <v>74.599999999999994</v>
      </c>
      <c r="K40" s="12">
        <v>82</v>
      </c>
      <c r="L40" s="1">
        <f t="shared" si="1"/>
        <v>6117.2</v>
      </c>
      <c r="O40" s="2" t="s">
        <v>20</v>
      </c>
      <c r="P40" s="11">
        <v>63</v>
      </c>
      <c r="Q40" s="12">
        <v>76</v>
      </c>
      <c r="R40" s="1">
        <f t="shared" si="2"/>
        <v>4788</v>
      </c>
      <c r="V40" s="10" t="s">
        <v>111</v>
      </c>
      <c r="W40" s="11">
        <v>57</v>
      </c>
      <c r="X40" s="12">
        <v>770</v>
      </c>
      <c r="Y40" s="1">
        <f t="shared" si="3"/>
        <v>43890</v>
      </c>
      <c r="AC40" s="10" t="s">
        <v>111</v>
      </c>
      <c r="AD40" s="11">
        <v>59</v>
      </c>
      <c r="AE40" s="12">
        <v>770</v>
      </c>
      <c r="AF40" s="1">
        <f t="shared" si="4"/>
        <v>45430</v>
      </c>
    </row>
    <row r="41" spans="2:32" x14ac:dyDescent="0.3">
      <c r="B41" s="10" t="s">
        <v>94</v>
      </c>
      <c r="C41" s="8">
        <v>7</v>
      </c>
      <c r="D41" s="3">
        <v>80</v>
      </c>
      <c r="E41" s="1">
        <f t="shared" si="0"/>
        <v>560</v>
      </c>
      <c r="I41" s="10" t="s">
        <v>94</v>
      </c>
      <c r="J41" s="8">
        <v>56</v>
      </c>
      <c r="K41" s="3">
        <v>780</v>
      </c>
      <c r="L41" s="1">
        <f t="shared" si="1"/>
        <v>43680</v>
      </c>
      <c r="O41" s="10" t="s">
        <v>94</v>
      </c>
      <c r="P41" s="8">
        <v>57</v>
      </c>
      <c r="Q41" s="3">
        <v>760</v>
      </c>
      <c r="R41" s="1">
        <f t="shared" si="2"/>
        <v>43320</v>
      </c>
      <c r="V41" s="2" t="s">
        <v>17</v>
      </c>
      <c r="W41" s="8">
        <v>15</v>
      </c>
      <c r="X41" s="3">
        <v>620</v>
      </c>
      <c r="Y41" s="1">
        <f t="shared" si="3"/>
        <v>9300</v>
      </c>
      <c r="AC41" s="2" t="s">
        <v>17</v>
      </c>
      <c r="AF41" s="1">
        <f t="shared" si="4"/>
        <v>0</v>
      </c>
    </row>
    <row r="42" spans="2:32" x14ac:dyDescent="0.3">
      <c r="B42" s="2" t="s">
        <v>17</v>
      </c>
      <c r="C42" s="8">
        <v>150</v>
      </c>
      <c r="D42" s="3">
        <v>60</v>
      </c>
      <c r="E42" s="1">
        <f t="shared" si="0"/>
        <v>9000</v>
      </c>
      <c r="I42" s="2" t="s">
        <v>17</v>
      </c>
      <c r="J42" s="8">
        <v>15</v>
      </c>
      <c r="K42" s="3">
        <v>580</v>
      </c>
      <c r="L42" s="1">
        <f t="shared" si="1"/>
        <v>8700</v>
      </c>
      <c r="O42" s="2" t="s">
        <v>17</v>
      </c>
      <c r="P42" s="8">
        <v>15</v>
      </c>
      <c r="Q42" s="3">
        <v>620</v>
      </c>
      <c r="R42" s="1">
        <f t="shared" si="2"/>
        <v>9300</v>
      </c>
      <c r="V42" s="2" t="s">
        <v>12</v>
      </c>
      <c r="W42" s="8">
        <v>44</v>
      </c>
      <c r="X42" s="3">
        <v>42</v>
      </c>
      <c r="Y42" s="1">
        <f t="shared" si="3"/>
        <v>1848</v>
      </c>
      <c r="AC42" s="2" t="s">
        <v>12</v>
      </c>
      <c r="AD42" s="8">
        <v>8</v>
      </c>
      <c r="AE42" s="3">
        <v>23</v>
      </c>
      <c r="AF42" s="1">
        <f t="shared" si="4"/>
        <v>184</v>
      </c>
    </row>
    <row r="43" spans="2:32" x14ac:dyDescent="0.3">
      <c r="B43" s="2" t="s">
        <v>12</v>
      </c>
      <c r="C43" s="8">
        <v>47</v>
      </c>
      <c r="D43" s="3">
        <v>42</v>
      </c>
      <c r="E43" s="1">
        <f t="shared" si="0"/>
        <v>1974</v>
      </c>
      <c r="I43" s="2" t="s">
        <v>12</v>
      </c>
      <c r="J43" s="8">
        <v>6</v>
      </c>
      <c r="K43" s="3">
        <v>42</v>
      </c>
      <c r="L43" s="1">
        <f t="shared" si="1"/>
        <v>252</v>
      </c>
      <c r="O43" s="2" t="s">
        <v>12</v>
      </c>
      <c r="P43" s="8">
        <v>20</v>
      </c>
      <c r="Q43" s="3">
        <v>42</v>
      </c>
      <c r="R43" s="1">
        <f t="shared" si="2"/>
        <v>840</v>
      </c>
      <c r="V43" s="2" t="s">
        <v>24</v>
      </c>
      <c r="W43" s="8">
        <v>10.25</v>
      </c>
      <c r="X43" s="3">
        <v>14</v>
      </c>
      <c r="Y43" s="1">
        <f t="shared" si="3"/>
        <v>143.5</v>
      </c>
      <c r="AC43" s="2" t="s">
        <v>24</v>
      </c>
      <c r="AD43" s="8">
        <v>7.7</v>
      </c>
      <c r="AE43" s="3">
        <v>11</v>
      </c>
      <c r="AF43" s="1">
        <f t="shared" si="4"/>
        <v>84.7</v>
      </c>
    </row>
    <row r="44" spans="2:32" x14ac:dyDescent="0.3">
      <c r="B44" s="2" t="s">
        <v>24</v>
      </c>
      <c r="C44" s="8">
        <v>6.7</v>
      </c>
      <c r="D44" s="3">
        <v>18</v>
      </c>
      <c r="E44" s="1">
        <f t="shared" si="0"/>
        <v>120.60000000000001</v>
      </c>
      <c r="I44" s="2" t="s">
        <v>24</v>
      </c>
      <c r="J44" s="8">
        <v>3.55</v>
      </c>
      <c r="K44" s="3">
        <v>14</v>
      </c>
      <c r="L44" s="1">
        <f t="shared" si="1"/>
        <v>49.699999999999996</v>
      </c>
      <c r="O44" s="2" t="s">
        <v>24</v>
      </c>
      <c r="P44" s="8">
        <v>28.25</v>
      </c>
      <c r="Q44" s="3">
        <v>15</v>
      </c>
      <c r="R44" s="1">
        <f t="shared" si="2"/>
        <v>423.75</v>
      </c>
      <c r="V44" s="2" t="s">
        <v>98</v>
      </c>
      <c r="Y44" s="1">
        <f t="shared" si="3"/>
        <v>0</v>
      </c>
      <c r="AC44" s="2" t="s">
        <v>98</v>
      </c>
      <c r="AF44" s="1">
        <f t="shared" si="4"/>
        <v>0</v>
      </c>
    </row>
    <row r="45" spans="2:32" ht="19.5" thickBot="1" x14ac:dyDescent="0.35">
      <c r="B45"/>
      <c r="C45"/>
      <c r="D45" s="7" t="s">
        <v>13</v>
      </c>
      <c r="E45" s="6">
        <f>SUM(E3:E44)</f>
        <v>214694.87999999995</v>
      </c>
      <c r="I45"/>
      <c r="J45"/>
      <c r="K45" s="7" t="s">
        <v>13</v>
      </c>
      <c r="L45" s="6">
        <f>SUM(L3:L44)</f>
        <v>270950.01999999996</v>
      </c>
      <c r="O45"/>
      <c r="P45"/>
      <c r="Q45" s="7" t="s">
        <v>13</v>
      </c>
      <c r="R45" s="6">
        <f>SUM(R3:R44)</f>
        <v>267340.71999999997</v>
      </c>
      <c r="V45"/>
      <c r="W45"/>
      <c r="X45" s="7" t="s">
        <v>13</v>
      </c>
      <c r="Y45" s="6">
        <f>SUM(Y3:Y44)</f>
        <v>466138.77500000002</v>
      </c>
      <c r="AC45"/>
      <c r="AD45"/>
      <c r="AE45" s="7" t="s">
        <v>13</v>
      </c>
      <c r="AF45" s="6">
        <f>SUM(AF3:AF44)</f>
        <v>118507.70999999999</v>
      </c>
    </row>
    <row r="46" spans="2:32" ht="19.5" thickTop="1" x14ac:dyDescent="0.3">
      <c r="B46"/>
      <c r="C46"/>
      <c r="E46" s="1"/>
      <c r="I46"/>
      <c r="J46"/>
      <c r="L46" s="1"/>
      <c r="O46"/>
      <c r="P46"/>
      <c r="R46" s="1"/>
      <c r="V46"/>
      <c r="W46"/>
      <c r="Y46" s="1"/>
      <c r="AC46"/>
      <c r="AD46"/>
      <c r="AF46" s="1"/>
    </row>
  </sheetData>
  <sortState ref="O3:O43">
    <sortCondition ref="O3:O43"/>
  </sortState>
  <pageMargins left="0.70866141732283472" right="0.70866141732283472" top="0.15748031496062992" bottom="0.15748031496062992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Q48"/>
  <sheetViews>
    <sheetView workbookViewId="0">
      <selection sqref="A1:E1048576"/>
    </sheetView>
  </sheetViews>
  <sheetFormatPr baseColWidth="10" defaultRowHeight="18.75" x14ac:dyDescent="0.3"/>
  <cols>
    <col min="1" max="1" width="19.42578125" style="2" bestFit="1" customWidth="1"/>
    <col min="2" max="2" width="12.7109375" style="8" bestFit="1" customWidth="1"/>
    <col min="3" max="3" width="14.42578125" style="3" bestFit="1" customWidth="1"/>
    <col min="4" max="4" width="18.5703125" style="2" customWidth="1"/>
    <col min="7" max="7" width="19.42578125" style="2" bestFit="1" customWidth="1"/>
    <col min="8" max="8" width="12.7109375" style="8" bestFit="1" customWidth="1"/>
    <col min="9" max="9" width="14.42578125" style="3" bestFit="1" customWidth="1"/>
    <col min="10" max="10" width="18.5703125" style="2" customWidth="1"/>
    <col min="14" max="14" width="19.42578125" style="2" bestFit="1" customWidth="1"/>
    <col min="15" max="15" width="12.7109375" style="8" bestFit="1" customWidth="1"/>
    <col min="16" max="16" width="14.42578125" style="3" bestFit="1" customWidth="1"/>
    <col min="17" max="17" width="18.5703125" style="2" customWidth="1"/>
  </cols>
  <sheetData>
    <row r="2" spans="1:17" ht="19.5" thickBot="1" x14ac:dyDescent="0.35">
      <c r="A2" s="13" t="s">
        <v>127</v>
      </c>
      <c r="B2" s="9"/>
      <c r="C2" s="4"/>
      <c r="D2" s="5"/>
      <c r="G2" s="13" t="s">
        <v>125</v>
      </c>
      <c r="H2" s="9"/>
      <c r="I2" s="4"/>
      <c r="J2" s="5"/>
      <c r="N2" s="13" t="s">
        <v>123</v>
      </c>
      <c r="O2" s="9"/>
      <c r="P2" s="4"/>
      <c r="Q2" s="5"/>
    </row>
    <row r="3" spans="1:17" ht="19.5" thickTop="1" x14ac:dyDescent="0.3">
      <c r="A3" s="2" t="s">
        <v>10</v>
      </c>
      <c r="B3" s="8">
        <v>149.6</v>
      </c>
      <c r="C3" s="3">
        <v>39</v>
      </c>
      <c r="D3" s="1">
        <f t="shared" ref="D3:D46" si="0">C3*B3</f>
        <v>5834.4</v>
      </c>
      <c r="G3" s="2" t="s">
        <v>10</v>
      </c>
      <c r="H3" s="8">
        <v>149.6</v>
      </c>
      <c r="I3" s="3">
        <v>39</v>
      </c>
      <c r="J3" s="1">
        <f t="shared" ref="J3:J46" si="1">I3*H3</f>
        <v>5834.4</v>
      </c>
      <c r="N3" s="2" t="s">
        <v>10</v>
      </c>
      <c r="O3" s="8">
        <v>13.6</v>
      </c>
      <c r="P3" s="3">
        <v>39</v>
      </c>
      <c r="Q3" s="1">
        <f t="shared" ref="Q3:Q46" si="2">P3*O3</f>
        <v>530.4</v>
      </c>
    </row>
    <row r="4" spans="1:17" x14ac:dyDescent="0.3">
      <c r="A4" s="2" t="s">
        <v>75</v>
      </c>
      <c r="D4" s="1">
        <f t="shared" si="0"/>
        <v>0</v>
      </c>
      <c r="G4" s="2" t="s">
        <v>75</v>
      </c>
      <c r="J4" s="1">
        <f t="shared" si="1"/>
        <v>0</v>
      </c>
      <c r="N4" s="2" t="s">
        <v>75</v>
      </c>
      <c r="Q4" s="1">
        <f t="shared" si="2"/>
        <v>0</v>
      </c>
    </row>
    <row r="5" spans="1:17" x14ac:dyDescent="0.3">
      <c r="A5" s="2" t="s">
        <v>73</v>
      </c>
      <c r="B5" s="8">
        <v>52.4</v>
      </c>
      <c r="C5" s="3">
        <v>20</v>
      </c>
      <c r="D5" s="1">
        <f t="shared" si="0"/>
        <v>1048</v>
      </c>
      <c r="G5" s="2" t="s">
        <v>73</v>
      </c>
      <c r="H5" s="8">
        <v>6.85</v>
      </c>
      <c r="I5" s="3">
        <v>24</v>
      </c>
      <c r="J5" s="1">
        <f t="shared" si="1"/>
        <v>164.39999999999998</v>
      </c>
      <c r="N5" s="2" t="s">
        <v>73</v>
      </c>
      <c r="O5" s="8">
        <v>19.3</v>
      </c>
      <c r="P5" s="3">
        <v>20</v>
      </c>
      <c r="Q5" s="1">
        <f t="shared" si="2"/>
        <v>386</v>
      </c>
    </row>
    <row r="6" spans="1:17" x14ac:dyDescent="0.3">
      <c r="A6" s="2" t="s">
        <v>2</v>
      </c>
      <c r="D6" s="1">
        <f t="shared" si="0"/>
        <v>0</v>
      </c>
      <c r="G6" s="2" t="s">
        <v>2</v>
      </c>
      <c r="J6" s="1">
        <f t="shared" si="1"/>
        <v>0</v>
      </c>
      <c r="N6" s="2" t="s">
        <v>2</v>
      </c>
      <c r="O6" s="8">
        <v>27.8</v>
      </c>
      <c r="P6" s="3">
        <v>41</v>
      </c>
      <c r="Q6" s="1">
        <f t="shared" si="2"/>
        <v>1139.8</v>
      </c>
    </row>
    <row r="7" spans="1:17" x14ac:dyDescent="0.3">
      <c r="A7" s="2" t="s">
        <v>18</v>
      </c>
      <c r="B7" s="8">
        <v>91.14</v>
      </c>
      <c r="C7" s="3">
        <v>64</v>
      </c>
      <c r="D7" s="1">
        <f t="shared" si="0"/>
        <v>5832.96</v>
      </c>
      <c r="G7" s="2" t="s">
        <v>18</v>
      </c>
      <c r="H7" s="8">
        <v>91.14</v>
      </c>
      <c r="I7" s="3">
        <v>64</v>
      </c>
      <c r="J7" s="1">
        <f t="shared" si="1"/>
        <v>5832.96</v>
      </c>
      <c r="N7" s="2" t="s">
        <v>18</v>
      </c>
      <c r="O7" s="8">
        <f>15.41+23.63</f>
        <v>39.04</v>
      </c>
      <c r="P7" s="3">
        <v>76</v>
      </c>
      <c r="Q7" s="1">
        <f t="shared" si="2"/>
        <v>2967.04</v>
      </c>
    </row>
    <row r="8" spans="1:17" x14ac:dyDescent="0.3">
      <c r="A8" s="94" t="s">
        <v>115</v>
      </c>
      <c r="D8" s="1">
        <f t="shared" si="0"/>
        <v>0</v>
      </c>
      <c r="G8" s="94" t="s">
        <v>115</v>
      </c>
      <c r="J8" s="1">
        <f t="shared" si="1"/>
        <v>0</v>
      </c>
      <c r="N8" s="94" t="s">
        <v>115</v>
      </c>
      <c r="Q8" s="1">
        <f t="shared" si="2"/>
        <v>0</v>
      </c>
    </row>
    <row r="9" spans="1:17" x14ac:dyDescent="0.3">
      <c r="A9" s="2" t="s">
        <v>116</v>
      </c>
      <c r="B9" s="8">
        <v>59.2</v>
      </c>
      <c r="C9" s="3">
        <v>22</v>
      </c>
      <c r="D9" s="1">
        <f t="shared" si="0"/>
        <v>1302.4000000000001</v>
      </c>
      <c r="G9" s="2" t="s">
        <v>116</v>
      </c>
      <c r="H9" s="8">
        <v>150.4</v>
      </c>
      <c r="I9" s="3">
        <v>26</v>
      </c>
      <c r="J9" s="1">
        <f t="shared" si="1"/>
        <v>3910.4</v>
      </c>
      <c r="N9" s="2" t="s">
        <v>116</v>
      </c>
      <c r="O9" s="8">
        <v>58.6</v>
      </c>
      <c r="P9" s="3">
        <v>26</v>
      </c>
      <c r="Q9" s="1">
        <f t="shared" si="2"/>
        <v>1523.6000000000001</v>
      </c>
    </row>
    <row r="10" spans="1:17" x14ac:dyDescent="0.3">
      <c r="A10" s="2" t="s">
        <v>3</v>
      </c>
      <c r="D10" s="1">
        <f t="shared" si="0"/>
        <v>0</v>
      </c>
      <c r="G10" s="2" t="s">
        <v>3</v>
      </c>
      <c r="H10" s="8">
        <f>929.2+876.19</f>
        <v>1805.39</v>
      </c>
      <c r="I10" s="3">
        <v>29.5</v>
      </c>
      <c r="J10" s="1">
        <f t="shared" si="1"/>
        <v>53259.005000000005</v>
      </c>
      <c r="N10" s="2" t="s">
        <v>3</v>
      </c>
      <c r="O10" s="8">
        <f>911.11+941.95+930.61+943.76+968+903.85</f>
        <v>5599.2800000000007</v>
      </c>
      <c r="P10" s="3">
        <v>29</v>
      </c>
      <c r="Q10" s="1">
        <f t="shared" si="2"/>
        <v>162379.12000000002</v>
      </c>
    </row>
    <row r="11" spans="1:17" x14ac:dyDescent="0.3">
      <c r="A11" s="2" t="s">
        <v>0</v>
      </c>
      <c r="B11" s="8">
        <v>29.8</v>
      </c>
      <c r="C11" s="3">
        <v>101</v>
      </c>
      <c r="D11" s="1">
        <f t="shared" si="0"/>
        <v>3009.8</v>
      </c>
      <c r="G11" s="2" t="s">
        <v>0</v>
      </c>
      <c r="H11" s="8">
        <v>29.8</v>
      </c>
      <c r="I11" s="3">
        <v>101</v>
      </c>
      <c r="J11" s="1">
        <f t="shared" si="1"/>
        <v>3009.8</v>
      </c>
      <c r="N11" s="2" t="s">
        <v>0</v>
      </c>
      <c r="O11" s="8">
        <v>29.8</v>
      </c>
      <c r="P11" s="3">
        <v>101</v>
      </c>
      <c r="Q11" s="1">
        <f t="shared" si="2"/>
        <v>3009.8</v>
      </c>
    </row>
    <row r="12" spans="1:17" x14ac:dyDescent="0.3">
      <c r="A12" s="2" t="s">
        <v>81</v>
      </c>
      <c r="D12" s="1">
        <f t="shared" si="0"/>
        <v>0</v>
      </c>
      <c r="G12" s="2" t="s">
        <v>81</v>
      </c>
      <c r="J12" s="1">
        <f t="shared" si="1"/>
        <v>0</v>
      </c>
      <c r="N12" s="2" t="s">
        <v>81</v>
      </c>
      <c r="Q12" s="1">
        <f t="shared" si="2"/>
        <v>0</v>
      </c>
    </row>
    <row r="13" spans="1:17" x14ac:dyDescent="0.3">
      <c r="A13" s="2" t="s">
        <v>112</v>
      </c>
      <c r="B13" s="8">
        <v>79.040000000000006</v>
      </c>
      <c r="C13" s="3">
        <v>54</v>
      </c>
      <c r="D13" s="1">
        <f t="shared" si="0"/>
        <v>4268.1600000000008</v>
      </c>
      <c r="G13" s="2" t="s">
        <v>112</v>
      </c>
      <c r="H13" s="8">
        <v>79.040000000000006</v>
      </c>
      <c r="I13" s="3">
        <v>54</v>
      </c>
      <c r="J13" s="1">
        <f t="shared" si="1"/>
        <v>4268.1600000000008</v>
      </c>
      <c r="N13" s="2" t="s">
        <v>112</v>
      </c>
      <c r="O13" s="8">
        <f>19.96+21.31+18.59+19.23</f>
        <v>79.09</v>
      </c>
      <c r="P13" s="3">
        <v>50</v>
      </c>
      <c r="Q13" s="1">
        <f t="shared" si="2"/>
        <v>3954.5</v>
      </c>
    </row>
    <row r="14" spans="1:17" x14ac:dyDescent="0.3">
      <c r="A14" s="2" t="s">
        <v>102</v>
      </c>
      <c r="D14" s="1">
        <f t="shared" si="0"/>
        <v>0</v>
      </c>
      <c r="G14" s="2" t="s">
        <v>102</v>
      </c>
      <c r="J14" s="1">
        <f t="shared" si="1"/>
        <v>0</v>
      </c>
      <c r="N14" s="2" t="s">
        <v>102</v>
      </c>
      <c r="Q14" s="1">
        <f t="shared" si="2"/>
        <v>0</v>
      </c>
    </row>
    <row r="15" spans="1:17" x14ac:dyDescent="0.3">
      <c r="A15" s="2" t="s">
        <v>96</v>
      </c>
      <c r="B15" s="8">
        <v>571.62</v>
      </c>
      <c r="C15" s="3">
        <v>27</v>
      </c>
      <c r="D15" s="1">
        <f t="shared" si="0"/>
        <v>15433.74</v>
      </c>
      <c r="G15" s="2" t="s">
        <v>96</v>
      </c>
      <c r="H15" s="8">
        <f>23*27.22</f>
        <v>626.05999999999995</v>
      </c>
      <c r="I15" s="3">
        <v>27</v>
      </c>
      <c r="J15" s="1">
        <f t="shared" si="1"/>
        <v>16903.62</v>
      </c>
      <c r="N15" s="2" t="s">
        <v>96</v>
      </c>
      <c r="O15" s="8">
        <f>25*27.22</f>
        <v>680.5</v>
      </c>
      <c r="P15" s="3">
        <v>27</v>
      </c>
      <c r="Q15" s="1">
        <f t="shared" si="2"/>
        <v>18373.5</v>
      </c>
    </row>
    <row r="16" spans="1:17" x14ac:dyDescent="0.3">
      <c r="A16" s="2" t="s">
        <v>85</v>
      </c>
      <c r="B16" s="8">
        <f>398.8+24</f>
        <v>422.8</v>
      </c>
      <c r="C16" s="3">
        <v>14</v>
      </c>
      <c r="D16" s="1">
        <f t="shared" si="0"/>
        <v>5919.2</v>
      </c>
      <c r="G16" s="2" t="s">
        <v>85</v>
      </c>
      <c r="H16" s="8">
        <v>146.4</v>
      </c>
      <c r="I16" s="3">
        <v>16</v>
      </c>
      <c r="J16" s="1">
        <f t="shared" si="1"/>
        <v>2342.4</v>
      </c>
      <c r="N16" s="2" t="s">
        <v>85</v>
      </c>
      <c r="O16" s="8">
        <v>166</v>
      </c>
      <c r="P16" s="3">
        <v>13</v>
      </c>
      <c r="Q16" s="1">
        <f t="shared" si="2"/>
        <v>2158</v>
      </c>
    </row>
    <row r="17" spans="1:17" x14ac:dyDescent="0.3">
      <c r="A17" s="2" t="s">
        <v>120</v>
      </c>
      <c r="B17" s="8">
        <v>7.25</v>
      </c>
      <c r="C17" s="3">
        <v>20</v>
      </c>
      <c r="D17" s="1">
        <f t="shared" si="0"/>
        <v>145</v>
      </c>
      <c r="G17" s="2" t="s">
        <v>120</v>
      </c>
      <c r="J17" s="1">
        <f t="shared" si="1"/>
        <v>0</v>
      </c>
      <c r="N17" s="2" t="s">
        <v>120</v>
      </c>
      <c r="O17" s="8">
        <v>124</v>
      </c>
      <c r="P17" s="3">
        <v>20</v>
      </c>
      <c r="Q17" s="1">
        <f t="shared" si="2"/>
        <v>2480</v>
      </c>
    </row>
    <row r="18" spans="1:17" x14ac:dyDescent="0.3">
      <c r="A18" s="2" t="s">
        <v>124</v>
      </c>
      <c r="D18" s="1">
        <f t="shared" si="0"/>
        <v>0</v>
      </c>
      <c r="G18" s="2" t="s">
        <v>124</v>
      </c>
      <c r="J18" s="1">
        <f t="shared" si="1"/>
        <v>0</v>
      </c>
      <c r="N18" s="2" t="s">
        <v>124</v>
      </c>
      <c r="O18" s="8">
        <v>31.45</v>
      </c>
      <c r="P18" s="3">
        <v>50</v>
      </c>
      <c r="Q18" s="1">
        <f t="shared" si="2"/>
        <v>1572.5</v>
      </c>
    </row>
    <row r="19" spans="1:17" x14ac:dyDescent="0.3">
      <c r="A19" s="2" t="s">
        <v>108</v>
      </c>
      <c r="B19" s="8">
        <v>20.5</v>
      </c>
      <c r="C19" s="3">
        <v>28</v>
      </c>
      <c r="D19" s="1">
        <f t="shared" si="0"/>
        <v>574</v>
      </c>
      <c r="G19" s="2" t="s">
        <v>108</v>
      </c>
      <c r="J19" s="1">
        <f t="shared" si="1"/>
        <v>0</v>
      </c>
      <c r="N19" s="2" t="s">
        <v>108</v>
      </c>
      <c r="O19" s="8">
        <v>15.8</v>
      </c>
      <c r="P19" s="3">
        <v>28</v>
      </c>
      <c r="Q19" s="1">
        <f t="shared" si="2"/>
        <v>442.40000000000003</v>
      </c>
    </row>
    <row r="20" spans="1:17" x14ac:dyDescent="0.3">
      <c r="A20" s="44" t="s">
        <v>109</v>
      </c>
      <c r="D20" s="1">
        <f t="shared" si="0"/>
        <v>0</v>
      </c>
      <c r="G20" s="44" t="s">
        <v>109</v>
      </c>
      <c r="J20" s="1">
        <f t="shared" si="1"/>
        <v>0</v>
      </c>
      <c r="N20" s="44" t="s">
        <v>109</v>
      </c>
      <c r="Q20" s="1">
        <f t="shared" si="2"/>
        <v>0</v>
      </c>
    </row>
    <row r="21" spans="1:17" x14ac:dyDescent="0.3">
      <c r="A21" s="95" t="s">
        <v>118</v>
      </c>
      <c r="B21" s="8">
        <v>6.7</v>
      </c>
      <c r="C21" s="3">
        <v>40</v>
      </c>
      <c r="D21" s="1">
        <f t="shared" si="0"/>
        <v>268</v>
      </c>
      <c r="G21" s="95" t="s">
        <v>118</v>
      </c>
      <c r="J21" s="1">
        <f t="shared" si="1"/>
        <v>0</v>
      </c>
      <c r="N21" s="95" t="s">
        <v>118</v>
      </c>
      <c r="Q21" s="1">
        <f t="shared" si="2"/>
        <v>0</v>
      </c>
    </row>
    <row r="22" spans="1:17" x14ac:dyDescent="0.3">
      <c r="A22" s="96" t="s">
        <v>118</v>
      </c>
      <c r="D22" s="1">
        <f t="shared" si="0"/>
        <v>0</v>
      </c>
      <c r="G22" s="96" t="s">
        <v>118</v>
      </c>
      <c r="J22" s="1">
        <f t="shared" si="1"/>
        <v>0</v>
      </c>
      <c r="N22" s="96" t="s">
        <v>118</v>
      </c>
      <c r="Q22" s="1">
        <f t="shared" si="2"/>
        <v>0</v>
      </c>
    </row>
    <row r="23" spans="1:17" x14ac:dyDescent="0.3">
      <c r="A23" s="44" t="s">
        <v>105</v>
      </c>
      <c r="D23" s="1">
        <f t="shared" si="0"/>
        <v>0</v>
      </c>
      <c r="G23" s="44" t="s">
        <v>105</v>
      </c>
      <c r="J23" s="1">
        <f t="shared" si="1"/>
        <v>0</v>
      </c>
      <c r="N23" s="44" t="s">
        <v>105</v>
      </c>
      <c r="Q23" s="1">
        <f t="shared" si="2"/>
        <v>0</v>
      </c>
    </row>
    <row r="24" spans="1:17" x14ac:dyDescent="0.3">
      <c r="A24" s="2" t="s">
        <v>11</v>
      </c>
      <c r="B24" s="8">
        <v>10.9</v>
      </c>
      <c r="C24" s="3">
        <v>18</v>
      </c>
      <c r="D24" s="1">
        <f t="shared" si="0"/>
        <v>196.20000000000002</v>
      </c>
      <c r="G24" s="2" t="s">
        <v>11</v>
      </c>
      <c r="H24" s="8">
        <v>4.5</v>
      </c>
      <c r="I24" s="3">
        <v>22</v>
      </c>
      <c r="J24" s="1">
        <f t="shared" si="1"/>
        <v>99</v>
      </c>
      <c r="N24" s="2" t="s">
        <v>11</v>
      </c>
      <c r="Q24" s="1">
        <f t="shared" si="2"/>
        <v>0</v>
      </c>
    </row>
    <row r="25" spans="1:17" x14ac:dyDescent="0.3">
      <c r="A25" s="2" t="s">
        <v>97</v>
      </c>
      <c r="B25" s="8">
        <v>220.8</v>
      </c>
      <c r="C25" s="3">
        <v>40</v>
      </c>
      <c r="D25" s="1">
        <f t="shared" si="0"/>
        <v>8832</v>
      </c>
      <c r="G25" s="2" t="s">
        <v>97</v>
      </c>
      <c r="J25" s="1">
        <f t="shared" si="1"/>
        <v>0</v>
      </c>
      <c r="N25" s="2" t="s">
        <v>97</v>
      </c>
      <c r="Q25" s="1">
        <f t="shared" si="2"/>
        <v>0</v>
      </c>
    </row>
    <row r="26" spans="1:17" x14ac:dyDescent="0.3">
      <c r="A26" s="2" t="s">
        <v>90</v>
      </c>
      <c r="B26" s="8">
        <v>104.2</v>
      </c>
      <c r="C26" s="3">
        <v>43</v>
      </c>
      <c r="D26" s="1">
        <f t="shared" si="0"/>
        <v>4480.6000000000004</v>
      </c>
      <c r="G26" s="2" t="s">
        <v>90</v>
      </c>
      <c r="J26" s="1">
        <f t="shared" si="1"/>
        <v>0</v>
      </c>
      <c r="N26" s="2" t="s">
        <v>90</v>
      </c>
      <c r="O26" s="8">
        <v>235.4</v>
      </c>
      <c r="P26" s="3">
        <v>42</v>
      </c>
      <c r="Q26" s="1">
        <f t="shared" si="2"/>
        <v>9886.8000000000011</v>
      </c>
    </row>
    <row r="27" spans="1:17" x14ac:dyDescent="0.3">
      <c r="A27" s="2" t="s">
        <v>26</v>
      </c>
      <c r="D27" s="1">
        <f t="shared" si="0"/>
        <v>0</v>
      </c>
      <c r="G27" s="2" t="s">
        <v>26</v>
      </c>
      <c r="J27" s="1">
        <f t="shared" si="1"/>
        <v>0</v>
      </c>
      <c r="N27" s="2" t="s">
        <v>26</v>
      </c>
      <c r="Q27" s="1">
        <f t="shared" si="2"/>
        <v>0</v>
      </c>
    </row>
    <row r="28" spans="1:17" x14ac:dyDescent="0.3">
      <c r="A28" s="2" t="s">
        <v>74</v>
      </c>
      <c r="D28" s="1">
        <f t="shared" si="0"/>
        <v>0</v>
      </c>
      <c r="G28" s="2" t="s">
        <v>74</v>
      </c>
      <c r="H28" s="8">
        <v>14.1</v>
      </c>
      <c r="I28" s="3">
        <v>72</v>
      </c>
      <c r="J28" s="1">
        <f t="shared" si="1"/>
        <v>1015.1999999999999</v>
      </c>
      <c r="N28" s="2" t="s">
        <v>74</v>
      </c>
      <c r="Q28" s="1">
        <f t="shared" si="2"/>
        <v>0</v>
      </c>
    </row>
    <row r="29" spans="1:17" x14ac:dyDescent="0.3">
      <c r="A29" s="2" t="s">
        <v>25</v>
      </c>
      <c r="B29" s="8">
        <v>8</v>
      </c>
      <c r="C29" s="3">
        <v>24</v>
      </c>
      <c r="D29" s="1">
        <f t="shared" si="0"/>
        <v>192</v>
      </c>
      <c r="G29" s="2" t="s">
        <v>25</v>
      </c>
      <c r="J29" s="1">
        <f t="shared" si="1"/>
        <v>0</v>
      </c>
      <c r="N29" s="2" t="s">
        <v>25</v>
      </c>
      <c r="O29" s="8">
        <v>18.75</v>
      </c>
      <c r="P29" s="3">
        <v>24</v>
      </c>
      <c r="Q29" s="1">
        <f t="shared" si="2"/>
        <v>450</v>
      </c>
    </row>
    <row r="30" spans="1:17" x14ac:dyDescent="0.3">
      <c r="A30" s="2" t="s">
        <v>19</v>
      </c>
      <c r="B30" s="8">
        <v>310</v>
      </c>
      <c r="C30" s="3">
        <v>18</v>
      </c>
      <c r="D30" s="1">
        <f t="shared" si="0"/>
        <v>5580</v>
      </c>
      <c r="G30" s="2" t="s">
        <v>19</v>
      </c>
      <c r="H30" s="8">
        <v>3.4</v>
      </c>
      <c r="I30" s="3">
        <v>18</v>
      </c>
      <c r="J30" s="1">
        <f t="shared" si="1"/>
        <v>61.199999999999996</v>
      </c>
      <c r="N30" s="2" t="s">
        <v>19</v>
      </c>
      <c r="O30" s="8">
        <v>389.3</v>
      </c>
      <c r="P30" s="3">
        <v>18</v>
      </c>
      <c r="Q30" s="1">
        <f t="shared" si="2"/>
        <v>7007.4000000000005</v>
      </c>
    </row>
    <row r="31" spans="1:17" x14ac:dyDescent="0.3">
      <c r="A31" s="2" t="s">
        <v>15</v>
      </c>
      <c r="B31" s="11">
        <v>462.74</v>
      </c>
      <c r="C31" s="12">
        <v>51</v>
      </c>
      <c r="D31" s="1">
        <f t="shared" si="0"/>
        <v>23599.74</v>
      </c>
      <c r="G31" s="2" t="s">
        <v>15</v>
      </c>
      <c r="H31" s="11"/>
      <c r="I31" s="12"/>
      <c r="J31" s="1">
        <f t="shared" si="1"/>
        <v>0</v>
      </c>
      <c r="N31" s="2" t="s">
        <v>15</v>
      </c>
      <c r="O31" s="11">
        <f>19*27.22</f>
        <v>517.17999999999995</v>
      </c>
      <c r="P31" s="12">
        <v>51</v>
      </c>
      <c r="Q31" s="1">
        <f t="shared" si="2"/>
        <v>26376.179999999997</v>
      </c>
    </row>
    <row r="32" spans="1:17" x14ac:dyDescent="0.3">
      <c r="A32" s="10" t="s">
        <v>77</v>
      </c>
      <c r="B32" s="11">
        <v>68</v>
      </c>
      <c r="C32" s="12">
        <v>32</v>
      </c>
      <c r="D32" s="1">
        <f t="shared" si="0"/>
        <v>2176</v>
      </c>
      <c r="G32" s="10" t="s">
        <v>77</v>
      </c>
      <c r="H32" s="11">
        <v>68</v>
      </c>
      <c r="I32" s="12">
        <v>32</v>
      </c>
      <c r="J32" s="1">
        <f t="shared" si="1"/>
        <v>2176</v>
      </c>
      <c r="N32" s="10" t="s">
        <v>77</v>
      </c>
      <c r="O32" s="11">
        <f>5*13.6</f>
        <v>68</v>
      </c>
      <c r="P32" s="12">
        <v>33</v>
      </c>
      <c r="Q32" s="1">
        <f t="shared" si="2"/>
        <v>2244</v>
      </c>
    </row>
    <row r="33" spans="1:17" x14ac:dyDescent="0.3">
      <c r="A33" s="2" t="s">
        <v>110</v>
      </c>
      <c r="D33" s="1">
        <f t="shared" si="0"/>
        <v>0</v>
      </c>
      <c r="G33" s="2" t="s">
        <v>110</v>
      </c>
      <c r="H33" s="8">
        <f>17*27.22</f>
        <v>462.74</v>
      </c>
      <c r="I33" s="3">
        <v>51</v>
      </c>
      <c r="J33" s="1">
        <f t="shared" si="1"/>
        <v>23599.74</v>
      </c>
      <c r="N33" s="2" t="s">
        <v>110</v>
      </c>
      <c r="Q33" s="1">
        <f t="shared" si="2"/>
        <v>0</v>
      </c>
    </row>
    <row r="34" spans="1:17" x14ac:dyDescent="0.3">
      <c r="A34" s="2" t="s">
        <v>27</v>
      </c>
      <c r="B34" s="8">
        <v>35.4</v>
      </c>
      <c r="C34" s="3">
        <v>28</v>
      </c>
      <c r="D34" s="1">
        <f t="shared" si="0"/>
        <v>991.19999999999993</v>
      </c>
      <c r="G34" s="2" t="s">
        <v>27</v>
      </c>
      <c r="H34" s="8">
        <v>36</v>
      </c>
      <c r="I34" s="3">
        <v>28</v>
      </c>
      <c r="J34" s="1">
        <f t="shared" si="1"/>
        <v>1008</v>
      </c>
      <c r="N34" s="2" t="s">
        <v>27</v>
      </c>
      <c r="O34" s="8">
        <v>29.35</v>
      </c>
      <c r="P34" s="3">
        <v>28</v>
      </c>
      <c r="Q34" s="1">
        <f t="shared" si="2"/>
        <v>821.80000000000007</v>
      </c>
    </row>
    <row r="35" spans="1:17" x14ac:dyDescent="0.3">
      <c r="A35" s="2" t="s">
        <v>4</v>
      </c>
      <c r="B35" s="8">
        <v>7.35</v>
      </c>
      <c r="C35" s="3">
        <v>55</v>
      </c>
      <c r="D35" s="1">
        <f t="shared" si="0"/>
        <v>404.25</v>
      </c>
      <c r="G35" s="2" t="s">
        <v>4</v>
      </c>
      <c r="H35" s="8">
        <v>7.4</v>
      </c>
      <c r="I35" s="3">
        <v>56</v>
      </c>
      <c r="J35" s="1">
        <f t="shared" si="1"/>
        <v>414.40000000000003</v>
      </c>
      <c r="N35" s="2" t="s">
        <v>4</v>
      </c>
      <c r="Q35" s="1">
        <f t="shared" si="2"/>
        <v>0</v>
      </c>
    </row>
    <row r="36" spans="1:17" x14ac:dyDescent="0.3">
      <c r="A36" s="2" t="s">
        <v>86</v>
      </c>
      <c r="D36" s="1">
        <f t="shared" si="0"/>
        <v>0</v>
      </c>
      <c r="G36" s="2" t="s">
        <v>86</v>
      </c>
      <c r="J36" s="1">
        <f t="shared" si="1"/>
        <v>0</v>
      </c>
      <c r="N36" s="2" t="s">
        <v>86</v>
      </c>
      <c r="O36" s="8">
        <v>383</v>
      </c>
      <c r="P36" s="3">
        <v>31</v>
      </c>
      <c r="Q36" s="1">
        <f t="shared" si="2"/>
        <v>11873</v>
      </c>
    </row>
    <row r="37" spans="1:17" x14ac:dyDescent="0.3">
      <c r="A37" s="2" t="s">
        <v>23</v>
      </c>
      <c r="D37" s="1">
        <f t="shared" si="0"/>
        <v>0</v>
      </c>
      <c r="G37" s="2" t="s">
        <v>23</v>
      </c>
      <c r="J37" s="1">
        <f t="shared" si="1"/>
        <v>0</v>
      </c>
      <c r="N37" s="2" t="s">
        <v>23</v>
      </c>
      <c r="Q37" s="1">
        <f t="shared" si="2"/>
        <v>0</v>
      </c>
    </row>
    <row r="38" spans="1:17" x14ac:dyDescent="0.3">
      <c r="A38" s="2" t="s">
        <v>83</v>
      </c>
      <c r="B38" s="8">
        <f>29.05+9.2</f>
        <v>38.25</v>
      </c>
      <c r="C38" s="3">
        <v>40</v>
      </c>
      <c r="D38" s="1">
        <f t="shared" si="0"/>
        <v>1530</v>
      </c>
      <c r="G38" s="2" t="s">
        <v>83</v>
      </c>
      <c r="H38" s="8">
        <v>11.45</v>
      </c>
      <c r="I38" s="3">
        <v>42</v>
      </c>
      <c r="J38" s="1">
        <f t="shared" si="1"/>
        <v>480.9</v>
      </c>
      <c r="N38" s="2" t="s">
        <v>83</v>
      </c>
      <c r="O38" s="8">
        <v>8.15</v>
      </c>
      <c r="P38" s="3">
        <v>42</v>
      </c>
      <c r="Q38" s="1">
        <f t="shared" si="2"/>
        <v>342.3</v>
      </c>
    </row>
    <row r="39" spans="1:17" x14ac:dyDescent="0.3">
      <c r="A39" s="2" t="s">
        <v>121</v>
      </c>
      <c r="D39" s="1">
        <f t="shared" si="0"/>
        <v>0</v>
      </c>
      <c r="G39" s="2" t="s">
        <v>121</v>
      </c>
      <c r="J39" s="1">
        <f t="shared" si="1"/>
        <v>0</v>
      </c>
      <c r="N39" s="2" t="s">
        <v>121</v>
      </c>
      <c r="Q39" s="1">
        <f t="shared" si="2"/>
        <v>0</v>
      </c>
    </row>
    <row r="40" spans="1:17" x14ac:dyDescent="0.3">
      <c r="A40" s="2" t="s">
        <v>98</v>
      </c>
      <c r="D40" s="1">
        <f t="shared" si="0"/>
        <v>0</v>
      </c>
      <c r="G40" s="2" t="s">
        <v>98</v>
      </c>
      <c r="J40" s="1">
        <f t="shared" si="1"/>
        <v>0</v>
      </c>
      <c r="N40" s="2" t="s">
        <v>98</v>
      </c>
      <c r="Q40" s="1">
        <f t="shared" si="2"/>
        <v>0</v>
      </c>
    </row>
    <row r="41" spans="1:17" x14ac:dyDescent="0.3">
      <c r="A41" s="2" t="s">
        <v>20</v>
      </c>
      <c r="B41" s="11">
        <v>24.35</v>
      </c>
      <c r="C41" s="12">
        <v>82</v>
      </c>
      <c r="D41" s="1">
        <f t="shared" si="0"/>
        <v>1996.7</v>
      </c>
      <c r="G41" s="2" t="s">
        <v>20</v>
      </c>
      <c r="H41" s="11">
        <v>20.9</v>
      </c>
      <c r="I41" s="12">
        <v>64</v>
      </c>
      <c r="J41" s="1">
        <f t="shared" si="1"/>
        <v>1337.6</v>
      </c>
      <c r="N41" s="2" t="s">
        <v>20</v>
      </c>
      <c r="O41" s="11">
        <v>31.25</v>
      </c>
      <c r="P41" s="12">
        <v>64</v>
      </c>
      <c r="Q41" s="1">
        <f t="shared" si="2"/>
        <v>2000</v>
      </c>
    </row>
    <row r="42" spans="1:17" x14ac:dyDescent="0.3">
      <c r="A42" s="2" t="s">
        <v>126</v>
      </c>
      <c r="B42" s="11"/>
      <c r="C42" s="12"/>
      <c r="D42" s="1">
        <f t="shared" si="0"/>
        <v>0</v>
      </c>
      <c r="G42" s="2" t="s">
        <v>126</v>
      </c>
      <c r="H42" s="11">
        <v>19.100000000000001</v>
      </c>
      <c r="I42" s="12">
        <v>82</v>
      </c>
      <c r="J42" s="1">
        <f t="shared" si="1"/>
        <v>1566.2</v>
      </c>
      <c r="O42" s="11"/>
      <c r="P42" s="12"/>
      <c r="Q42" s="1"/>
    </row>
    <row r="43" spans="1:17" x14ac:dyDescent="0.3">
      <c r="A43" s="10" t="s">
        <v>94</v>
      </c>
      <c r="B43" s="8">
        <v>5</v>
      </c>
      <c r="C43" s="3">
        <v>770</v>
      </c>
      <c r="D43" s="1">
        <f t="shared" si="0"/>
        <v>3850</v>
      </c>
      <c r="G43" s="10" t="s">
        <v>94</v>
      </c>
      <c r="H43" s="8">
        <v>5</v>
      </c>
      <c r="I43" s="3">
        <v>770</v>
      </c>
      <c r="J43" s="1">
        <f t="shared" si="1"/>
        <v>3850</v>
      </c>
      <c r="N43" s="10" t="s">
        <v>94</v>
      </c>
      <c r="O43" s="8">
        <v>5</v>
      </c>
      <c r="P43" s="3">
        <v>770</v>
      </c>
      <c r="Q43" s="1">
        <f t="shared" si="2"/>
        <v>3850</v>
      </c>
    </row>
    <row r="44" spans="1:17" x14ac:dyDescent="0.3">
      <c r="A44" s="2" t="s">
        <v>17</v>
      </c>
      <c r="B44" s="8">
        <v>140</v>
      </c>
      <c r="C44" s="3">
        <v>60</v>
      </c>
      <c r="D44" s="1">
        <f t="shared" si="0"/>
        <v>8400</v>
      </c>
      <c r="G44" s="2" t="s">
        <v>17</v>
      </c>
      <c r="H44" s="8">
        <v>140</v>
      </c>
      <c r="I44" s="3">
        <v>61</v>
      </c>
      <c r="J44" s="1">
        <f t="shared" si="1"/>
        <v>8540</v>
      </c>
      <c r="N44" s="2" t="s">
        <v>17</v>
      </c>
      <c r="Q44" s="1">
        <f t="shared" si="2"/>
        <v>0</v>
      </c>
    </row>
    <row r="45" spans="1:17" x14ac:dyDescent="0.3">
      <c r="A45" s="2" t="s">
        <v>12</v>
      </c>
      <c r="B45" s="8">
        <v>27</v>
      </c>
      <c r="C45" s="3">
        <v>42</v>
      </c>
      <c r="D45" s="1">
        <f t="shared" si="0"/>
        <v>1134</v>
      </c>
      <c r="G45" s="2" t="s">
        <v>12</v>
      </c>
      <c r="H45" s="8">
        <v>55</v>
      </c>
      <c r="I45" s="3">
        <v>42</v>
      </c>
      <c r="J45" s="1">
        <f t="shared" si="1"/>
        <v>2310</v>
      </c>
      <c r="N45" s="2" t="s">
        <v>12</v>
      </c>
      <c r="O45" s="8">
        <v>17</v>
      </c>
      <c r="P45" s="3">
        <v>42</v>
      </c>
      <c r="Q45" s="1">
        <f t="shared" si="2"/>
        <v>714</v>
      </c>
    </row>
    <row r="46" spans="1:17" x14ac:dyDescent="0.3">
      <c r="A46" s="2" t="s">
        <v>24</v>
      </c>
      <c r="B46" s="8">
        <v>15.5</v>
      </c>
      <c r="C46" s="3">
        <v>16</v>
      </c>
      <c r="D46" s="1">
        <f t="shared" si="0"/>
        <v>248</v>
      </c>
      <c r="G46" s="2" t="s">
        <v>24</v>
      </c>
      <c r="H46" s="8">
        <v>21.25</v>
      </c>
      <c r="I46" s="3">
        <v>19</v>
      </c>
      <c r="J46" s="1">
        <f t="shared" si="1"/>
        <v>403.75</v>
      </c>
      <c r="N46" s="2" t="s">
        <v>24</v>
      </c>
      <c r="O46" s="8">
        <v>14.4</v>
      </c>
      <c r="P46" s="3">
        <v>17</v>
      </c>
      <c r="Q46" s="1">
        <f t="shared" si="2"/>
        <v>244.8</v>
      </c>
    </row>
    <row r="47" spans="1:17" ht="19.5" thickBot="1" x14ac:dyDescent="0.35">
      <c r="A47"/>
      <c r="B47"/>
      <c r="C47" s="7" t="s">
        <v>13</v>
      </c>
      <c r="D47" s="6">
        <f>SUM(D3:D46)</f>
        <v>107246.34999999999</v>
      </c>
      <c r="G47"/>
      <c r="H47"/>
      <c r="I47" s="7" t="s">
        <v>13</v>
      </c>
      <c r="J47" s="6">
        <f>SUM(J3:J46)</f>
        <v>142387.13500000001</v>
      </c>
      <c r="N47"/>
      <c r="O47"/>
      <c r="P47" s="7" t="s">
        <v>13</v>
      </c>
      <c r="Q47" s="6">
        <f>SUM(Q3:Q46)</f>
        <v>266726.93999999994</v>
      </c>
    </row>
    <row r="48" spans="1:17" ht="19.5" thickTop="1" x14ac:dyDescent="0.3">
      <c r="A48"/>
      <c r="B48"/>
      <c r="D48" s="1"/>
      <c r="G48"/>
      <c r="H48"/>
      <c r="J48" s="1"/>
      <c r="N48"/>
      <c r="O48"/>
      <c r="Q48" s="1"/>
    </row>
  </sheetData>
  <pageMargins left="1.299212598425197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tabSelected="1" topLeftCell="A37" workbookViewId="0">
      <selection activeCell="D11" sqref="D11"/>
    </sheetView>
  </sheetViews>
  <sheetFormatPr baseColWidth="10" defaultRowHeight="18.75" x14ac:dyDescent="0.3"/>
  <cols>
    <col min="2" max="2" width="19.42578125" style="2" bestFit="1" customWidth="1"/>
    <col min="3" max="3" width="12.7109375" style="8" bestFit="1" customWidth="1"/>
    <col min="4" max="4" width="14.42578125" style="3" bestFit="1" customWidth="1"/>
    <col min="5" max="5" width="18.5703125" style="2" customWidth="1"/>
    <col min="8" max="8" width="19.42578125" style="2" bestFit="1" customWidth="1"/>
    <col min="9" max="9" width="12.7109375" style="8" bestFit="1" customWidth="1"/>
    <col min="10" max="10" width="14.42578125" style="3" bestFit="1" customWidth="1"/>
    <col min="11" max="11" width="18.5703125" style="2" customWidth="1"/>
    <col min="14" max="14" width="19.42578125" style="2" bestFit="1" customWidth="1"/>
    <col min="15" max="15" width="12.7109375" style="8" bestFit="1" customWidth="1"/>
    <col min="16" max="16" width="14.42578125" style="3" bestFit="1" customWidth="1"/>
    <col min="17" max="17" width="18.5703125" style="2" customWidth="1"/>
  </cols>
  <sheetData>
    <row r="2" spans="2:17" ht="19.5" thickBot="1" x14ac:dyDescent="0.35">
      <c r="B2" s="13" t="s">
        <v>130</v>
      </c>
      <c r="C2" s="9"/>
      <c r="D2" s="4"/>
      <c r="E2" s="5"/>
      <c r="H2" s="13" t="s">
        <v>129</v>
      </c>
      <c r="I2" s="9"/>
      <c r="J2" s="4"/>
      <c r="K2" s="5"/>
      <c r="N2" s="13" t="s">
        <v>128</v>
      </c>
      <c r="O2" s="9"/>
      <c r="P2" s="4"/>
      <c r="Q2" s="5"/>
    </row>
    <row r="3" spans="2:17" ht="19.5" thickTop="1" x14ac:dyDescent="0.3">
      <c r="B3" s="2" t="s">
        <v>10</v>
      </c>
      <c r="C3" s="8">
        <v>95.27</v>
      </c>
      <c r="D3" s="3">
        <v>39</v>
      </c>
      <c r="E3" s="1">
        <f t="shared" ref="E3:E46" si="0">D3*C3</f>
        <v>3715.5299999999997</v>
      </c>
      <c r="H3" s="2" t="s">
        <v>10</v>
      </c>
      <c r="I3" s="8">
        <v>122.49</v>
      </c>
      <c r="J3" s="3">
        <v>39</v>
      </c>
      <c r="K3" s="1">
        <f t="shared" ref="K3:K46" si="1">J3*I3</f>
        <v>4777.1099999999997</v>
      </c>
      <c r="N3" s="2" t="s">
        <v>10</v>
      </c>
      <c r="Q3" s="1">
        <f t="shared" ref="Q3:Q46" si="2">P3*O3</f>
        <v>0</v>
      </c>
    </row>
    <row r="4" spans="2:17" x14ac:dyDescent="0.3">
      <c r="B4" s="2" t="s">
        <v>75</v>
      </c>
      <c r="E4" s="1">
        <f t="shared" si="0"/>
        <v>0</v>
      </c>
      <c r="H4" s="2" t="s">
        <v>75</v>
      </c>
      <c r="K4" s="1">
        <f t="shared" si="1"/>
        <v>0</v>
      </c>
      <c r="N4" s="2" t="s">
        <v>75</v>
      </c>
      <c r="Q4" s="1">
        <f t="shared" si="2"/>
        <v>0</v>
      </c>
    </row>
    <row r="5" spans="2:17" x14ac:dyDescent="0.3">
      <c r="B5" s="2" t="s">
        <v>73</v>
      </c>
      <c r="E5" s="1">
        <f t="shared" si="0"/>
        <v>0</v>
      </c>
      <c r="H5" s="2" t="s">
        <v>73</v>
      </c>
      <c r="I5" s="8">
        <v>81.599999999999994</v>
      </c>
      <c r="J5" s="3">
        <v>22</v>
      </c>
      <c r="K5" s="1">
        <f t="shared" si="1"/>
        <v>1795.1999999999998</v>
      </c>
      <c r="N5" s="2" t="s">
        <v>73</v>
      </c>
      <c r="O5" s="8">
        <v>85.2</v>
      </c>
      <c r="P5" s="3">
        <v>22</v>
      </c>
      <c r="Q5" s="1">
        <f t="shared" si="2"/>
        <v>1874.4</v>
      </c>
    </row>
    <row r="6" spans="2:17" x14ac:dyDescent="0.3">
      <c r="B6" s="2" t="s">
        <v>2</v>
      </c>
      <c r="E6" s="1">
        <f t="shared" si="0"/>
        <v>0</v>
      </c>
      <c r="H6" s="2" t="s">
        <v>2</v>
      </c>
      <c r="K6" s="1">
        <f t="shared" si="1"/>
        <v>0</v>
      </c>
      <c r="N6" s="2" t="s">
        <v>2</v>
      </c>
      <c r="Q6" s="1">
        <f t="shared" si="2"/>
        <v>0</v>
      </c>
    </row>
    <row r="7" spans="2:17" x14ac:dyDescent="0.3">
      <c r="B7" s="2" t="s">
        <v>18</v>
      </c>
      <c r="C7" s="8">
        <v>20.2</v>
      </c>
      <c r="D7" s="3">
        <v>74</v>
      </c>
      <c r="E7" s="1">
        <f t="shared" si="0"/>
        <v>1494.8</v>
      </c>
      <c r="H7" s="2" t="s">
        <v>18</v>
      </c>
      <c r="I7" s="8">
        <f>22.34+20.41+20.12</f>
        <v>62.870000000000005</v>
      </c>
      <c r="J7" s="3">
        <v>74</v>
      </c>
      <c r="K7" s="1">
        <f t="shared" si="1"/>
        <v>4652.38</v>
      </c>
      <c r="N7" s="2" t="s">
        <v>18</v>
      </c>
      <c r="O7" s="8">
        <v>209.86</v>
      </c>
      <c r="P7" s="3">
        <v>74</v>
      </c>
      <c r="Q7" s="1">
        <f t="shared" si="2"/>
        <v>15529.640000000001</v>
      </c>
    </row>
    <row r="8" spans="2:17" x14ac:dyDescent="0.3">
      <c r="B8" s="94" t="s">
        <v>115</v>
      </c>
      <c r="E8" s="1">
        <f t="shared" si="0"/>
        <v>0</v>
      </c>
      <c r="H8" s="94" t="s">
        <v>115</v>
      </c>
      <c r="K8" s="1">
        <f t="shared" si="1"/>
        <v>0</v>
      </c>
      <c r="N8" s="94" t="s">
        <v>115</v>
      </c>
      <c r="Q8" s="1">
        <f t="shared" si="2"/>
        <v>0</v>
      </c>
    </row>
    <row r="9" spans="2:17" x14ac:dyDescent="0.3">
      <c r="B9" s="2" t="s">
        <v>116</v>
      </c>
      <c r="C9" s="8">
        <v>703.2</v>
      </c>
      <c r="D9" s="3">
        <v>28</v>
      </c>
      <c r="E9" s="1">
        <f t="shared" si="0"/>
        <v>19689.600000000002</v>
      </c>
      <c r="H9" s="2" t="s">
        <v>116</v>
      </c>
      <c r="I9" s="8">
        <v>130.6</v>
      </c>
      <c r="J9" s="3">
        <v>28</v>
      </c>
      <c r="K9" s="1">
        <f t="shared" si="1"/>
        <v>3656.7999999999997</v>
      </c>
      <c r="N9" s="2" t="s">
        <v>116</v>
      </c>
      <c r="O9" s="8">
        <v>128.19999999999999</v>
      </c>
      <c r="P9" s="3">
        <v>27</v>
      </c>
      <c r="Q9" s="1">
        <f t="shared" si="2"/>
        <v>3461.3999999999996</v>
      </c>
    </row>
    <row r="10" spans="2:17" x14ac:dyDescent="0.3">
      <c r="B10" s="2" t="s">
        <v>3</v>
      </c>
      <c r="C10" s="8">
        <f>915.8+926.7+921.7+928.5+924.4+919+922.1+918.5+923.5+912.6+913.5+929+918.1+905.8+922.1+923.1+914.4+920.8+915.8</f>
        <v>17475.400000000001</v>
      </c>
      <c r="D10" s="3">
        <v>27</v>
      </c>
      <c r="E10" s="1">
        <f t="shared" si="0"/>
        <v>471835.80000000005</v>
      </c>
      <c r="H10" s="2" t="s">
        <v>3</v>
      </c>
      <c r="I10" s="8">
        <f>955.1+960.54+928.54+924.26+896.6+931.97+948.3</f>
        <v>6545.31</v>
      </c>
      <c r="J10" s="3">
        <v>34</v>
      </c>
      <c r="K10" s="1">
        <f t="shared" si="1"/>
        <v>222540.54</v>
      </c>
      <c r="N10" s="2" t="s">
        <v>3</v>
      </c>
      <c r="Q10" s="1">
        <f t="shared" si="2"/>
        <v>0</v>
      </c>
    </row>
    <row r="11" spans="2:17" x14ac:dyDescent="0.3">
      <c r="B11" s="2" t="s">
        <v>0</v>
      </c>
      <c r="C11" s="8">
        <v>29.8</v>
      </c>
      <c r="D11" s="3">
        <v>101</v>
      </c>
      <c r="E11" s="1">
        <f t="shared" si="0"/>
        <v>3009.8</v>
      </c>
      <c r="H11" s="2" t="s">
        <v>0</v>
      </c>
      <c r="I11" s="8">
        <v>29.8</v>
      </c>
      <c r="J11" s="3">
        <v>101</v>
      </c>
      <c r="K11" s="1">
        <f t="shared" si="1"/>
        <v>3009.8</v>
      </c>
      <c r="N11" s="2" t="s">
        <v>0</v>
      </c>
      <c r="O11" s="8">
        <v>29.8</v>
      </c>
      <c r="P11" s="3">
        <v>101</v>
      </c>
      <c r="Q11" s="1">
        <f t="shared" si="2"/>
        <v>3009.8</v>
      </c>
    </row>
    <row r="12" spans="2:17" x14ac:dyDescent="0.3">
      <c r="B12" s="2" t="s">
        <v>116</v>
      </c>
      <c r="E12" s="1">
        <f t="shared" si="0"/>
        <v>0</v>
      </c>
      <c r="H12" s="2" t="s">
        <v>116</v>
      </c>
      <c r="I12" s="8">
        <v>46.6</v>
      </c>
      <c r="J12" s="3">
        <v>30</v>
      </c>
      <c r="K12" s="1">
        <f t="shared" si="1"/>
        <v>1398</v>
      </c>
      <c r="N12" s="2" t="s">
        <v>81</v>
      </c>
      <c r="Q12" s="1">
        <f t="shared" si="2"/>
        <v>0</v>
      </c>
    </row>
    <row r="13" spans="2:17" x14ac:dyDescent="0.3">
      <c r="B13" s="2" t="s">
        <v>112</v>
      </c>
      <c r="C13" s="8">
        <f>19.91+21.31+18.59</f>
        <v>59.81</v>
      </c>
      <c r="D13" s="3">
        <v>50</v>
      </c>
      <c r="E13" s="1">
        <f t="shared" si="0"/>
        <v>2990.5</v>
      </c>
      <c r="H13" s="2" t="s">
        <v>112</v>
      </c>
      <c r="I13" s="8">
        <f>19.23+19.91+21.31+18.59</f>
        <v>79.040000000000006</v>
      </c>
      <c r="J13" s="3">
        <v>54</v>
      </c>
      <c r="K13" s="1">
        <f t="shared" si="1"/>
        <v>4268.1600000000008</v>
      </c>
      <c r="N13" s="2" t="s">
        <v>112</v>
      </c>
      <c r="O13" s="8">
        <v>79.040000000000006</v>
      </c>
      <c r="P13" s="3">
        <v>54</v>
      </c>
      <c r="Q13" s="1">
        <f t="shared" si="2"/>
        <v>4268.1600000000008</v>
      </c>
    </row>
    <row r="14" spans="2:17" x14ac:dyDescent="0.3">
      <c r="B14" s="2" t="s">
        <v>102</v>
      </c>
      <c r="E14" s="1">
        <f t="shared" si="0"/>
        <v>0</v>
      </c>
      <c r="H14" s="2" t="s">
        <v>102</v>
      </c>
      <c r="K14" s="1">
        <f t="shared" si="1"/>
        <v>0</v>
      </c>
      <c r="N14" s="2" t="s">
        <v>102</v>
      </c>
      <c r="Q14" s="1">
        <f t="shared" si="2"/>
        <v>0</v>
      </c>
    </row>
    <row r="15" spans="2:17" x14ac:dyDescent="0.3">
      <c r="B15" s="2" t="s">
        <v>96</v>
      </c>
      <c r="C15" s="8">
        <v>81.66</v>
      </c>
      <c r="D15" s="3">
        <v>27</v>
      </c>
      <c r="E15" s="1">
        <f t="shared" si="0"/>
        <v>2204.8199999999997</v>
      </c>
      <c r="H15" s="2" t="s">
        <v>96</v>
      </c>
      <c r="I15" s="8">
        <v>272.2</v>
      </c>
      <c r="J15" s="3">
        <v>27</v>
      </c>
      <c r="K15" s="1">
        <f t="shared" si="1"/>
        <v>7349.4</v>
      </c>
      <c r="N15" s="2" t="s">
        <v>96</v>
      </c>
      <c r="O15" s="8">
        <v>408.3</v>
      </c>
      <c r="P15" s="3">
        <v>27</v>
      </c>
      <c r="Q15" s="1">
        <f t="shared" si="2"/>
        <v>11024.1</v>
      </c>
    </row>
    <row r="16" spans="2:17" x14ac:dyDescent="0.3">
      <c r="B16" s="2" t="s">
        <v>85</v>
      </c>
      <c r="C16" s="8">
        <v>2298.8000000000002</v>
      </c>
      <c r="D16" s="3">
        <v>10</v>
      </c>
      <c r="E16" s="1">
        <f t="shared" si="0"/>
        <v>22988</v>
      </c>
      <c r="H16" s="2" t="s">
        <v>85</v>
      </c>
      <c r="I16" s="8">
        <f>607+691.8+200+31.55</f>
        <v>1530.35</v>
      </c>
      <c r="J16" s="3">
        <v>12</v>
      </c>
      <c r="K16" s="1">
        <f t="shared" si="1"/>
        <v>18364.199999999997</v>
      </c>
      <c r="N16" s="2" t="s">
        <v>85</v>
      </c>
      <c r="O16" s="8">
        <f>211.4+134.8</f>
        <v>346.20000000000005</v>
      </c>
      <c r="P16" s="3">
        <v>14</v>
      </c>
      <c r="Q16" s="1">
        <f t="shared" si="2"/>
        <v>4846.8000000000011</v>
      </c>
    </row>
    <row r="17" spans="2:17" x14ac:dyDescent="0.3">
      <c r="B17" s="2" t="s">
        <v>120</v>
      </c>
      <c r="E17" s="1">
        <f t="shared" si="0"/>
        <v>0</v>
      </c>
      <c r="H17" s="2" t="s">
        <v>120</v>
      </c>
      <c r="I17" s="8">
        <v>21.8</v>
      </c>
      <c r="J17" s="3">
        <v>20</v>
      </c>
      <c r="K17" s="1">
        <f t="shared" si="1"/>
        <v>436</v>
      </c>
      <c r="N17" s="2" t="s">
        <v>120</v>
      </c>
      <c r="Q17" s="1">
        <f t="shared" si="2"/>
        <v>0</v>
      </c>
    </row>
    <row r="18" spans="2:17" x14ac:dyDescent="0.3">
      <c r="B18" s="2" t="s">
        <v>124</v>
      </c>
      <c r="E18" s="1">
        <f t="shared" si="0"/>
        <v>0</v>
      </c>
      <c r="H18" s="2" t="s">
        <v>124</v>
      </c>
      <c r="K18" s="1">
        <f t="shared" si="1"/>
        <v>0</v>
      </c>
      <c r="N18" s="2" t="s">
        <v>124</v>
      </c>
      <c r="Q18" s="1">
        <f t="shared" si="2"/>
        <v>0</v>
      </c>
    </row>
    <row r="19" spans="2:17" x14ac:dyDescent="0.3">
      <c r="B19" s="2" t="s">
        <v>108</v>
      </c>
      <c r="E19" s="1">
        <f t="shared" si="0"/>
        <v>0</v>
      </c>
      <c r="H19" s="2" t="s">
        <v>108</v>
      </c>
      <c r="K19" s="1">
        <f t="shared" si="1"/>
        <v>0</v>
      </c>
      <c r="N19" s="2" t="s">
        <v>108</v>
      </c>
      <c r="Q19" s="1">
        <f t="shared" si="2"/>
        <v>0</v>
      </c>
    </row>
    <row r="20" spans="2:17" x14ac:dyDescent="0.3">
      <c r="B20" s="44" t="s">
        <v>109</v>
      </c>
      <c r="E20" s="1">
        <f t="shared" si="0"/>
        <v>0</v>
      </c>
      <c r="H20" s="44" t="s">
        <v>109</v>
      </c>
      <c r="K20" s="1">
        <f t="shared" si="1"/>
        <v>0</v>
      </c>
      <c r="N20" s="44" t="s">
        <v>109</v>
      </c>
      <c r="Q20" s="1">
        <f t="shared" si="2"/>
        <v>0</v>
      </c>
    </row>
    <row r="21" spans="2:17" x14ac:dyDescent="0.3">
      <c r="B21" s="95" t="s">
        <v>118</v>
      </c>
      <c r="C21" s="8">
        <v>6.35</v>
      </c>
      <c r="D21" s="3">
        <v>42</v>
      </c>
      <c r="E21" s="1">
        <f t="shared" si="0"/>
        <v>266.7</v>
      </c>
      <c r="H21" s="95" t="s">
        <v>118</v>
      </c>
      <c r="K21" s="1">
        <f t="shared" si="1"/>
        <v>0</v>
      </c>
      <c r="N21" s="95" t="s">
        <v>118</v>
      </c>
      <c r="Q21" s="1">
        <f t="shared" si="2"/>
        <v>0</v>
      </c>
    </row>
    <row r="22" spans="2:17" x14ac:dyDescent="0.3">
      <c r="B22" s="96" t="s">
        <v>118</v>
      </c>
      <c r="E22" s="1">
        <f t="shared" si="0"/>
        <v>0</v>
      </c>
      <c r="H22" s="96" t="s">
        <v>118</v>
      </c>
      <c r="K22" s="1">
        <f t="shared" si="1"/>
        <v>0</v>
      </c>
      <c r="N22" s="96" t="s">
        <v>118</v>
      </c>
      <c r="Q22" s="1">
        <f t="shared" si="2"/>
        <v>0</v>
      </c>
    </row>
    <row r="23" spans="2:17" x14ac:dyDescent="0.3">
      <c r="B23" s="44" t="s">
        <v>105</v>
      </c>
      <c r="E23" s="1">
        <f t="shared" si="0"/>
        <v>0</v>
      </c>
      <c r="H23" s="44" t="s">
        <v>105</v>
      </c>
      <c r="K23" s="1">
        <f t="shared" si="1"/>
        <v>0</v>
      </c>
      <c r="N23" s="44" t="s">
        <v>105</v>
      </c>
      <c r="Q23" s="1">
        <f t="shared" si="2"/>
        <v>0</v>
      </c>
    </row>
    <row r="24" spans="2:17" x14ac:dyDescent="0.3">
      <c r="B24" s="2" t="s">
        <v>11</v>
      </c>
      <c r="C24" s="8">
        <v>8.9</v>
      </c>
      <c r="D24" s="3">
        <v>22</v>
      </c>
      <c r="E24" s="1">
        <f t="shared" si="0"/>
        <v>195.8</v>
      </c>
      <c r="H24" s="2" t="s">
        <v>11</v>
      </c>
      <c r="I24" s="8">
        <v>10.55</v>
      </c>
      <c r="J24" s="3">
        <v>26</v>
      </c>
      <c r="K24" s="1">
        <f t="shared" si="1"/>
        <v>274.3</v>
      </c>
      <c r="N24" s="2" t="s">
        <v>11</v>
      </c>
      <c r="O24" s="8">
        <v>18</v>
      </c>
      <c r="P24" s="3">
        <v>20</v>
      </c>
      <c r="Q24" s="1">
        <f t="shared" si="2"/>
        <v>360</v>
      </c>
    </row>
    <row r="25" spans="2:17" x14ac:dyDescent="0.3">
      <c r="B25" s="2" t="s">
        <v>97</v>
      </c>
      <c r="C25" s="8">
        <v>288.60000000000002</v>
      </c>
      <c r="D25" s="3">
        <v>39</v>
      </c>
      <c r="E25" s="1">
        <f t="shared" si="0"/>
        <v>11255.400000000001</v>
      </c>
      <c r="H25" s="2" t="s">
        <v>97</v>
      </c>
      <c r="I25" s="8">
        <v>226</v>
      </c>
      <c r="J25" s="3">
        <v>46</v>
      </c>
      <c r="K25" s="1">
        <f t="shared" si="1"/>
        <v>10396</v>
      </c>
      <c r="N25" s="2" t="s">
        <v>97</v>
      </c>
      <c r="O25" s="8">
        <v>161</v>
      </c>
      <c r="P25" s="3">
        <v>41</v>
      </c>
      <c r="Q25" s="1">
        <f t="shared" si="2"/>
        <v>6601</v>
      </c>
    </row>
    <row r="26" spans="2:17" x14ac:dyDescent="0.3">
      <c r="B26" s="2" t="s">
        <v>90</v>
      </c>
      <c r="C26" s="8">
        <v>279.85000000000002</v>
      </c>
      <c r="D26" s="3">
        <v>42</v>
      </c>
      <c r="E26" s="1">
        <f t="shared" si="0"/>
        <v>11753.7</v>
      </c>
      <c r="H26" s="2" t="s">
        <v>90</v>
      </c>
      <c r="K26" s="1">
        <f t="shared" si="1"/>
        <v>0</v>
      </c>
      <c r="N26" s="2" t="s">
        <v>90</v>
      </c>
      <c r="Q26" s="1">
        <f t="shared" si="2"/>
        <v>0</v>
      </c>
    </row>
    <row r="27" spans="2:17" x14ac:dyDescent="0.3">
      <c r="B27" s="2" t="s">
        <v>26</v>
      </c>
      <c r="E27" s="1">
        <f t="shared" si="0"/>
        <v>0</v>
      </c>
      <c r="H27" s="2" t="s">
        <v>26</v>
      </c>
      <c r="K27" s="1">
        <f t="shared" si="1"/>
        <v>0</v>
      </c>
      <c r="N27" s="2" t="s">
        <v>26</v>
      </c>
      <c r="Q27" s="1">
        <f t="shared" si="2"/>
        <v>0</v>
      </c>
    </row>
    <row r="28" spans="2:17" x14ac:dyDescent="0.3">
      <c r="B28" s="2" t="s">
        <v>74</v>
      </c>
      <c r="E28" s="1">
        <f t="shared" si="0"/>
        <v>0</v>
      </c>
      <c r="H28" s="2" t="s">
        <v>74</v>
      </c>
      <c r="K28" s="1">
        <f t="shared" si="1"/>
        <v>0</v>
      </c>
      <c r="N28" s="2" t="s">
        <v>74</v>
      </c>
      <c r="Q28" s="1">
        <f t="shared" si="2"/>
        <v>0</v>
      </c>
    </row>
    <row r="29" spans="2:17" x14ac:dyDescent="0.3">
      <c r="B29" s="2" t="s">
        <v>25</v>
      </c>
      <c r="E29" s="1">
        <f t="shared" si="0"/>
        <v>0</v>
      </c>
      <c r="H29" s="2" t="s">
        <v>25</v>
      </c>
      <c r="K29" s="1">
        <f t="shared" si="1"/>
        <v>0</v>
      </c>
      <c r="N29" s="2" t="s">
        <v>25</v>
      </c>
      <c r="Q29" s="1">
        <f t="shared" si="2"/>
        <v>0</v>
      </c>
    </row>
    <row r="30" spans="2:17" x14ac:dyDescent="0.3">
      <c r="B30" s="2" t="s">
        <v>19</v>
      </c>
      <c r="C30" s="8">
        <v>310</v>
      </c>
      <c r="D30" s="3">
        <v>18</v>
      </c>
      <c r="E30" s="1">
        <f t="shared" si="0"/>
        <v>5580</v>
      </c>
      <c r="H30" s="2" t="s">
        <v>19</v>
      </c>
      <c r="K30" s="1">
        <f t="shared" si="1"/>
        <v>0</v>
      </c>
      <c r="N30" s="2" t="s">
        <v>19</v>
      </c>
      <c r="Q30" s="1">
        <f t="shared" si="2"/>
        <v>0</v>
      </c>
    </row>
    <row r="31" spans="2:17" x14ac:dyDescent="0.3">
      <c r="B31" s="2" t="s">
        <v>15</v>
      </c>
      <c r="C31" s="11">
        <f>54.4</f>
        <v>54.4</v>
      </c>
      <c r="D31" s="12">
        <v>51</v>
      </c>
      <c r="E31" s="1">
        <f t="shared" si="0"/>
        <v>2774.4</v>
      </c>
      <c r="H31" s="2" t="s">
        <v>15</v>
      </c>
      <c r="I31" s="11">
        <v>326.64</v>
      </c>
      <c r="J31" s="12">
        <v>51</v>
      </c>
      <c r="K31" s="1">
        <f t="shared" si="1"/>
        <v>16658.64</v>
      </c>
      <c r="N31" s="2" t="s">
        <v>15</v>
      </c>
      <c r="O31" s="11">
        <v>435.52</v>
      </c>
      <c r="P31" s="12">
        <v>51</v>
      </c>
      <c r="Q31" s="1">
        <f t="shared" si="2"/>
        <v>22211.52</v>
      </c>
    </row>
    <row r="32" spans="2:17" x14ac:dyDescent="0.3">
      <c r="B32" s="10" t="s">
        <v>77</v>
      </c>
      <c r="C32" s="11">
        <v>68.05</v>
      </c>
      <c r="D32" s="12">
        <v>40</v>
      </c>
      <c r="E32" s="1">
        <f t="shared" si="0"/>
        <v>2722</v>
      </c>
      <c r="H32" s="10" t="s">
        <v>77</v>
      </c>
      <c r="I32" s="11">
        <v>68.05</v>
      </c>
      <c r="J32" s="12">
        <v>36</v>
      </c>
      <c r="K32" s="1">
        <f t="shared" si="1"/>
        <v>2449.7999999999997</v>
      </c>
      <c r="N32" s="10" t="s">
        <v>77</v>
      </c>
      <c r="O32" s="11">
        <v>68.08</v>
      </c>
      <c r="P32" s="12">
        <v>39</v>
      </c>
      <c r="Q32" s="1">
        <f t="shared" si="2"/>
        <v>2655.12</v>
      </c>
    </row>
    <row r="33" spans="2:17" x14ac:dyDescent="0.3">
      <c r="B33" s="2" t="s">
        <v>110</v>
      </c>
      <c r="E33" s="1">
        <f t="shared" si="0"/>
        <v>0</v>
      </c>
      <c r="H33" s="2" t="s">
        <v>110</v>
      </c>
      <c r="K33" s="1">
        <f t="shared" si="1"/>
        <v>0</v>
      </c>
      <c r="N33" s="2" t="s">
        <v>110</v>
      </c>
      <c r="Q33" s="1">
        <f t="shared" si="2"/>
        <v>0</v>
      </c>
    </row>
    <row r="34" spans="2:17" x14ac:dyDescent="0.3">
      <c r="B34" s="2" t="s">
        <v>27</v>
      </c>
      <c r="C34" s="8">
        <v>50.2</v>
      </c>
      <c r="D34" s="3">
        <v>26</v>
      </c>
      <c r="E34" s="1">
        <f t="shared" si="0"/>
        <v>1305.2</v>
      </c>
      <c r="H34" s="2" t="s">
        <v>27</v>
      </c>
      <c r="I34" s="8">
        <v>48</v>
      </c>
      <c r="J34" s="3">
        <v>28</v>
      </c>
      <c r="K34" s="1">
        <f t="shared" si="1"/>
        <v>1344</v>
      </c>
      <c r="N34" s="2" t="s">
        <v>27</v>
      </c>
      <c r="O34" s="8">
        <v>43.6</v>
      </c>
      <c r="P34" s="3">
        <v>24</v>
      </c>
      <c r="Q34" s="1">
        <f t="shared" si="2"/>
        <v>1046.4000000000001</v>
      </c>
    </row>
    <row r="35" spans="2:17" x14ac:dyDescent="0.3">
      <c r="B35" s="2" t="s">
        <v>4</v>
      </c>
      <c r="E35" s="1">
        <f t="shared" si="0"/>
        <v>0</v>
      </c>
      <c r="H35" s="2" t="s">
        <v>4</v>
      </c>
      <c r="K35" s="1">
        <f t="shared" si="1"/>
        <v>0</v>
      </c>
      <c r="N35" s="2" t="s">
        <v>4</v>
      </c>
      <c r="O35" s="8">
        <v>8.5500000000000007</v>
      </c>
      <c r="P35" s="3">
        <v>56</v>
      </c>
      <c r="Q35" s="1">
        <f t="shared" si="2"/>
        <v>478.80000000000007</v>
      </c>
    </row>
    <row r="36" spans="2:17" x14ac:dyDescent="0.3">
      <c r="B36" s="2" t="s">
        <v>86</v>
      </c>
      <c r="C36" s="8">
        <v>785.84</v>
      </c>
      <c r="D36" s="3">
        <v>10</v>
      </c>
      <c r="E36" s="1">
        <f t="shared" si="0"/>
        <v>7858.4000000000005</v>
      </c>
      <c r="H36" s="2" t="s">
        <v>86</v>
      </c>
      <c r="I36" s="8">
        <v>244.7</v>
      </c>
      <c r="J36" s="3">
        <v>36</v>
      </c>
      <c r="K36" s="1">
        <f t="shared" si="1"/>
        <v>8809.1999999999989</v>
      </c>
      <c r="N36" s="2" t="s">
        <v>86</v>
      </c>
      <c r="Q36" s="1">
        <f t="shared" si="2"/>
        <v>0</v>
      </c>
    </row>
    <row r="37" spans="2:17" x14ac:dyDescent="0.3">
      <c r="B37" s="2" t="s">
        <v>23</v>
      </c>
      <c r="E37" s="1">
        <f t="shared" si="0"/>
        <v>0</v>
      </c>
      <c r="H37" s="2" t="s">
        <v>23</v>
      </c>
      <c r="K37" s="1">
        <f t="shared" si="1"/>
        <v>0</v>
      </c>
      <c r="N37" s="2" t="s">
        <v>23</v>
      </c>
      <c r="Q37" s="1">
        <f t="shared" si="2"/>
        <v>0</v>
      </c>
    </row>
    <row r="38" spans="2:17" x14ac:dyDescent="0.3">
      <c r="B38" s="2" t="s">
        <v>83</v>
      </c>
      <c r="E38" s="1">
        <f t="shared" si="0"/>
        <v>0</v>
      </c>
      <c r="H38" s="2" t="s">
        <v>83</v>
      </c>
      <c r="K38" s="1">
        <f t="shared" si="1"/>
        <v>0</v>
      </c>
      <c r="N38" s="2" t="s">
        <v>83</v>
      </c>
      <c r="O38" s="8">
        <v>24.6</v>
      </c>
      <c r="P38" s="3">
        <v>42</v>
      </c>
      <c r="Q38" s="1">
        <f t="shared" si="2"/>
        <v>1033.2</v>
      </c>
    </row>
    <row r="39" spans="2:17" x14ac:dyDescent="0.3">
      <c r="B39" s="2" t="s">
        <v>121</v>
      </c>
      <c r="E39" s="1">
        <f t="shared" si="0"/>
        <v>0</v>
      </c>
      <c r="H39" s="2" t="s">
        <v>121</v>
      </c>
      <c r="K39" s="1">
        <f t="shared" si="1"/>
        <v>0</v>
      </c>
      <c r="N39" s="2" t="s">
        <v>121</v>
      </c>
      <c r="Q39" s="1">
        <f t="shared" si="2"/>
        <v>0</v>
      </c>
    </row>
    <row r="40" spans="2:17" x14ac:dyDescent="0.3">
      <c r="B40" s="2" t="s">
        <v>98</v>
      </c>
      <c r="E40" s="1">
        <f t="shared" si="0"/>
        <v>0</v>
      </c>
      <c r="H40" s="2" t="s">
        <v>98</v>
      </c>
      <c r="I40" s="8">
        <v>15.3</v>
      </c>
      <c r="J40" s="3">
        <v>28</v>
      </c>
      <c r="K40" s="1">
        <f t="shared" si="1"/>
        <v>428.40000000000003</v>
      </c>
      <c r="N40" s="2" t="s">
        <v>98</v>
      </c>
      <c r="O40" s="8">
        <v>28.4</v>
      </c>
      <c r="P40" s="3">
        <v>28</v>
      </c>
      <c r="Q40" s="1">
        <f t="shared" si="2"/>
        <v>795.19999999999993</v>
      </c>
    </row>
    <row r="41" spans="2:17" x14ac:dyDescent="0.3">
      <c r="B41" s="2" t="s">
        <v>20</v>
      </c>
      <c r="C41" s="11">
        <v>4.55</v>
      </c>
      <c r="D41" s="12">
        <v>80</v>
      </c>
      <c r="E41" s="1">
        <f t="shared" si="0"/>
        <v>364</v>
      </c>
      <c r="H41" s="2" t="s">
        <v>20</v>
      </c>
      <c r="I41" s="11">
        <v>3.2</v>
      </c>
      <c r="J41" s="12">
        <v>82</v>
      </c>
      <c r="K41" s="1">
        <f t="shared" si="1"/>
        <v>262.40000000000003</v>
      </c>
      <c r="N41" s="2" t="s">
        <v>20</v>
      </c>
      <c r="O41" s="11">
        <v>26.9</v>
      </c>
      <c r="P41" s="12">
        <v>82</v>
      </c>
      <c r="Q41" s="1">
        <f t="shared" si="2"/>
        <v>2205.7999999999997</v>
      </c>
    </row>
    <row r="42" spans="2:17" x14ac:dyDescent="0.3">
      <c r="B42" s="2" t="s">
        <v>126</v>
      </c>
      <c r="C42" s="11"/>
      <c r="D42" s="12"/>
      <c r="E42" s="1">
        <f t="shared" si="0"/>
        <v>0</v>
      </c>
      <c r="H42" s="2" t="s">
        <v>126</v>
      </c>
      <c r="I42" s="11">
        <v>3.5</v>
      </c>
      <c r="J42" s="12">
        <v>64</v>
      </c>
      <c r="K42" s="1">
        <f t="shared" si="1"/>
        <v>224</v>
      </c>
      <c r="N42" s="2" t="s">
        <v>126</v>
      </c>
      <c r="O42" s="11">
        <v>9.1</v>
      </c>
      <c r="P42" s="12">
        <v>64</v>
      </c>
      <c r="Q42" s="1">
        <f t="shared" si="2"/>
        <v>582.4</v>
      </c>
    </row>
    <row r="43" spans="2:17" x14ac:dyDescent="0.3">
      <c r="B43" s="10" t="s">
        <v>94</v>
      </c>
      <c r="C43" s="8">
        <v>2</v>
      </c>
      <c r="D43" s="3">
        <v>771</v>
      </c>
      <c r="E43" s="1">
        <f t="shared" si="0"/>
        <v>1542</v>
      </c>
      <c r="H43" s="10" t="s">
        <v>94</v>
      </c>
      <c r="I43" s="8">
        <v>2</v>
      </c>
      <c r="J43" s="3">
        <v>770</v>
      </c>
      <c r="K43" s="1">
        <f t="shared" si="1"/>
        <v>1540</v>
      </c>
      <c r="N43" s="10" t="s">
        <v>94</v>
      </c>
      <c r="O43" s="8">
        <v>3</v>
      </c>
      <c r="P43" s="3">
        <v>770</v>
      </c>
      <c r="Q43" s="1">
        <f t="shared" si="2"/>
        <v>2310</v>
      </c>
    </row>
    <row r="44" spans="2:17" x14ac:dyDescent="0.3">
      <c r="B44" s="2" t="s">
        <v>17</v>
      </c>
      <c r="C44" s="8">
        <v>140</v>
      </c>
      <c r="D44" s="3">
        <v>50</v>
      </c>
      <c r="E44" s="1">
        <f t="shared" si="0"/>
        <v>7000</v>
      </c>
      <c r="H44" s="2" t="s">
        <v>17</v>
      </c>
      <c r="K44" s="1">
        <f t="shared" si="1"/>
        <v>0</v>
      </c>
      <c r="N44" s="2" t="s">
        <v>17</v>
      </c>
      <c r="O44" s="8">
        <v>140</v>
      </c>
      <c r="P44" s="3">
        <v>60</v>
      </c>
      <c r="Q44" s="1">
        <f t="shared" si="2"/>
        <v>8400</v>
      </c>
    </row>
    <row r="45" spans="2:17" x14ac:dyDescent="0.3">
      <c r="B45" s="2" t="s">
        <v>12</v>
      </c>
      <c r="C45" s="8">
        <v>8</v>
      </c>
      <c r="D45" s="3">
        <v>42</v>
      </c>
      <c r="E45" s="1">
        <f t="shared" si="0"/>
        <v>336</v>
      </c>
      <c r="H45" s="2" t="s">
        <v>12</v>
      </c>
      <c r="I45" s="8">
        <v>39</v>
      </c>
      <c r="J45" s="3">
        <v>42</v>
      </c>
      <c r="K45" s="1">
        <f t="shared" si="1"/>
        <v>1638</v>
      </c>
      <c r="N45" s="2" t="s">
        <v>12</v>
      </c>
      <c r="O45" s="8">
        <v>59</v>
      </c>
      <c r="P45" s="3">
        <v>42</v>
      </c>
      <c r="Q45" s="1">
        <f t="shared" si="2"/>
        <v>2478</v>
      </c>
    </row>
    <row r="46" spans="2:17" x14ac:dyDescent="0.3">
      <c r="B46" s="2" t="s">
        <v>24</v>
      </c>
      <c r="C46" s="8">
        <v>5.4</v>
      </c>
      <c r="D46" s="3">
        <v>14</v>
      </c>
      <c r="E46" s="1">
        <f t="shared" si="0"/>
        <v>75.600000000000009</v>
      </c>
      <c r="H46" s="2" t="s">
        <v>24</v>
      </c>
      <c r="I46" s="8">
        <v>4.3</v>
      </c>
      <c r="J46" s="3">
        <v>18</v>
      </c>
      <c r="K46" s="1">
        <f t="shared" si="1"/>
        <v>77.399999999999991</v>
      </c>
      <c r="N46" s="2" t="s">
        <v>24</v>
      </c>
      <c r="Q46" s="1">
        <f t="shared" si="2"/>
        <v>0</v>
      </c>
    </row>
    <row r="47" spans="2:17" ht="19.5" thickBot="1" x14ac:dyDescent="0.35">
      <c r="B47"/>
      <c r="C47"/>
      <c r="D47" s="7" t="s">
        <v>13</v>
      </c>
      <c r="E47" s="6">
        <f>SUM(E3:E46)</f>
        <v>580958.05000000005</v>
      </c>
      <c r="H47"/>
      <c r="I47"/>
      <c r="J47" s="7" t="s">
        <v>13</v>
      </c>
      <c r="K47" s="6">
        <f>SUM(K3:K46)</f>
        <v>316349.73000000004</v>
      </c>
      <c r="N47"/>
      <c r="O47"/>
      <c r="P47" s="7" t="s">
        <v>13</v>
      </c>
      <c r="Q47" s="6">
        <f>SUM(Q3:Q46)</f>
        <v>95171.739999999991</v>
      </c>
    </row>
    <row r="48" spans="2:17" ht="19.5" thickTop="1" x14ac:dyDescent="0.3">
      <c r="B48"/>
      <c r="C48"/>
      <c r="E48" s="1"/>
      <c r="H48"/>
      <c r="I48"/>
      <c r="K48" s="1"/>
      <c r="N48"/>
      <c r="O48"/>
      <c r="Q48" s="1"/>
    </row>
  </sheetData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JUNIO 2015</vt:lpstr>
      <vt:lpstr>BALANCE JUNIO </vt:lpstr>
      <vt:lpstr>JULIO 2015</vt:lpstr>
      <vt:lpstr>AGOSTO 2015</vt:lpstr>
      <vt:lpstr>SEPTIEMBRE 2015</vt:lpstr>
      <vt:lpstr>OCTUBRE 2015</vt:lpstr>
      <vt:lpstr>NOVIEMBRE 2015</vt:lpstr>
      <vt:lpstr>DICIEMBRE 2015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2016-01-21T21:56:05Z</cp:lastPrinted>
  <dcterms:created xsi:type="dcterms:W3CDTF">2015-05-09T17:51:02Z</dcterms:created>
  <dcterms:modified xsi:type="dcterms:W3CDTF">2016-01-21T22:06:16Z</dcterms:modified>
</cp:coreProperties>
</file>