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firstSheet="1" activeTab="8"/>
  </bookViews>
  <sheets>
    <sheet name="ABRIL 2015" sheetId="1" r:id="rId1"/>
    <sheet name="MAYO 2015" sheetId="2" r:id="rId2"/>
    <sheet name="JUNIO 2015" sheetId="3" r:id="rId3"/>
    <sheet name="JULIO 2015" sheetId="4" r:id="rId4"/>
    <sheet name="AGOSTO 2015" sheetId="5" r:id="rId5"/>
    <sheet name="SEPTIEMBRE 2015" sheetId="6" r:id="rId6"/>
    <sheet name="OCTUBRE 2015" sheetId="7" r:id="rId7"/>
    <sheet name="NOVIEMBRE 2015" sheetId="8" r:id="rId8"/>
    <sheet name="DICIEMBRE 2015" sheetId="9" r:id="rId9"/>
    <sheet name="Hoja2" sheetId="10" r:id="rId10"/>
    <sheet name="Hoja3" sheetId="11" r:id="rId11"/>
  </sheets>
  <calcPr calcId="144525"/>
</workbook>
</file>

<file path=xl/calcChain.xml><?xml version="1.0" encoding="utf-8"?>
<calcChain xmlns="http://schemas.openxmlformats.org/spreadsheetml/2006/main">
  <c r="C15" i="9" l="1"/>
  <c r="C54" i="9"/>
  <c r="C25" i="9"/>
  <c r="C26" i="9"/>
  <c r="C43" i="9"/>
  <c r="C29" i="9"/>
  <c r="C14" i="9"/>
  <c r="C38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70" i="9" s="1"/>
  <c r="I14" i="9" l="1"/>
  <c r="K38" i="9"/>
  <c r="K39" i="9"/>
  <c r="K40" i="9"/>
  <c r="K41" i="9"/>
  <c r="I15" i="9"/>
  <c r="I33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70" i="9" s="1"/>
  <c r="Q70" i="9"/>
  <c r="O25" i="9"/>
  <c r="O33" i="9"/>
  <c r="O14" i="9"/>
  <c r="O51" i="9"/>
  <c r="O26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C33" i="8" l="1"/>
  <c r="C53" i="8"/>
  <c r="C8" i="8"/>
  <c r="C23" i="8"/>
  <c r="C14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69" i="8" s="1"/>
  <c r="L69" i="8"/>
  <c r="J50" i="8"/>
  <c r="J15" i="8" l="1"/>
  <c r="J10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Q9" i="8" l="1"/>
  <c r="Q14" i="8"/>
  <c r="Q25" i="8"/>
  <c r="Q53" i="8"/>
  <c r="Q15" i="8"/>
  <c r="S68" i="8" l="1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69" i="8" s="1"/>
  <c r="Z69" i="8"/>
  <c r="X46" i="8"/>
  <c r="X60" i="8"/>
  <c r="X14" i="8"/>
  <c r="X15" i="8"/>
  <c r="Z68" i="8" l="1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E69" i="7"/>
  <c r="E3" i="7"/>
  <c r="C15" i="7"/>
  <c r="C32" i="7"/>
  <c r="C42" i="7"/>
  <c r="C43" i="7"/>
  <c r="C53" i="7"/>
  <c r="C14" i="7"/>
  <c r="C18" i="7"/>
  <c r="E68" i="7" l="1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J17" i="7"/>
  <c r="J53" i="7"/>
  <c r="J14" i="7"/>
  <c r="J15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69" i="7" s="1"/>
  <c r="Q52" i="7" l="1"/>
  <c r="Q15" i="7"/>
  <c r="Q42" i="7"/>
  <c r="Q13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69" i="7" s="1"/>
  <c r="Z69" i="7" l="1"/>
  <c r="X40" i="7"/>
  <c r="X4" i="7"/>
  <c r="X36" i="7"/>
  <c r="X10" i="7"/>
  <c r="X5" i="7"/>
  <c r="X32" i="7"/>
  <c r="X15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AE25" i="7"/>
  <c r="AE15" i="7"/>
  <c r="AE9" i="7"/>
  <c r="AE42" i="7"/>
  <c r="AE36" i="7"/>
  <c r="AG68" i="7" l="1"/>
  <c r="AG67" i="7"/>
  <c r="AG66" i="7"/>
  <c r="AG65" i="7"/>
  <c r="AG64" i="7"/>
  <c r="AG63" i="7"/>
  <c r="AG62" i="7"/>
  <c r="AG61" i="7"/>
  <c r="AG60" i="7"/>
  <c r="AG59" i="7"/>
  <c r="AG58" i="7"/>
  <c r="AG57" i="7"/>
  <c r="AG56" i="7"/>
  <c r="AG55" i="7"/>
  <c r="AG54" i="7"/>
  <c r="AG53" i="7"/>
  <c r="AG52" i="7"/>
  <c r="AG51" i="7"/>
  <c r="AG50" i="7"/>
  <c r="AG49" i="7"/>
  <c r="AG48" i="7"/>
  <c r="AG47" i="7"/>
  <c r="AG46" i="7"/>
  <c r="AG45" i="7"/>
  <c r="AG44" i="7"/>
  <c r="AG43" i="7"/>
  <c r="AG42" i="7"/>
  <c r="AG41" i="7"/>
  <c r="AG40" i="7"/>
  <c r="AG39" i="7"/>
  <c r="AG38" i="7"/>
  <c r="AG37" i="7"/>
  <c r="AG36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6" i="7"/>
  <c r="AG5" i="7"/>
  <c r="AG4" i="7"/>
  <c r="AG69" i="7" s="1"/>
  <c r="E68" i="6"/>
  <c r="W68" i="6"/>
  <c r="Q68" i="6"/>
  <c r="K68" i="6"/>
  <c r="C33" i="6"/>
  <c r="C51" i="6"/>
  <c r="C24" i="6"/>
  <c r="C32" i="6"/>
  <c r="C61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I33" i="6" l="1"/>
  <c r="I47" i="6"/>
  <c r="I37" i="6"/>
  <c r="I24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O33" i="6"/>
  <c r="O14" i="6"/>
  <c r="O4" i="6"/>
  <c r="Q4" i="6"/>
  <c r="Q66" i="6"/>
  <c r="Q67" i="6"/>
  <c r="Q65" i="6"/>
  <c r="O41" i="6"/>
  <c r="O56" i="6"/>
  <c r="O28" i="6"/>
  <c r="O22" i="6"/>
  <c r="O7" i="6"/>
  <c r="O13" i="6"/>
  <c r="O50" i="6"/>
  <c r="O24" i="6"/>
  <c r="O35" i="6"/>
  <c r="O32" i="6"/>
  <c r="O34" i="6"/>
  <c r="Q54" i="6"/>
  <c r="Q64" i="6"/>
  <c r="Q63" i="6"/>
  <c r="Q62" i="6"/>
  <c r="Q61" i="6"/>
  <c r="Q60" i="6"/>
  <c r="Q57" i="6"/>
  <c r="Q59" i="6"/>
  <c r="Q58" i="6"/>
  <c r="Q56" i="6"/>
  <c r="Q55" i="6"/>
  <c r="Q52" i="6"/>
  <c r="Q53" i="6"/>
  <c r="Q51" i="6"/>
  <c r="Q49" i="6"/>
  <c r="Q50" i="6"/>
  <c r="Q48" i="6"/>
  <c r="Q47" i="6"/>
  <c r="Q46" i="6"/>
  <c r="Q45" i="6"/>
  <c r="Q44" i="6"/>
  <c r="Q43" i="6"/>
  <c r="Q42" i="6"/>
  <c r="Q41" i="6"/>
  <c r="Q39" i="6"/>
  <c r="Q40" i="6"/>
  <c r="Q38" i="6"/>
  <c r="Q37" i="6"/>
  <c r="Q36" i="6"/>
  <c r="Q35" i="6"/>
  <c r="Q34" i="6"/>
  <c r="Q33" i="6"/>
  <c r="Q32" i="6"/>
  <c r="Q31" i="6"/>
  <c r="Q29" i="6"/>
  <c r="Q30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9" i="6"/>
  <c r="Q10" i="6"/>
  <c r="Q8" i="6"/>
  <c r="Q7" i="6"/>
  <c r="Q6" i="6"/>
  <c r="Q5" i="6"/>
  <c r="Q3" i="6"/>
  <c r="W15" i="6" l="1"/>
  <c r="W16" i="6"/>
  <c r="U32" i="6"/>
  <c r="U41" i="6"/>
  <c r="U36" i="6"/>
  <c r="U13" i="6"/>
  <c r="U47" i="6"/>
  <c r="U22" i="6"/>
  <c r="U33" i="6"/>
  <c r="U5" i="6"/>
  <c r="U34" i="6"/>
  <c r="W53" i="6"/>
  <c r="W54" i="6"/>
  <c r="W55" i="6"/>
  <c r="U21" i="6"/>
  <c r="W28" i="6"/>
  <c r="U27" i="6"/>
  <c r="U23" i="6"/>
  <c r="U6" i="6"/>
  <c r="W63" i="6"/>
  <c r="W62" i="6"/>
  <c r="W61" i="6"/>
  <c r="W60" i="6"/>
  <c r="W59" i="6"/>
  <c r="W58" i="6"/>
  <c r="W57" i="6"/>
  <c r="W56" i="6"/>
  <c r="W52" i="6"/>
  <c r="W51" i="6"/>
  <c r="W49" i="6"/>
  <c r="W48" i="6"/>
  <c r="W47" i="6"/>
  <c r="W46" i="6"/>
  <c r="W45" i="6"/>
  <c r="W44" i="6"/>
  <c r="W50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7" i="6"/>
  <c r="W26" i="6"/>
  <c r="W25" i="6"/>
  <c r="W24" i="6"/>
  <c r="W23" i="6"/>
  <c r="W22" i="6"/>
  <c r="W21" i="6"/>
  <c r="W20" i="6"/>
  <c r="W19" i="6"/>
  <c r="W18" i="6"/>
  <c r="W17" i="6"/>
  <c r="W14" i="6"/>
  <c r="W13" i="6"/>
  <c r="W12" i="6"/>
  <c r="W11" i="6"/>
  <c r="W10" i="6"/>
  <c r="W9" i="6"/>
  <c r="W8" i="6"/>
  <c r="W5" i="6"/>
  <c r="W6" i="6"/>
  <c r="W4" i="6"/>
  <c r="W7" i="6"/>
  <c r="W3" i="6"/>
  <c r="C31" i="5" l="1"/>
  <c r="C17" i="5"/>
  <c r="C48" i="5"/>
  <c r="C23" i="5"/>
  <c r="C38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62" i="5" s="1"/>
  <c r="J31" i="5" l="1"/>
  <c r="J32" i="5"/>
  <c r="J39" i="5"/>
  <c r="J29" i="5"/>
  <c r="J56" i="5"/>
  <c r="J23" i="5"/>
  <c r="J21" i="5"/>
  <c r="J12" i="5"/>
  <c r="J48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62" i="5" s="1"/>
  <c r="Q31" i="5"/>
  <c r="Q6" i="5"/>
  <c r="Q29" i="5"/>
  <c r="Q13" i="5"/>
  <c r="Q21" i="5"/>
  <c r="Q32" i="5"/>
  <c r="Q37" i="5"/>
  <c r="S35" i="5"/>
  <c r="S61" i="5"/>
  <c r="Q23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62" i="5" s="1"/>
  <c r="X31" i="5" l="1"/>
  <c r="Z18" i="5"/>
  <c r="Z30" i="5"/>
  <c r="Z35" i="5"/>
  <c r="Z10" i="5"/>
  <c r="Z16" i="5"/>
  <c r="Z36" i="5"/>
  <c r="X13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4" i="5"/>
  <c r="Z33" i="5"/>
  <c r="Z32" i="5"/>
  <c r="Z31" i="5"/>
  <c r="Z29" i="5"/>
  <c r="Z28" i="5"/>
  <c r="Z27" i="5"/>
  <c r="Z26" i="5"/>
  <c r="Z25" i="5"/>
  <c r="Z24" i="5"/>
  <c r="Z23" i="5"/>
  <c r="Z22" i="5"/>
  <c r="Z21" i="5"/>
  <c r="Z20" i="5"/>
  <c r="Z19" i="5"/>
  <c r="Z17" i="5"/>
  <c r="Z15" i="5"/>
  <c r="Z14" i="5"/>
  <c r="Z13" i="5"/>
  <c r="Z12" i="5"/>
  <c r="Z11" i="5"/>
  <c r="Z9" i="5"/>
  <c r="Z8" i="5"/>
  <c r="Z7" i="5"/>
  <c r="Z6" i="5"/>
  <c r="Z5" i="5"/>
  <c r="Z4" i="5"/>
  <c r="Z3" i="5"/>
  <c r="Z60" i="5" s="1"/>
  <c r="C27" i="4" l="1"/>
  <c r="C42" i="4"/>
  <c r="E33" i="4"/>
  <c r="C52" i="4"/>
  <c r="C36" i="4"/>
  <c r="E17" i="4"/>
  <c r="E4" i="4"/>
  <c r="C28" i="4"/>
  <c r="C29" i="4"/>
  <c r="C31" i="4"/>
  <c r="E8" i="4"/>
  <c r="E19" i="4"/>
  <c r="E50" i="4"/>
  <c r="C16" i="4"/>
  <c r="C11" i="4"/>
  <c r="E54" i="4" l="1"/>
  <c r="E53" i="4"/>
  <c r="E52" i="4"/>
  <c r="E5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8" i="4"/>
  <c r="E16" i="4"/>
  <c r="E14" i="4"/>
  <c r="E13" i="4"/>
  <c r="E12" i="4"/>
  <c r="E11" i="4"/>
  <c r="E10" i="4"/>
  <c r="E9" i="4"/>
  <c r="E15" i="4"/>
  <c r="E7" i="4"/>
  <c r="E6" i="4"/>
  <c r="E5" i="4"/>
  <c r="E3" i="4"/>
  <c r="E55" i="4" s="1"/>
  <c r="I23" i="4" l="1"/>
  <c r="K48" i="4"/>
  <c r="I29" i="4"/>
  <c r="K47" i="4"/>
  <c r="I11" i="4"/>
  <c r="I24" i="4"/>
  <c r="I10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54" i="4" s="1"/>
  <c r="P22" i="4" l="1"/>
  <c r="P13" i="4"/>
  <c r="P10" i="4"/>
  <c r="P24" i="4"/>
  <c r="P23" i="4"/>
  <c r="P11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54" i="4" s="1"/>
  <c r="V22" i="4" l="1"/>
  <c r="V6" i="4"/>
  <c r="V24" i="4"/>
  <c r="X31" i="4"/>
  <c r="X23" i="4"/>
  <c r="X43" i="4"/>
  <c r="X45" i="4"/>
  <c r="V10" i="4"/>
  <c r="X18" i="4"/>
  <c r="X21" i="4"/>
  <c r="X28" i="4"/>
  <c r="V42" i="4"/>
  <c r="X17" i="4"/>
  <c r="X44" i="4"/>
  <c r="X42" i="4"/>
  <c r="X41" i="4"/>
  <c r="X40" i="4"/>
  <c r="X39" i="4"/>
  <c r="X38" i="4"/>
  <c r="X37" i="4"/>
  <c r="X36" i="4"/>
  <c r="X35" i="4"/>
  <c r="X34" i="4"/>
  <c r="X33" i="4"/>
  <c r="X32" i="4"/>
  <c r="X30" i="4"/>
  <c r="X29" i="4"/>
  <c r="X27" i="4"/>
  <c r="X26" i="4"/>
  <c r="X25" i="4"/>
  <c r="X24" i="4"/>
  <c r="X22" i="4"/>
  <c r="X20" i="4"/>
  <c r="X19" i="4"/>
  <c r="X16" i="4"/>
  <c r="X15" i="4"/>
  <c r="X14" i="4"/>
  <c r="X13" i="4"/>
  <c r="X12" i="4"/>
  <c r="X11" i="4"/>
  <c r="X10" i="4"/>
  <c r="X9" i="4"/>
  <c r="X46" i="4"/>
  <c r="X8" i="4"/>
  <c r="X7" i="4"/>
  <c r="X6" i="4"/>
  <c r="X5" i="4"/>
  <c r="X4" i="4"/>
  <c r="X3" i="4"/>
  <c r="X54" i="4" s="1"/>
  <c r="E46" i="3" l="1"/>
  <c r="C7" i="3"/>
  <c r="C22" i="3"/>
  <c r="C12" i="3"/>
  <c r="C3" i="3"/>
  <c r="C14" i="3"/>
  <c r="C19" i="3"/>
  <c r="C6" i="3"/>
  <c r="C11" i="3"/>
  <c r="E19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8" i="3"/>
  <c r="E17" i="3"/>
  <c r="E16" i="3"/>
  <c r="E15" i="3"/>
  <c r="E45" i="3"/>
  <c r="E14" i="3"/>
  <c r="E13" i="3"/>
  <c r="E12" i="3"/>
  <c r="E11" i="3"/>
  <c r="E10" i="3"/>
  <c r="E9" i="3"/>
  <c r="E8" i="3"/>
  <c r="E7" i="3"/>
  <c r="E6" i="3"/>
  <c r="E5" i="3"/>
  <c r="E4" i="3"/>
  <c r="E3" i="3"/>
  <c r="L40" i="3" l="1"/>
  <c r="L52" i="3"/>
  <c r="J39" i="3"/>
  <c r="L39" i="3" s="1"/>
  <c r="L15" i="3"/>
  <c r="L30" i="3"/>
  <c r="L23" i="3"/>
  <c r="J8" i="3"/>
  <c r="J16" i="3"/>
  <c r="L6" i="3"/>
  <c r="L51" i="3"/>
  <c r="L50" i="3"/>
  <c r="L49" i="3"/>
  <c r="L48" i="3"/>
  <c r="L47" i="3"/>
  <c r="L46" i="3"/>
  <c r="L45" i="3"/>
  <c r="L44" i="3"/>
  <c r="L43" i="3"/>
  <c r="L42" i="3"/>
  <c r="L41" i="3"/>
  <c r="L38" i="3"/>
  <c r="L37" i="3"/>
  <c r="L36" i="3"/>
  <c r="L35" i="3"/>
  <c r="L34" i="3"/>
  <c r="L33" i="3"/>
  <c r="L32" i="3"/>
  <c r="L31" i="3"/>
  <c r="L29" i="3"/>
  <c r="L28" i="3"/>
  <c r="L27" i="3"/>
  <c r="L26" i="3"/>
  <c r="L25" i="3"/>
  <c r="L24" i="3"/>
  <c r="L22" i="3"/>
  <c r="L21" i="3"/>
  <c r="L20" i="3"/>
  <c r="L19" i="3"/>
  <c r="L18" i="3"/>
  <c r="L17" i="3"/>
  <c r="L16" i="3"/>
  <c r="L14" i="3"/>
  <c r="L13" i="3"/>
  <c r="L12" i="3"/>
  <c r="L11" i="3"/>
  <c r="L10" i="3"/>
  <c r="L9" i="3"/>
  <c r="L8" i="3"/>
  <c r="L7" i="3"/>
  <c r="L5" i="3"/>
  <c r="L4" i="3"/>
  <c r="L3" i="3"/>
  <c r="L53" i="3" l="1"/>
  <c r="S26" i="3"/>
  <c r="Q21" i="3"/>
  <c r="S21" i="3" s="1"/>
  <c r="Q13" i="3" l="1"/>
  <c r="S15" i="3"/>
  <c r="Q11" i="3"/>
  <c r="S11" i="3" s="1"/>
  <c r="S40" i="3"/>
  <c r="S27" i="3"/>
  <c r="S44" i="3"/>
  <c r="S31" i="3"/>
  <c r="Q22" i="3"/>
  <c r="S30" i="3"/>
  <c r="S32" i="3"/>
  <c r="Q34" i="3"/>
  <c r="S34" i="3" s="1"/>
  <c r="S4" i="3"/>
  <c r="S5" i="3"/>
  <c r="S37" i="3"/>
  <c r="S38" i="3"/>
  <c r="S35" i="3"/>
  <c r="S7" i="3"/>
  <c r="S9" i="3"/>
  <c r="Q36" i="3"/>
  <c r="Q3" i="3"/>
  <c r="S3" i="3" s="1"/>
  <c r="Q23" i="3"/>
  <c r="Q29" i="3"/>
  <c r="S29" i="3"/>
  <c r="Q16" i="3"/>
  <c r="Q18" i="3"/>
  <c r="S18" i="3" s="1"/>
  <c r="Q10" i="3"/>
  <c r="Q25" i="3"/>
  <c r="S25" i="3" s="1"/>
  <c r="S46" i="3"/>
  <c r="S45" i="3"/>
  <c r="S43" i="3"/>
  <c r="S42" i="3"/>
  <c r="S39" i="3"/>
  <c r="S41" i="3"/>
  <c r="S36" i="3"/>
  <c r="S33" i="3"/>
  <c r="S28" i="3"/>
  <c r="S24" i="3"/>
  <c r="S22" i="3"/>
  <c r="S23" i="3"/>
  <c r="S20" i="3"/>
  <c r="S19" i="3"/>
  <c r="S17" i="3"/>
  <c r="S16" i="3"/>
  <c r="S14" i="3"/>
  <c r="S13" i="3"/>
  <c r="S12" i="3"/>
  <c r="S10" i="3"/>
  <c r="S8" i="3"/>
  <c r="S6" i="3"/>
  <c r="S47" i="3" l="1"/>
  <c r="E18" i="2"/>
  <c r="E13" i="2"/>
  <c r="E14" i="2"/>
  <c r="C10" i="2"/>
  <c r="C9" i="2"/>
  <c r="C24" i="2"/>
  <c r="E17" i="2"/>
  <c r="E19" i="2"/>
  <c r="C22" i="2"/>
  <c r="C31" i="2" l="1"/>
  <c r="C33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6" i="2"/>
  <c r="E15" i="2"/>
  <c r="E12" i="2"/>
  <c r="E11" i="2"/>
  <c r="E10" i="2"/>
  <c r="E9" i="2"/>
  <c r="E8" i="2"/>
  <c r="E7" i="2"/>
  <c r="E6" i="2"/>
  <c r="E5" i="2"/>
  <c r="E4" i="2"/>
  <c r="E3" i="2"/>
  <c r="E35" i="2"/>
  <c r="C44" i="1" l="1"/>
  <c r="C42" i="1"/>
  <c r="E42" i="1"/>
  <c r="E43" i="1"/>
  <c r="E44" i="1"/>
  <c r="E46" i="1" s="1"/>
  <c r="E45" i="1"/>
  <c r="C39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C24" i="1"/>
  <c r="C19" i="1"/>
  <c r="C13" i="1"/>
  <c r="C10" i="1"/>
  <c r="C7" i="1"/>
  <c r="C5" i="1"/>
  <c r="C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<sst xmlns="http://schemas.openxmlformats.org/spreadsheetml/2006/main" count="1721" uniqueCount="160">
  <si>
    <t xml:space="preserve">SESOS </t>
  </si>
  <si>
    <t>contra</t>
  </si>
  <si>
    <t>cuero papel</t>
  </si>
  <si>
    <t>capotes</t>
  </si>
  <si>
    <t>combos</t>
  </si>
  <si>
    <t>pecho</t>
  </si>
  <si>
    <t>cabeza</t>
  </si>
  <si>
    <t>espinazo</t>
  </si>
  <si>
    <t>manitas</t>
  </si>
  <si>
    <t>codillo</t>
  </si>
  <si>
    <t>cuero pierna</t>
  </si>
  <si>
    <t>jamon s/h</t>
  </si>
  <si>
    <t>pulpa espaldilla</t>
  </si>
  <si>
    <t>jamon c/grasa</t>
  </si>
  <si>
    <t>espaldilla res</t>
  </si>
  <si>
    <t>retazo res</t>
  </si>
  <si>
    <t>sesos copa</t>
  </si>
  <si>
    <t>panza res</t>
  </si>
  <si>
    <t>carne enchilada</t>
  </si>
  <si>
    <t>longaniza</t>
  </si>
  <si>
    <t xml:space="preserve">carnero </t>
  </si>
  <si>
    <t>norteño</t>
  </si>
  <si>
    <t>buche</t>
  </si>
  <si>
    <t>filete</t>
  </si>
  <si>
    <t>pierna ahumada</t>
  </si>
  <si>
    <t>espaldilla c/h</t>
  </si>
  <si>
    <t>carne abierta</t>
  </si>
  <si>
    <t>grasa</t>
  </si>
  <si>
    <t>pollo ahumado</t>
  </si>
  <si>
    <t>chuleta</t>
  </si>
  <si>
    <t>tripas</t>
  </si>
  <si>
    <t>salsas 500</t>
  </si>
  <si>
    <t>salsas 350</t>
  </si>
  <si>
    <t>pierna c/cuero</t>
  </si>
  <si>
    <t>salda c/ajo</t>
  </si>
  <si>
    <t>condimentos</t>
  </si>
  <si>
    <t>pabo natural</t>
  </si>
  <si>
    <t>jamon s/h ahum</t>
  </si>
  <si>
    <t>jamon c/h ahum</t>
  </si>
  <si>
    <t>INVENTARIO HERRADURA  ABRIL 30.,2015</t>
  </si>
  <si>
    <t>TOTAL</t>
  </si>
  <si>
    <t>jamon c/m</t>
  </si>
  <si>
    <t>Descarne</t>
  </si>
  <si>
    <t>jamon ahumado</t>
  </si>
  <si>
    <t>cabeza pco</t>
  </si>
  <si>
    <t>chuleta ahumada</t>
  </si>
  <si>
    <t>INVENTARIO HERRADURA  M A Y O  31.,2015</t>
  </si>
  <si>
    <t>INVENTARIO HERRADURA  J U N I O    13.,2015</t>
  </si>
  <si>
    <t>Longaniza</t>
  </si>
  <si>
    <t>Espaldilla c/H</t>
  </si>
  <si>
    <t>panza suelta</t>
  </si>
  <si>
    <t>abierta</t>
  </si>
  <si>
    <t>carnero cj</t>
  </si>
  <si>
    <t>pollo</t>
  </si>
  <si>
    <t>pulpa pierna</t>
  </si>
  <si>
    <t>pav ahumado</t>
  </si>
  <si>
    <t>jamon s/h ahumado</t>
  </si>
  <si>
    <t>pavo natural</t>
  </si>
  <si>
    <t>sal c/ajo</t>
  </si>
  <si>
    <t>tocino</t>
  </si>
  <si>
    <t>salsa 350</t>
  </si>
  <si>
    <t>INVENTARIO HERRADURA  J U N I O    22.,2015</t>
  </si>
  <si>
    <t>capote</t>
  </si>
  <si>
    <t>sesos caja</t>
  </si>
  <si>
    <t>sesos suelto</t>
  </si>
  <si>
    <t>manteca</t>
  </si>
  <si>
    <t>costilla</t>
  </si>
  <si>
    <t>filete pescado</t>
  </si>
  <si>
    <t>pierna c/hueso</t>
  </si>
  <si>
    <t>pierna s/hueso ahum</t>
  </si>
  <si>
    <t>INVENTARIO HERRADURA  J U N I O    30.,2015</t>
  </si>
  <si>
    <t>espinazo suelto</t>
  </si>
  <si>
    <t>Pulpa limpia</t>
  </si>
  <si>
    <t>carnero suelto</t>
  </si>
  <si>
    <t>INVENTARIO HERRADURA  J U L I O    06.,2015</t>
  </si>
  <si>
    <t>enchilada</t>
  </si>
  <si>
    <t>pata</t>
  </si>
  <si>
    <t>jamon c/media</t>
  </si>
  <si>
    <t>tlales</t>
  </si>
  <si>
    <t>INVENTARIO HERRADURA  J U L I O    13.,2015</t>
  </si>
  <si>
    <t>descarne</t>
  </si>
  <si>
    <t>pulpa de res</t>
  </si>
  <si>
    <t>INVENTARIO HERRADURA  J U L I O    20.,2015</t>
  </si>
  <si>
    <t>pulpa de Espaldilla</t>
  </si>
  <si>
    <t xml:space="preserve">pulpa   </t>
  </si>
  <si>
    <t>INVENTARIO HERRADURA  J U L I O    31----.,2015</t>
  </si>
  <si>
    <t xml:space="preserve">cuero </t>
  </si>
  <si>
    <t xml:space="preserve">sesos   </t>
  </si>
  <si>
    <t>cuero papel caja</t>
  </si>
  <si>
    <t>capote 3 p</t>
  </si>
  <si>
    <t>capote s/esp</t>
  </si>
  <si>
    <t xml:space="preserve">bisteck </t>
  </si>
  <si>
    <t>cuero c/grasa</t>
  </si>
  <si>
    <t>molida</t>
  </si>
  <si>
    <t>INVENTARIO HERRADURA   10   AGOSTO ----.,2015</t>
  </si>
  <si>
    <t>CONTRA</t>
  </si>
  <si>
    <t>chorizo</t>
  </si>
  <si>
    <t xml:space="preserve">capote </t>
  </si>
  <si>
    <t>costilla caja</t>
  </si>
  <si>
    <t>INVENTARIO HERRADURA   17   AGOSTO ----.,2015</t>
  </si>
  <si>
    <t xml:space="preserve">chuleta </t>
  </si>
  <si>
    <t>lomo de canal</t>
  </si>
  <si>
    <t>INVENTARIO HERRADURA   24   AGOSTO ----.,2015</t>
  </si>
  <si>
    <t>papada</t>
  </si>
  <si>
    <t>INVENTARIO HERRADURA   31   AGOSTO ----.,2015</t>
  </si>
  <si>
    <t>pulpa de cerdo</t>
  </si>
  <si>
    <t>chambarete</t>
  </si>
  <si>
    <t>INVENTARIO HERRADURA   7 septimbre ----.,2015</t>
  </si>
  <si>
    <t>espinazo largo</t>
  </si>
  <si>
    <t>chuleta  ahumada</t>
  </si>
  <si>
    <t>recorte ahumado</t>
  </si>
  <si>
    <t>cabeza de caja</t>
  </si>
  <si>
    <t xml:space="preserve">pierna </t>
  </si>
  <si>
    <t>plancha</t>
  </si>
  <si>
    <t>pulpa limpia</t>
  </si>
  <si>
    <t>carnero caja</t>
  </si>
  <si>
    <t xml:space="preserve">carnero  </t>
  </si>
  <si>
    <t>trozo de puerco</t>
  </si>
  <si>
    <t>bistek de puerco</t>
  </si>
  <si>
    <t>INVENTARIO HERRADURA   14   septimbre ----.,2015</t>
  </si>
  <si>
    <t>INVENTARIO HERRADURA   21   septimbre ----.,2015</t>
  </si>
  <si>
    <t>INVENTARIO HERRADURA   30   septimbre ----.,2015</t>
  </si>
  <si>
    <t>Lomo de caña</t>
  </si>
  <si>
    <t>bola de res</t>
  </si>
  <si>
    <t>INVENTARIO HERRADURA   05 OCTUBRE ----.,2015</t>
  </si>
  <si>
    <t>Bisteck de puerco</t>
  </si>
  <si>
    <t>Lengua caja</t>
  </si>
  <si>
    <t>bandera</t>
  </si>
  <si>
    <t>INVENTARIO HERRADURA   12 OCTUBRE ----.,2015</t>
  </si>
  <si>
    <t xml:space="preserve">Bisteck </t>
  </si>
  <si>
    <t>espaldilla carnero</t>
  </si>
  <si>
    <t>Buche</t>
  </si>
  <si>
    <t xml:space="preserve">Lengua </t>
  </si>
  <si>
    <t>INVENTARIO HERRADURA   19 OCTUBRE ----.,2015</t>
  </si>
  <si>
    <t>espaldilla C/hueso</t>
  </si>
  <si>
    <t>jamon limpio</t>
  </si>
  <si>
    <t>jamon 1/2  grasa</t>
  </si>
  <si>
    <t>pierna</t>
  </si>
  <si>
    <t>recorte chuleta</t>
  </si>
  <si>
    <t>jamon s/hueso</t>
  </si>
  <si>
    <t>INVENTARIO HERRADURA   26 OCTUBRE ----.,2015</t>
  </si>
  <si>
    <t>pulpa p/bisteck</t>
  </si>
  <si>
    <t>jamon c/hueso</t>
  </si>
  <si>
    <t>INVENTARIO HERRADURA   31 OCTUBRE ----.,2015</t>
  </si>
  <si>
    <t>jamon s/hueso ahumado</t>
  </si>
  <si>
    <t>AHUMADO</t>
  </si>
  <si>
    <t>jamon c/hueso ahumado</t>
  </si>
  <si>
    <t>INVENTARIO HERRADURA  09 NOVIEMBRE  ----.,2015</t>
  </si>
  <si>
    <t>INVENTARIO HERRADURA  16 NOVIEMBRE  ----.,2015</t>
  </si>
  <si>
    <t>INVENTARIO HERRADURA  23 NOVIEMBRE  ----.,2015</t>
  </si>
  <si>
    <t>cuero canal</t>
  </si>
  <si>
    <t xml:space="preserve">pulpa p/Pco </t>
  </si>
  <si>
    <t>manchego</t>
  </si>
  <si>
    <t>INVENTARIO HERRADURA  30 NOVIEMBRE  ----.,2015</t>
  </si>
  <si>
    <t>INVENTARIO HERRADURA  07- DICIEMBRE   ----.,2015</t>
  </si>
  <si>
    <t>INVENTARIO HERRADURA  14- DICIEMBRE   ----.,2015</t>
  </si>
  <si>
    <t>jamon media</t>
  </si>
  <si>
    <t>jamon con grasa</t>
  </si>
  <si>
    <t>INVENTARIO HERRADURA  02  ENERO    ----.,2016</t>
  </si>
  <si>
    <t>delantero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</si>
</sst>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44" fontId="2" fillId="0" borderId="0" xfId="0" applyNumberFormat="1" applyFont="1"/>
    <xf numFmtId="0" fontId="2" fillId="0" borderId="0" xfId="0" applyFont="1"/>
    <xf numFmtId="44" fontId="2" fillId="0" borderId="0" xfId="1" applyFont="1"/>
    <xf numFmtId="44" fontId="2" fillId="0" borderId="1" xfId="1" applyFont="1" applyBorder="1"/>
    <xf numFmtId="0" fontId="2" fillId="0" borderId="1" xfId="0" applyFont="1" applyBorder="1"/>
    <xf numFmtId="44" fontId="3" fillId="0" borderId="1" xfId="0" applyNumberFormat="1" applyFont="1" applyBorder="1"/>
    <xf numFmtId="44" fontId="3" fillId="0" borderId="0" xfId="1" applyFont="1"/>
    <xf numFmtId="4" fontId="2" fillId="0" borderId="1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  <xf numFmtId="0" fontId="2" fillId="2" borderId="0" xfId="0" applyFont="1" applyFill="1"/>
    <xf numFmtId="4" fontId="2" fillId="2" borderId="0" xfId="0" applyNumberFormat="1" applyFont="1" applyFill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44" fontId="2" fillId="0" borderId="0" xfId="1" applyFont="1" applyBorder="1"/>
    <xf numFmtId="0" fontId="4" fillId="0" borderId="0" xfId="0" applyFont="1" applyAlignment="1">
      <alignment horizontal="center"/>
    </xf>
    <xf numFmtId="0" fontId="0" fillId="3" borderId="0" xfId="0" applyFill="1"/>
    <xf numFmtId="0" fontId="5" fillId="0" borderId="0" xfId="0" applyFont="1"/>
    <xf numFmtId="4" fontId="3" fillId="3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right"/>
    </xf>
    <xf numFmtId="44" fontId="2" fillId="3" borderId="1" xfId="1" applyFont="1" applyFill="1" applyBorder="1"/>
    <xf numFmtId="0" fontId="2" fillId="3" borderId="1" xfId="0" applyFont="1" applyFill="1" applyBorder="1"/>
    <xf numFmtId="4" fontId="3" fillId="4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right"/>
    </xf>
    <xf numFmtId="44" fontId="2" fillId="4" borderId="1" xfId="1" applyFont="1" applyFill="1" applyBorder="1"/>
    <xf numFmtId="0" fontId="2" fillId="4" borderId="1" xfId="0" applyFont="1" applyFill="1" applyBorder="1"/>
    <xf numFmtId="44" fontId="2" fillId="0" borderId="0" xfId="0" applyNumberFormat="1" applyFont="1" applyBorder="1"/>
    <xf numFmtId="44" fontId="3" fillId="0" borderId="0" xfId="0" applyNumberFormat="1" applyFont="1" applyBorder="1"/>
    <xf numFmtId="44" fontId="3" fillId="0" borderId="2" xfId="1" applyFont="1" applyBorder="1"/>
    <xf numFmtId="44" fontId="2" fillId="0" borderId="3" xfId="0" applyNumberFormat="1" applyFont="1" applyBorder="1"/>
    <xf numFmtId="164" fontId="2" fillId="4" borderId="1" xfId="0" applyNumberFormat="1" applyFont="1" applyFill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Fill="1" applyAlignment="1">
      <alignment horizontal="right"/>
    </xf>
    <xf numFmtId="44" fontId="2" fillId="0" borderId="0" xfId="1" applyFont="1" applyFill="1"/>
    <xf numFmtId="164" fontId="2" fillId="0" borderId="0" xfId="0" applyNumberFormat="1" applyFont="1" applyFill="1" applyBorder="1" applyAlignment="1">
      <alignment horizontal="right"/>
    </xf>
    <xf numFmtId="44" fontId="2" fillId="0" borderId="0" xfId="1" applyFont="1" applyFill="1" applyBorder="1"/>
    <xf numFmtId="4" fontId="3" fillId="4" borderId="0" xfId="0" applyNumberFormat="1" applyFont="1" applyFill="1" applyBorder="1" applyAlignment="1">
      <alignment horizontal="left"/>
    </xf>
    <xf numFmtId="164" fontId="2" fillId="4" borderId="0" xfId="0" applyNumberFormat="1" applyFont="1" applyFill="1" applyBorder="1" applyAlignment="1">
      <alignment horizontal="right"/>
    </xf>
    <xf numFmtId="44" fontId="2" fillId="4" borderId="0" xfId="1" applyFont="1" applyFill="1" applyBorder="1"/>
    <xf numFmtId="0" fontId="2" fillId="4" borderId="0" xfId="0" applyFont="1" applyFill="1" applyBorder="1"/>
    <xf numFmtId="0" fontId="6" fillId="0" borderId="0" xfId="0" applyFont="1"/>
    <xf numFmtId="4" fontId="6" fillId="0" borderId="0" xfId="0" applyNumberFormat="1" applyFont="1" applyFill="1" applyBorder="1" applyAlignment="1">
      <alignment horizontal="left"/>
    </xf>
    <xf numFmtId="4" fontId="3" fillId="5" borderId="1" xfId="0" applyNumberFormat="1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right"/>
    </xf>
    <xf numFmtId="44" fontId="2" fillId="5" borderId="1" xfId="1" applyFont="1" applyFill="1" applyBorder="1"/>
    <xf numFmtId="0" fontId="2" fillId="5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E47"/>
  <sheetViews>
    <sheetView topLeftCell="A28" workbookViewId="0">
      <selection activeCell="D38" sqref="D38"/>
    </sheetView>
  </sheetViews>
  <sheetFormatPr baseColWidth="10" defaultRowHeight="18.75" x14ac:dyDescent="0.3"/>
  <cols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0"/>
      <c r="C2" s="8" t="s">
        <v>39</v>
      </c>
      <c r="D2" s="4"/>
      <c r="E2" s="5"/>
    </row>
    <row r="3" spans="2:5" ht="19.5" thickTop="1" x14ac:dyDescent="0.3">
      <c r="B3" s="2" t="s">
        <v>0</v>
      </c>
      <c r="C3" s="9">
        <v>4</v>
      </c>
      <c r="D3" s="3">
        <v>780</v>
      </c>
      <c r="E3" s="1">
        <f>D3*C3</f>
        <v>3120</v>
      </c>
    </row>
    <row r="4" spans="2:5" x14ac:dyDescent="0.3">
      <c r="B4" s="2" t="s">
        <v>1</v>
      </c>
      <c r="C4" s="9">
        <f>27.1+12.5</f>
        <v>39.6</v>
      </c>
      <c r="D4" s="3">
        <v>96</v>
      </c>
      <c r="E4" s="1">
        <f t="shared" ref="E4:E45" si="0">D4*C4</f>
        <v>3801.6000000000004</v>
      </c>
    </row>
    <row r="5" spans="2:5" x14ac:dyDescent="0.3">
      <c r="B5" s="2" t="s">
        <v>2</v>
      </c>
      <c r="C5" s="9">
        <f>25.68+25.8+25.78+53</f>
        <v>130.26</v>
      </c>
      <c r="D5" s="3">
        <v>21</v>
      </c>
      <c r="E5" s="1">
        <f t="shared" si="0"/>
        <v>2735.46</v>
      </c>
    </row>
    <row r="6" spans="2:5" x14ac:dyDescent="0.3">
      <c r="B6" s="2" t="s">
        <v>3</v>
      </c>
      <c r="C6" s="9">
        <v>260</v>
      </c>
      <c r="D6" s="3">
        <v>33</v>
      </c>
      <c r="E6" s="1">
        <f t="shared" si="0"/>
        <v>8580</v>
      </c>
    </row>
    <row r="7" spans="2:5" x14ac:dyDescent="0.3">
      <c r="B7" s="2" t="s">
        <v>4</v>
      </c>
      <c r="C7" s="9">
        <f>914.4+862.7+794.56</f>
        <v>2571.66</v>
      </c>
      <c r="D7" s="3">
        <v>27</v>
      </c>
      <c r="E7" s="1">
        <f t="shared" si="0"/>
        <v>69434.819999999992</v>
      </c>
    </row>
    <row r="8" spans="2:5" x14ac:dyDescent="0.3">
      <c r="B8" s="2" t="s">
        <v>5</v>
      </c>
      <c r="C8" s="9">
        <v>29.7</v>
      </c>
      <c r="D8" s="3">
        <v>44</v>
      </c>
      <c r="E8" s="1">
        <f t="shared" si="0"/>
        <v>1306.8</v>
      </c>
    </row>
    <row r="9" spans="2:5" x14ac:dyDescent="0.3">
      <c r="B9" s="2" t="s">
        <v>6</v>
      </c>
      <c r="C9" s="9">
        <v>75</v>
      </c>
      <c r="D9" s="3">
        <v>9</v>
      </c>
      <c r="E9" s="1">
        <f t="shared" si="0"/>
        <v>675</v>
      </c>
    </row>
    <row r="10" spans="2:5" x14ac:dyDescent="0.3">
      <c r="B10" s="2" t="s">
        <v>7</v>
      </c>
      <c r="C10" s="9">
        <f>54.1+2.2</f>
        <v>56.300000000000004</v>
      </c>
      <c r="D10" s="3">
        <v>24</v>
      </c>
      <c r="E10" s="1">
        <f t="shared" si="0"/>
        <v>1351.2</v>
      </c>
    </row>
    <row r="11" spans="2:5" x14ac:dyDescent="0.3">
      <c r="B11" s="2" t="s">
        <v>8</v>
      </c>
      <c r="C11" s="9">
        <v>10.5</v>
      </c>
      <c r="D11" s="3">
        <v>26</v>
      </c>
      <c r="E11" s="1">
        <f t="shared" si="0"/>
        <v>273</v>
      </c>
    </row>
    <row r="12" spans="2:5" x14ac:dyDescent="0.3">
      <c r="B12" s="2" t="s">
        <v>9</v>
      </c>
      <c r="C12" s="9">
        <v>152</v>
      </c>
      <c r="D12" s="3">
        <v>22</v>
      </c>
      <c r="E12" s="1">
        <f t="shared" si="0"/>
        <v>3344</v>
      </c>
    </row>
    <row r="13" spans="2:5" x14ac:dyDescent="0.3">
      <c r="B13" s="2" t="s">
        <v>10</v>
      </c>
      <c r="C13" s="9">
        <f>213+0.76</f>
        <v>213.76</v>
      </c>
      <c r="D13" s="3">
        <v>16</v>
      </c>
      <c r="E13" s="1">
        <f t="shared" si="0"/>
        <v>3420.16</v>
      </c>
    </row>
    <row r="14" spans="2:5" x14ac:dyDescent="0.3">
      <c r="B14" s="2" t="s">
        <v>11</v>
      </c>
      <c r="C14" s="9">
        <v>90.5</v>
      </c>
      <c r="D14" s="3">
        <v>38</v>
      </c>
      <c r="E14" s="1">
        <f t="shared" si="0"/>
        <v>3439</v>
      </c>
    </row>
    <row r="15" spans="2:5" x14ac:dyDescent="0.3">
      <c r="B15" s="2" t="s">
        <v>12</v>
      </c>
      <c r="C15" s="9">
        <v>103</v>
      </c>
      <c r="D15" s="3">
        <v>32</v>
      </c>
      <c r="E15" s="1">
        <f t="shared" si="0"/>
        <v>3296</v>
      </c>
    </row>
    <row r="16" spans="2:5" x14ac:dyDescent="0.3">
      <c r="B16" s="2" t="s">
        <v>13</v>
      </c>
      <c r="C16" s="9">
        <v>76.5</v>
      </c>
      <c r="D16" s="3">
        <v>33</v>
      </c>
      <c r="E16" s="1">
        <f t="shared" si="0"/>
        <v>2524.5</v>
      </c>
    </row>
    <row r="17" spans="2:5" x14ac:dyDescent="0.3">
      <c r="B17" s="2" t="s">
        <v>14</v>
      </c>
      <c r="C17" s="9">
        <v>23</v>
      </c>
      <c r="D17" s="3">
        <v>70</v>
      </c>
      <c r="E17" s="1">
        <f t="shared" si="0"/>
        <v>1610</v>
      </c>
    </row>
    <row r="18" spans="2:5" x14ac:dyDescent="0.3">
      <c r="B18" s="2" t="s">
        <v>15</v>
      </c>
      <c r="C18" s="9">
        <v>23.5</v>
      </c>
      <c r="D18" s="3">
        <v>72</v>
      </c>
      <c r="E18" s="1">
        <f t="shared" si="0"/>
        <v>1692</v>
      </c>
    </row>
    <row r="19" spans="2:5" x14ac:dyDescent="0.3">
      <c r="B19" s="2" t="s">
        <v>16</v>
      </c>
      <c r="C19" s="9">
        <f>9.5+1.5</f>
        <v>11</v>
      </c>
      <c r="D19" s="3">
        <v>80</v>
      </c>
      <c r="E19" s="1">
        <f t="shared" si="0"/>
        <v>880</v>
      </c>
    </row>
    <row r="20" spans="2:5" x14ac:dyDescent="0.3">
      <c r="B20" s="2" t="s">
        <v>17</v>
      </c>
      <c r="C20" s="9">
        <v>17</v>
      </c>
      <c r="D20" s="3">
        <v>52</v>
      </c>
      <c r="E20" s="1">
        <f t="shared" si="0"/>
        <v>884</v>
      </c>
    </row>
    <row r="21" spans="2:5" x14ac:dyDescent="0.3">
      <c r="B21" s="2" t="s">
        <v>18</v>
      </c>
      <c r="C21" s="9">
        <v>12</v>
      </c>
      <c r="D21" s="3">
        <v>65</v>
      </c>
      <c r="E21" s="1">
        <f t="shared" si="0"/>
        <v>780</v>
      </c>
    </row>
    <row r="22" spans="2:5" x14ac:dyDescent="0.3">
      <c r="B22" s="2" t="s">
        <v>19</v>
      </c>
      <c r="C22" s="9">
        <v>11.5</v>
      </c>
      <c r="D22" s="3">
        <v>32</v>
      </c>
      <c r="E22" s="1">
        <f t="shared" si="0"/>
        <v>368</v>
      </c>
    </row>
    <row r="23" spans="2:5" x14ac:dyDescent="0.3">
      <c r="B23" s="2" t="s">
        <v>7</v>
      </c>
      <c r="C23" s="9">
        <v>18.3</v>
      </c>
      <c r="D23" s="3">
        <v>40</v>
      </c>
      <c r="E23" s="1">
        <f t="shared" si="0"/>
        <v>732</v>
      </c>
    </row>
    <row r="24" spans="2:5" x14ac:dyDescent="0.3">
      <c r="B24" s="2" t="s">
        <v>20</v>
      </c>
      <c r="C24" s="9">
        <f>25.5+0.5</f>
        <v>26</v>
      </c>
      <c r="D24" s="3">
        <v>86</v>
      </c>
      <c r="E24" s="1">
        <f t="shared" si="0"/>
        <v>2236</v>
      </c>
    </row>
    <row r="25" spans="2:5" x14ac:dyDescent="0.3">
      <c r="B25" s="2" t="s">
        <v>21</v>
      </c>
      <c r="C25" s="9">
        <v>7.5</v>
      </c>
      <c r="D25" s="3">
        <v>120</v>
      </c>
      <c r="E25" s="1">
        <f t="shared" si="0"/>
        <v>900</v>
      </c>
    </row>
    <row r="26" spans="2:5" x14ac:dyDescent="0.3">
      <c r="B26" s="2" t="s">
        <v>22</v>
      </c>
      <c r="C26" s="9">
        <v>5</v>
      </c>
      <c r="D26" s="3">
        <v>52</v>
      </c>
      <c r="E26" s="1">
        <f t="shared" si="0"/>
        <v>260</v>
      </c>
    </row>
    <row r="27" spans="2:5" x14ac:dyDescent="0.3">
      <c r="B27" s="2" t="s">
        <v>7</v>
      </c>
      <c r="C27" s="9">
        <v>9</v>
      </c>
      <c r="D27" s="3">
        <v>40</v>
      </c>
      <c r="E27" s="1">
        <f t="shared" si="0"/>
        <v>360</v>
      </c>
    </row>
    <row r="28" spans="2:5" x14ac:dyDescent="0.3">
      <c r="B28" s="2" t="s">
        <v>23</v>
      </c>
      <c r="C28" s="9">
        <v>5</v>
      </c>
      <c r="D28" s="3">
        <v>40</v>
      </c>
      <c r="E28" s="1">
        <f t="shared" si="0"/>
        <v>200</v>
      </c>
    </row>
    <row r="29" spans="2:5" x14ac:dyDescent="0.3">
      <c r="B29" s="2" t="s">
        <v>24</v>
      </c>
      <c r="C29" s="9">
        <v>11</v>
      </c>
      <c r="D29" s="3">
        <v>56</v>
      </c>
      <c r="E29" s="1">
        <f t="shared" si="0"/>
        <v>616</v>
      </c>
    </row>
    <row r="30" spans="2:5" x14ac:dyDescent="0.3">
      <c r="B30" s="2" t="s">
        <v>25</v>
      </c>
      <c r="C30" s="9">
        <v>34.299999999999997</v>
      </c>
      <c r="D30" s="3">
        <v>30</v>
      </c>
      <c r="E30" s="1">
        <f t="shared" si="0"/>
        <v>1029</v>
      </c>
    </row>
    <row r="31" spans="2:5" x14ac:dyDescent="0.3">
      <c r="B31" s="2" t="s">
        <v>8</v>
      </c>
      <c r="C31" s="9">
        <v>5.5</v>
      </c>
      <c r="D31" s="3">
        <v>26</v>
      </c>
      <c r="E31" s="1">
        <f t="shared" si="0"/>
        <v>143</v>
      </c>
    </row>
    <row r="32" spans="2:5" x14ac:dyDescent="0.3">
      <c r="B32" s="2" t="s">
        <v>26</v>
      </c>
      <c r="C32" s="9">
        <v>4</v>
      </c>
      <c r="D32" s="3">
        <v>36</v>
      </c>
      <c r="E32" s="1">
        <f t="shared" si="0"/>
        <v>144</v>
      </c>
    </row>
    <row r="33" spans="2:5" x14ac:dyDescent="0.3">
      <c r="B33" s="2" t="s">
        <v>27</v>
      </c>
      <c r="C33" s="9">
        <v>20.5</v>
      </c>
      <c r="D33" s="3">
        <v>22</v>
      </c>
      <c r="E33" s="1">
        <f t="shared" si="0"/>
        <v>451</v>
      </c>
    </row>
    <row r="34" spans="2:5" x14ac:dyDescent="0.3">
      <c r="B34" s="2" t="s">
        <v>28</v>
      </c>
      <c r="C34" s="9">
        <v>1</v>
      </c>
      <c r="D34" s="3">
        <v>50</v>
      </c>
      <c r="E34" s="1">
        <f t="shared" si="0"/>
        <v>50</v>
      </c>
    </row>
    <row r="35" spans="2:5" x14ac:dyDescent="0.3">
      <c r="B35" s="2" t="s">
        <v>29</v>
      </c>
      <c r="C35" s="9">
        <v>1.2</v>
      </c>
      <c r="D35" s="3">
        <v>60</v>
      </c>
      <c r="E35" s="1">
        <f t="shared" si="0"/>
        <v>72</v>
      </c>
    </row>
    <row r="36" spans="2:5" x14ac:dyDescent="0.3">
      <c r="B36" s="2" t="s">
        <v>30</v>
      </c>
      <c r="C36" s="9">
        <v>5</v>
      </c>
      <c r="D36" s="3">
        <v>27</v>
      </c>
      <c r="E36" s="1">
        <f t="shared" si="0"/>
        <v>135</v>
      </c>
    </row>
    <row r="37" spans="2:5" x14ac:dyDescent="0.3">
      <c r="B37" s="2" t="s">
        <v>31</v>
      </c>
      <c r="C37" s="9">
        <v>5</v>
      </c>
      <c r="D37" s="3">
        <v>10</v>
      </c>
      <c r="E37" s="1">
        <f t="shared" si="0"/>
        <v>50</v>
      </c>
    </row>
    <row r="38" spans="2:5" x14ac:dyDescent="0.3">
      <c r="B38" s="2" t="s">
        <v>32</v>
      </c>
      <c r="C38" s="9">
        <v>9</v>
      </c>
      <c r="D38" s="3">
        <v>8</v>
      </c>
      <c r="E38" s="1">
        <f t="shared" si="0"/>
        <v>72</v>
      </c>
    </row>
    <row r="39" spans="2:5" x14ac:dyDescent="0.3">
      <c r="B39" s="2" t="s">
        <v>33</v>
      </c>
      <c r="C39" s="9">
        <f>671.73+140</f>
        <v>811.73</v>
      </c>
      <c r="D39" s="3">
        <v>27</v>
      </c>
      <c r="E39" s="1">
        <f t="shared" si="0"/>
        <v>21916.71</v>
      </c>
    </row>
    <row r="40" spans="2:5" x14ac:dyDescent="0.3">
      <c r="B40" s="2" t="s">
        <v>34</v>
      </c>
      <c r="C40" s="9">
        <v>7</v>
      </c>
      <c r="D40" s="3">
        <v>14</v>
      </c>
      <c r="E40" s="1">
        <f t="shared" si="0"/>
        <v>98</v>
      </c>
    </row>
    <row r="41" spans="2:5" x14ac:dyDescent="0.3">
      <c r="B41" s="2" t="s">
        <v>35</v>
      </c>
      <c r="C41" s="9">
        <v>7</v>
      </c>
      <c r="D41" s="3">
        <v>14</v>
      </c>
      <c r="E41" s="1">
        <f t="shared" si="0"/>
        <v>98</v>
      </c>
    </row>
    <row r="42" spans="2:5" x14ac:dyDescent="0.3">
      <c r="B42" s="2" t="s">
        <v>36</v>
      </c>
      <c r="C42" s="9">
        <f>64+22.5</f>
        <v>86.5</v>
      </c>
      <c r="D42" s="3">
        <v>46</v>
      </c>
      <c r="E42" s="1">
        <f t="shared" si="0"/>
        <v>3979</v>
      </c>
    </row>
    <row r="43" spans="2:5" x14ac:dyDescent="0.3">
      <c r="B43" s="2" t="s">
        <v>37</v>
      </c>
      <c r="C43" s="9">
        <v>23</v>
      </c>
      <c r="D43" s="3">
        <v>60</v>
      </c>
      <c r="E43" s="1">
        <f t="shared" si="0"/>
        <v>1380</v>
      </c>
    </row>
    <row r="44" spans="2:5" x14ac:dyDescent="0.3">
      <c r="B44" s="2" t="s">
        <v>38</v>
      </c>
      <c r="C44" s="9">
        <f>8.5+17</f>
        <v>25.5</v>
      </c>
      <c r="D44" s="3">
        <v>58</v>
      </c>
      <c r="E44" s="1">
        <f t="shared" si="0"/>
        <v>1479</v>
      </c>
    </row>
    <row r="45" spans="2:5" x14ac:dyDescent="0.3">
      <c r="E45" s="1">
        <f t="shared" si="0"/>
        <v>0</v>
      </c>
    </row>
    <row r="46" spans="2:5" ht="19.5" thickBot="1" x14ac:dyDescent="0.35">
      <c r="D46" s="7" t="s">
        <v>40</v>
      </c>
      <c r="E46" s="6">
        <f>SUM(E3:E45)</f>
        <v>149916.25</v>
      </c>
    </row>
    <row r="47" spans="2:5" ht="19.5" thickTop="1" x14ac:dyDescent="0.3">
      <c r="E47" s="1"/>
    </row>
  </sheetData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E36"/>
  <sheetViews>
    <sheetView topLeftCell="A7" workbookViewId="0">
      <selection activeCell="D20" sqref="D20"/>
    </sheetView>
  </sheetViews>
  <sheetFormatPr baseColWidth="10" defaultRowHeight="18.75" x14ac:dyDescent="0.3"/>
  <cols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8" t="s">
        <v>46</v>
      </c>
      <c r="C2" s="13"/>
      <c r="D2" s="4"/>
      <c r="E2" s="5"/>
    </row>
    <row r="3" spans="2:5" ht="19.5" thickTop="1" x14ac:dyDescent="0.3">
      <c r="B3" s="2" t="s">
        <v>44</v>
      </c>
      <c r="C3" s="9">
        <v>3.5</v>
      </c>
      <c r="D3" s="3">
        <v>18</v>
      </c>
      <c r="E3" s="1">
        <f t="shared" ref="E3:E34" si="0">D3*C3</f>
        <v>63</v>
      </c>
    </row>
    <row r="4" spans="2:5" x14ac:dyDescent="0.3">
      <c r="B4" s="2" t="s">
        <v>3</v>
      </c>
      <c r="C4" s="9">
        <v>71.599999999999994</v>
      </c>
      <c r="D4" s="3">
        <v>43</v>
      </c>
      <c r="E4" s="1">
        <f t="shared" si="0"/>
        <v>3078.7999999999997</v>
      </c>
    </row>
    <row r="5" spans="2:5" x14ac:dyDescent="0.3">
      <c r="B5" s="2" t="s">
        <v>18</v>
      </c>
      <c r="C5" s="9">
        <v>4.5</v>
      </c>
      <c r="D5" s="3">
        <v>64</v>
      </c>
      <c r="E5" s="1">
        <f t="shared" si="0"/>
        <v>288</v>
      </c>
    </row>
    <row r="6" spans="2:5" x14ac:dyDescent="0.3">
      <c r="B6" s="2" t="s">
        <v>20</v>
      </c>
      <c r="C6" s="9">
        <v>38.799999999999997</v>
      </c>
      <c r="D6" s="3">
        <v>86</v>
      </c>
      <c r="E6" s="1">
        <f t="shared" si="0"/>
        <v>3336.7999999999997</v>
      </c>
    </row>
    <row r="7" spans="2:5" x14ac:dyDescent="0.3">
      <c r="B7" s="2" t="s">
        <v>45</v>
      </c>
      <c r="C7" s="9">
        <v>0.5</v>
      </c>
      <c r="D7" s="3">
        <v>60</v>
      </c>
      <c r="E7" s="1">
        <f t="shared" si="0"/>
        <v>30</v>
      </c>
    </row>
    <row r="8" spans="2:5" x14ac:dyDescent="0.3">
      <c r="B8" s="2" t="s">
        <v>9</v>
      </c>
      <c r="C8" s="9">
        <v>91.5</v>
      </c>
      <c r="D8" s="3">
        <v>20</v>
      </c>
      <c r="E8" s="1">
        <f t="shared" si="0"/>
        <v>1830</v>
      </c>
    </row>
    <row r="9" spans="2:5" x14ac:dyDescent="0.3">
      <c r="B9" s="2" t="s">
        <v>4</v>
      </c>
      <c r="C9" s="9">
        <f>967.7+921.7</f>
        <v>1889.4</v>
      </c>
      <c r="D9" s="3">
        <v>29.5</v>
      </c>
      <c r="E9" s="1">
        <f t="shared" si="0"/>
        <v>55737.3</v>
      </c>
    </row>
    <row r="10" spans="2:5" x14ac:dyDescent="0.3">
      <c r="B10" s="2" t="s">
        <v>1</v>
      </c>
      <c r="C10" s="9">
        <f>35+34.7+13.5</f>
        <v>83.2</v>
      </c>
      <c r="D10" s="3">
        <v>96</v>
      </c>
      <c r="E10" s="1">
        <f t="shared" si="0"/>
        <v>7987.2000000000007</v>
      </c>
    </row>
    <row r="11" spans="2:5" x14ac:dyDescent="0.3">
      <c r="B11" s="2" t="s">
        <v>2</v>
      </c>
      <c r="C11" s="9">
        <v>54.5</v>
      </c>
      <c r="D11" s="3">
        <v>23</v>
      </c>
      <c r="E11" s="1">
        <f t="shared" si="0"/>
        <v>1253.5</v>
      </c>
    </row>
    <row r="12" spans="2:5" x14ac:dyDescent="0.3">
      <c r="B12" s="2" t="s">
        <v>10</v>
      </c>
      <c r="C12" s="9">
        <v>381.5</v>
      </c>
      <c r="D12" s="3">
        <v>14</v>
      </c>
      <c r="E12" s="1">
        <f t="shared" si="0"/>
        <v>5341</v>
      </c>
    </row>
    <row r="13" spans="2:5" x14ac:dyDescent="0.3">
      <c r="B13" s="2" t="s">
        <v>42</v>
      </c>
      <c r="C13" s="9">
        <v>47.5</v>
      </c>
      <c r="D13" s="3">
        <v>26</v>
      </c>
      <c r="E13" s="1">
        <f t="shared" si="0"/>
        <v>1235</v>
      </c>
    </row>
    <row r="14" spans="2:5" x14ac:dyDescent="0.3">
      <c r="B14" s="2" t="s">
        <v>7</v>
      </c>
      <c r="C14" s="9">
        <v>21.5</v>
      </c>
      <c r="D14" s="3">
        <v>44</v>
      </c>
      <c r="E14" s="1">
        <f t="shared" si="0"/>
        <v>946</v>
      </c>
    </row>
    <row r="15" spans="2:5" x14ac:dyDescent="0.3">
      <c r="B15" s="2" t="s">
        <v>23</v>
      </c>
      <c r="C15" s="9">
        <v>1.5</v>
      </c>
      <c r="D15" s="3">
        <v>56</v>
      </c>
      <c r="E15" s="1">
        <f t="shared" si="0"/>
        <v>84</v>
      </c>
    </row>
    <row r="16" spans="2:5" x14ac:dyDescent="0.3">
      <c r="B16" s="2" t="s">
        <v>11</v>
      </c>
      <c r="C16" s="9">
        <v>108.92</v>
      </c>
      <c r="D16" s="3">
        <v>42</v>
      </c>
      <c r="E16" s="1">
        <f t="shared" si="0"/>
        <v>4574.6400000000003</v>
      </c>
    </row>
    <row r="17" spans="2:5" x14ac:dyDescent="0.3">
      <c r="B17" s="2" t="s">
        <v>41</v>
      </c>
      <c r="C17" s="9">
        <v>134.5</v>
      </c>
      <c r="D17" s="3">
        <v>40</v>
      </c>
      <c r="E17" s="1">
        <f t="shared" si="0"/>
        <v>5380</v>
      </c>
    </row>
    <row r="18" spans="2:5" x14ac:dyDescent="0.3">
      <c r="B18" s="2" t="s">
        <v>43</v>
      </c>
      <c r="C18" s="9">
        <v>10</v>
      </c>
      <c r="D18" s="3">
        <v>58</v>
      </c>
      <c r="E18" s="1">
        <f t="shared" si="0"/>
        <v>580</v>
      </c>
    </row>
    <row r="19" spans="2:5" x14ac:dyDescent="0.3">
      <c r="B19" s="2" t="s">
        <v>8</v>
      </c>
      <c r="C19" s="9">
        <v>22</v>
      </c>
      <c r="D19" s="3">
        <v>26</v>
      </c>
      <c r="E19" s="1">
        <f t="shared" si="0"/>
        <v>572</v>
      </c>
    </row>
    <row r="20" spans="2:5" x14ac:dyDescent="0.3">
      <c r="B20" s="2" t="s">
        <v>17</v>
      </c>
      <c r="C20" s="9">
        <v>3</v>
      </c>
      <c r="D20" s="3">
        <v>54</v>
      </c>
      <c r="E20" s="1">
        <f t="shared" si="0"/>
        <v>162</v>
      </c>
    </row>
    <row r="21" spans="2:5" x14ac:dyDescent="0.3">
      <c r="B21" s="2" t="s">
        <v>5</v>
      </c>
      <c r="C21" s="9">
        <v>12.5</v>
      </c>
      <c r="D21" s="3">
        <v>51</v>
      </c>
      <c r="E21" s="1">
        <f t="shared" si="0"/>
        <v>637.5</v>
      </c>
    </row>
    <row r="22" spans="2:5" x14ac:dyDescent="0.3">
      <c r="B22" s="2" t="s">
        <v>33</v>
      </c>
      <c r="C22" s="9">
        <f>400+141</f>
        <v>541</v>
      </c>
      <c r="D22" s="3">
        <v>30</v>
      </c>
      <c r="E22" s="1">
        <f t="shared" si="0"/>
        <v>16230</v>
      </c>
    </row>
    <row r="23" spans="2:5" x14ac:dyDescent="0.3">
      <c r="B23" s="2" t="s">
        <v>28</v>
      </c>
      <c r="C23" s="9">
        <v>1</v>
      </c>
      <c r="D23" s="3">
        <v>50</v>
      </c>
      <c r="E23" s="1">
        <f t="shared" si="0"/>
        <v>50</v>
      </c>
    </row>
    <row r="24" spans="2:5" x14ac:dyDescent="0.3">
      <c r="B24" s="2" t="s">
        <v>12</v>
      </c>
      <c r="C24" s="9">
        <f>50+44.5</f>
        <v>94.5</v>
      </c>
      <c r="D24" s="3">
        <v>40</v>
      </c>
      <c r="E24" s="1">
        <f t="shared" si="0"/>
        <v>3780</v>
      </c>
    </row>
    <row r="25" spans="2:5" x14ac:dyDescent="0.3">
      <c r="B25" s="2" t="s">
        <v>15</v>
      </c>
      <c r="C25" s="9">
        <v>44.5</v>
      </c>
      <c r="D25" s="3">
        <v>76</v>
      </c>
      <c r="E25" s="1">
        <f t="shared" si="0"/>
        <v>3382</v>
      </c>
    </row>
    <row r="26" spans="2:5" x14ac:dyDescent="0.3">
      <c r="B26" s="2" t="s">
        <v>32</v>
      </c>
      <c r="C26" s="9">
        <v>6</v>
      </c>
      <c r="D26" s="3">
        <v>8</v>
      </c>
      <c r="E26" s="1">
        <f t="shared" si="0"/>
        <v>48</v>
      </c>
    </row>
    <row r="27" spans="2:5" x14ac:dyDescent="0.3">
      <c r="B27" s="2" t="s">
        <v>31</v>
      </c>
      <c r="C27" s="9">
        <v>6</v>
      </c>
      <c r="D27" s="3">
        <v>10</v>
      </c>
      <c r="E27" s="1">
        <f t="shared" si="0"/>
        <v>60</v>
      </c>
    </row>
    <row r="28" spans="2:5" x14ac:dyDescent="0.3">
      <c r="B28" s="2" t="s">
        <v>0</v>
      </c>
      <c r="C28" s="9">
        <v>2</v>
      </c>
      <c r="D28" s="3">
        <v>740</v>
      </c>
      <c r="E28" s="1">
        <f t="shared" si="0"/>
        <v>1480</v>
      </c>
    </row>
    <row r="29" spans="2:5" x14ac:dyDescent="0.3">
      <c r="B29" s="2" t="s">
        <v>16</v>
      </c>
      <c r="C29" s="9">
        <v>1.5</v>
      </c>
      <c r="D29" s="3">
        <v>80</v>
      </c>
      <c r="E29" s="1">
        <f t="shared" si="0"/>
        <v>120</v>
      </c>
    </row>
    <row r="30" spans="2:5" x14ac:dyDescent="0.3">
      <c r="B30" s="2" t="s">
        <v>30</v>
      </c>
      <c r="C30" s="9">
        <v>1</v>
      </c>
      <c r="D30" s="3">
        <v>27</v>
      </c>
      <c r="E30" s="1">
        <f t="shared" si="0"/>
        <v>27</v>
      </c>
    </row>
    <row r="31" spans="2:5" x14ac:dyDescent="0.3">
      <c r="B31" s="11" t="s">
        <v>36</v>
      </c>
      <c r="C31" s="12">
        <f>64+22.5</f>
        <v>86.5</v>
      </c>
      <c r="D31" s="3">
        <v>46</v>
      </c>
      <c r="E31" s="1">
        <f t="shared" si="0"/>
        <v>3979</v>
      </c>
    </row>
    <row r="32" spans="2:5" x14ac:dyDescent="0.3">
      <c r="B32" s="11" t="s">
        <v>37</v>
      </c>
      <c r="C32" s="12">
        <v>23</v>
      </c>
      <c r="D32" s="3">
        <v>60</v>
      </c>
      <c r="E32" s="1">
        <f t="shared" si="0"/>
        <v>1380</v>
      </c>
    </row>
    <row r="33" spans="2:5" x14ac:dyDescent="0.3">
      <c r="B33" s="11" t="s">
        <v>38</v>
      </c>
      <c r="C33" s="12">
        <f>8.5+17</f>
        <v>25.5</v>
      </c>
      <c r="D33" s="3">
        <v>58</v>
      </c>
      <c r="E33" s="1">
        <f t="shared" si="0"/>
        <v>1479</v>
      </c>
    </row>
    <row r="34" spans="2:5" x14ac:dyDescent="0.3">
      <c r="E34" s="1">
        <f t="shared" si="0"/>
        <v>0</v>
      </c>
    </row>
    <row r="35" spans="2:5" ht="19.5" thickBot="1" x14ac:dyDescent="0.35">
      <c r="D35" s="7" t="s">
        <v>40</v>
      </c>
      <c r="E35" s="6">
        <f>SUM(E3:E34)</f>
        <v>125131.74</v>
      </c>
    </row>
    <row r="36" spans="2:5" ht="19.5" thickTop="1" x14ac:dyDescent="0.3">
      <c r="E36" s="1"/>
    </row>
  </sheetData>
  <sortState ref="B3:D41">
    <sortCondition ref="B3:B4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S56"/>
  <sheetViews>
    <sheetView topLeftCell="A22" workbookViewId="0">
      <selection activeCell="D30" sqref="D30"/>
    </sheetView>
  </sheetViews>
  <sheetFormatPr baseColWidth="10" defaultRowHeight="18.75" x14ac:dyDescent="0.3"/>
  <cols>
    <col min="1" max="1" width="11.42578125" style="17"/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  <col min="8" max="8" width="11.42578125" style="17"/>
    <col min="9" max="9" width="19.42578125" style="2" bestFit="1" customWidth="1"/>
    <col min="10" max="10" width="11.28515625" style="9" bestFit="1" customWidth="1"/>
    <col min="11" max="11" width="12.28515625" style="3" bestFit="1" customWidth="1"/>
    <col min="12" max="12" width="18.5703125" style="2" customWidth="1"/>
    <col min="15" max="15" width="11.42578125" style="17"/>
    <col min="16" max="16" width="19.42578125" style="2" bestFit="1" customWidth="1"/>
    <col min="17" max="17" width="11.28515625" style="9" bestFit="1" customWidth="1"/>
    <col min="18" max="18" width="12.28515625" style="3" bestFit="1" customWidth="1"/>
    <col min="19" max="19" width="18.5703125" style="2" customWidth="1"/>
  </cols>
  <sheetData>
    <row r="2" spans="1:19" ht="19.5" thickBot="1" x14ac:dyDescent="0.35">
      <c r="B2" s="24" t="s">
        <v>70</v>
      </c>
      <c r="C2" s="25"/>
      <c r="D2" s="26"/>
      <c r="E2" s="27"/>
      <c r="I2" s="20" t="s">
        <v>61</v>
      </c>
      <c r="J2" s="21"/>
      <c r="K2" s="22"/>
      <c r="L2" s="23"/>
      <c r="N2" s="18"/>
      <c r="P2" s="8" t="s">
        <v>47</v>
      </c>
      <c r="Q2" s="13"/>
      <c r="R2" s="4"/>
      <c r="S2" s="5"/>
    </row>
    <row r="3" spans="1:19" ht="19.5" thickTop="1" x14ac:dyDescent="0.3">
      <c r="A3" s="17">
        <v>1</v>
      </c>
      <c r="B3" s="14" t="s">
        <v>51</v>
      </c>
      <c r="C3" s="15">
        <f>11.5+3.2</f>
        <v>14.7</v>
      </c>
      <c r="D3" s="16">
        <v>38</v>
      </c>
      <c r="E3" s="1">
        <f t="shared" ref="E3:E45" si="0">D3*C3</f>
        <v>558.6</v>
      </c>
      <c r="H3" s="17">
        <v>1</v>
      </c>
      <c r="I3" s="14" t="s">
        <v>51</v>
      </c>
      <c r="J3" s="15">
        <v>0.255</v>
      </c>
      <c r="K3" s="16">
        <v>39</v>
      </c>
      <c r="L3" s="1">
        <f t="shared" ref="L3:L34" si="1">K3*J3</f>
        <v>9.9450000000000003</v>
      </c>
      <c r="N3" s="18"/>
      <c r="O3" s="17">
        <v>1</v>
      </c>
      <c r="P3" s="14" t="s">
        <v>51</v>
      </c>
      <c r="Q3" s="15">
        <f>90.5-25.5</f>
        <v>65</v>
      </c>
      <c r="R3" s="16">
        <v>39</v>
      </c>
      <c r="S3" s="1">
        <f t="shared" ref="S3:S45" si="2">R3*Q3</f>
        <v>2535</v>
      </c>
    </row>
    <row r="4" spans="1:19" x14ac:dyDescent="0.3">
      <c r="A4" s="17">
        <v>2</v>
      </c>
      <c r="B4" s="14" t="s">
        <v>22</v>
      </c>
      <c r="C4" s="15">
        <v>13.61</v>
      </c>
      <c r="D4" s="16">
        <v>48</v>
      </c>
      <c r="E4" s="1">
        <f t="shared" si="0"/>
        <v>653.28</v>
      </c>
      <c r="H4" s="17">
        <v>2</v>
      </c>
      <c r="I4" s="14" t="s">
        <v>22</v>
      </c>
      <c r="J4" s="15">
        <v>1</v>
      </c>
      <c r="K4" s="16">
        <v>54</v>
      </c>
      <c r="L4" s="1">
        <f t="shared" si="1"/>
        <v>54</v>
      </c>
      <c r="N4" s="18"/>
      <c r="O4" s="17">
        <v>2</v>
      </c>
      <c r="P4" s="14" t="s">
        <v>22</v>
      </c>
      <c r="Q4" s="15">
        <v>1</v>
      </c>
      <c r="R4" s="16">
        <v>54</v>
      </c>
      <c r="S4" s="1">
        <f t="shared" si="2"/>
        <v>54</v>
      </c>
    </row>
    <row r="5" spans="1:19" x14ac:dyDescent="0.3">
      <c r="A5" s="17">
        <v>3</v>
      </c>
      <c r="B5" s="2" t="s">
        <v>44</v>
      </c>
      <c r="C5" s="9">
        <v>18.5</v>
      </c>
      <c r="D5" s="3">
        <v>19</v>
      </c>
      <c r="E5" s="1">
        <f t="shared" si="0"/>
        <v>351.5</v>
      </c>
      <c r="H5" s="17">
        <v>3</v>
      </c>
      <c r="I5" s="2" t="s">
        <v>44</v>
      </c>
      <c r="J5" s="9">
        <v>6.95</v>
      </c>
      <c r="K5" s="3">
        <v>19</v>
      </c>
      <c r="L5" s="1">
        <f t="shared" si="1"/>
        <v>132.05000000000001</v>
      </c>
      <c r="N5" s="18"/>
      <c r="O5" s="17">
        <v>3</v>
      </c>
      <c r="P5" s="2" t="s">
        <v>44</v>
      </c>
      <c r="Q5" s="9">
        <v>63.2</v>
      </c>
      <c r="R5" s="3">
        <v>17</v>
      </c>
      <c r="S5" s="1">
        <f t="shared" si="2"/>
        <v>1074.4000000000001</v>
      </c>
    </row>
    <row r="6" spans="1:19" x14ac:dyDescent="0.3">
      <c r="A6" s="17">
        <v>4</v>
      </c>
      <c r="B6" s="2" t="s">
        <v>62</v>
      </c>
      <c r="C6" s="9">
        <f>72+153.8</f>
        <v>225.8</v>
      </c>
      <c r="D6" s="3">
        <v>47</v>
      </c>
      <c r="E6" s="1">
        <f t="shared" si="0"/>
        <v>10612.6</v>
      </c>
      <c r="H6" s="17">
        <v>4</v>
      </c>
      <c r="I6" s="2" t="s">
        <v>62</v>
      </c>
      <c r="J6" s="9">
        <v>130.80000000000001</v>
      </c>
      <c r="K6" s="3">
        <v>46</v>
      </c>
      <c r="L6" s="1">
        <f t="shared" si="1"/>
        <v>6016.8</v>
      </c>
      <c r="N6" s="18"/>
      <c r="O6" s="17">
        <v>4</v>
      </c>
      <c r="P6" s="2" t="s">
        <v>18</v>
      </c>
      <c r="Q6" s="9">
        <v>5.7</v>
      </c>
      <c r="R6" s="3">
        <v>65</v>
      </c>
      <c r="S6" s="1">
        <f t="shared" si="2"/>
        <v>370.5</v>
      </c>
    </row>
    <row r="7" spans="1:19" x14ac:dyDescent="0.3">
      <c r="A7" s="17">
        <v>5</v>
      </c>
      <c r="B7" s="2" t="s">
        <v>18</v>
      </c>
      <c r="C7" s="9">
        <f>8.5+3.5</f>
        <v>12</v>
      </c>
      <c r="D7" s="3">
        <v>65</v>
      </c>
      <c r="E7" s="1">
        <f t="shared" si="0"/>
        <v>780</v>
      </c>
      <c r="H7" s="17">
        <v>5</v>
      </c>
      <c r="I7" s="2" t="s">
        <v>18</v>
      </c>
      <c r="J7" s="9">
        <v>3.11</v>
      </c>
      <c r="K7" s="3">
        <v>65</v>
      </c>
      <c r="L7" s="1">
        <f t="shared" si="1"/>
        <v>202.15</v>
      </c>
      <c r="N7" s="18"/>
      <c r="O7" s="17">
        <v>5</v>
      </c>
      <c r="P7" s="2" t="s">
        <v>20</v>
      </c>
      <c r="Q7" s="9">
        <v>4.5</v>
      </c>
      <c r="R7" s="3">
        <v>96</v>
      </c>
      <c r="S7" s="1">
        <f t="shared" si="2"/>
        <v>432</v>
      </c>
    </row>
    <row r="8" spans="1:19" x14ac:dyDescent="0.3">
      <c r="A8" s="17">
        <v>6</v>
      </c>
      <c r="B8" s="2" t="s">
        <v>20</v>
      </c>
      <c r="C8" s="9">
        <v>16.5</v>
      </c>
      <c r="D8" s="3">
        <v>80</v>
      </c>
      <c r="E8" s="1">
        <f t="shared" si="0"/>
        <v>1320</v>
      </c>
      <c r="H8" s="17">
        <v>6</v>
      </c>
      <c r="I8" s="2" t="s">
        <v>20</v>
      </c>
      <c r="J8" s="9">
        <f>21+5.9</f>
        <v>26.9</v>
      </c>
      <c r="K8" s="3">
        <v>86</v>
      </c>
      <c r="L8" s="1">
        <f t="shared" si="1"/>
        <v>2313.4</v>
      </c>
      <c r="N8" s="18"/>
      <c r="O8" s="17">
        <v>6</v>
      </c>
      <c r="P8" s="2" t="s">
        <v>52</v>
      </c>
      <c r="Q8" s="9">
        <v>20.18</v>
      </c>
      <c r="R8" s="3">
        <v>80</v>
      </c>
      <c r="S8" s="1">
        <f t="shared" si="2"/>
        <v>1614.4</v>
      </c>
    </row>
    <row r="9" spans="1:19" x14ac:dyDescent="0.3">
      <c r="A9" s="17">
        <v>7</v>
      </c>
      <c r="B9" s="2" t="s">
        <v>73</v>
      </c>
      <c r="C9" s="9">
        <v>6.5</v>
      </c>
      <c r="D9" s="3">
        <v>94</v>
      </c>
      <c r="E9" s="1">
        <f t="shared" si="0"/>
        <v>611</v>
      </c>
      <c r="H9" s="17">
        <v>7</v>
      </c>
      <c r="I9" s="2" t="s">
        <v>52</v>
      </c>
      <c r="L9" s="1">
        <f t="shared" si="1"/>
        <v>0</v>
      </c>
      <c r="N9" s="18"/>
      <c r="O9" s="17">
        <v>7</v>
      </c>
      <c r="P9" s="2" t="s">
        <v>45</v>
      </c>
      <c r="Q9" s="9">
        <v>10.5</v>
      </c>
      <c r="R9" s="3">
        <v>46</v>
      </c>
      <c r="S9" s="1">
        <f t="shared" si="2"/>
        <v>483</v>
      </c>
    </row>
    <row r="10" spans="1:19" x14ac:dyDescent="0.3">
      <c r="A10" s="17">
        <v>8</v>
      </c>
      <c r="B10" s="2" t="s">
        <v>45</v>
      </c>
      <c r="C10" s="9">
        <v>9.3000000000000007</v>
      </c>
      <c r="D10" s="3">
        <v>58</v>
      </c>
      <c r="E10" s="1">
        <f t="shared" si="0"/>
        <v>539.40000000000009</v>
      </c>
      <c r="H10" s="17">
        <v>8</v>
      </c>
      <c r="I10" s="2" t="s">
        <v>45</v>
      </c>
      <c r="J10" s="9">
        <v>16.2</v>
      </c>
      <c r="K10" s="3">
        <v>56</v>
      </c>
      <c r="L10" s="1">
        <f t="shared" si="1"/>
        <v>907.19999999999993</v>
      </c>
      <c r="N10" s="18"/>
      <c r="O10" s="17">
        <v>8</v>
      </c>
      <c r="P10" s="2" t="s">
        <v>9</v>
      </c>
      <c r="Q10" s="9">
        <f>1725-25.5</f>
        <v>1699.5</v>
      </c>
      <c r="R10" s="3">
        <v>20</v>
      </c>
      <c r="S10" s="1">
        <f t="shared" si="2"/>
        <v>33990</v>
      </c>
    </row>
    <row r="11" spans="1:19" x14ac:dyDescent="0.3">
      <c r="A11" s="17">
        <v>9</v>
      </c>
      <c r="B11" s="2" t="s">
        <v>9</v>
      </c>
      <c r="C11" s="9">
        <f>229.5+186</f>
        <v>415.5</v>
      </c>
      <c r="D11" s="3">
        <v>20</v>
      </c>
      <c r="E11" s="1">
        <f t="shared" si="0"/>
        <v>8310</v>
      </c>
      <c r="H11" s="17">
        <v>9</v>
      </c>
      <c r="I11" s="2" t="s">
        <v>9</v>
      </c>
      <c r="L11" s="1">
        <f t="shared" si="1"/>
        <v>0</v>
      </c>
      <c r="N11" s="18"/>
      <c r="O11" s="17">
        <v>9</v>
      </c>
      <c r="P11" s="2" t="s">
        <v>4</v>
      </c>
      <c r="Q11" s="9">
        <f>814.06+836.28+844.9</f>
        <v>2495.2399999999998</v>
      </c>
      <c r="R11" s="3">
        <v>27.5</v>
      </c>
      <c r="S11" s="1">
        <f t="shared" si="2"/>
        <v>68619.099999999991</v>
      </c>
    </row>
    <row r="12" spans="1:19" x14ac:dyDescent="0.3">
      <c r="A12" s="17">
        <v>10</v>
      </c>
      <c r="B12" s="2" t="s">
        <v>4</v>
      </c>
      <c r="C12" s="9">
        <f>915.8+950.3</f>
        <v>1866.1</v>
      </c>
      <c r="D12" s="3">
        <v>27.5</v>
      </c>
      <c r="E12" s="1">
        <f t="shared" si="0"/>
        <v>51317.75</v>
      </c>
      <c r="H12" s="17">
        <v>10</v>
      </c>
      <c r="I12" s="2" t="s">
        <v>4</v>
      </c>
      <c r="J12" s="9">
        <v>942.6</v>
      </c>
      <c r="K12" s="3">
        <v>27.5</v>
      </c>
      <c r="L12" s="1">
        <f t="shared" si="1"/>
        <v>25921.5</v>
      </c>
      <c r="N12" s="18"/>
      <c r="O12" s="17">
        <v>10</v>
      </c>
      <c r="P12" s="2" t="s">
        <v>35</v>
      </c>
      <c r="Q12" s="9">
        <v>12</v>
      </c>
      <c r="R12" s="3">
        <v>14</v>
      </c>
      <c r="S12" s="1">
        <f t="shared" si="2"/>
        <v>168</v>
      </c>
    </row>
    <row r="13" spans="1:19" x14ac:dyDescent="0.3">
      <c r="A13" s="17">
        <v>11</v>
      </c>
      <c r="B13" s="2" t="s">
        <v>35</v>
      </c>
      <c r="C13" s="9">
        <v>5</v>
      </c>
      <c r="D13" s="3">
        <v>14</v>
      </c>
      <c r="E13" s="1">
        <f t="shared" si="0"/>
        <v>70</v>
      </c>
      <c r="H13" s="17">
        <v>11</v>
      </c>
      <c r="I13" s="2" t="s">
        <v>35</v>
      </c>
      <c r="J13" s="9">
        <v>7</v>
      </c>
      <c r="K13" s="3">
        <v>14</v>
      </c>
      <c r="L13" s="1">
        <f t="shared" si="1"/>
        <v>98</v>
      </c>
      <c r="N13" s="18"/>
      <c r="O13" s="17">
        <v>11</v>
      </c>
      <c r="P13" s="2" t="s">
        <v>1</v>
      </c>
      <c r="Q13" s="9">
        <f>12.5+33.2</f>
        <v>45.7</v>
      </c>
      <c r="R13" s="3">
        <v>96</v>
      </c>
      <c r="S13" s="1">
        <f t="shared" si="2"/>
        <v>4387.2000000000007</v>
      </c>
    </row>
    <row r="14" spans="1:19" x14ac:dyDescent="0.3">
      <c r="A14" s="17">
        <v>12</v>
      </c>
      <c r="B14" s="2" t="s">
        <v>1</v>
      </c>
      <c r="C14" s="9">
        <f>31.8+16.5</f>
        <v>48.3</v>
      </c>
      <c r="D14" s="3">
        <v>96</v>
      </c>
      <c r="E14" s="1">
        <f t="shared" si="0"/>
        <v>4636.7999999999993</v>
      </c>
      <c r="H14" s="17">
        <v>12</v>
      </c>
      <c r="I14" s="2" t="s">
        <v>1</v>
      </c>
      <c r="J14" s="9">
        <v>32.5</v>
      </c>
      <c r="K14" s="3">
        <v>96</v>
      </c>
      <c r="L14" s="1">
        <f t="shared" si="1"/>
        <v>3120</v>
      </c>
      <c r="N14" s="18"/>
      <c r="O14" s="17">
        <v>12</v>
      </c>
      <c r="P14" s="2" t="s">
        <v>2</v>
      </c>
      <c r="Q14" s="9">
        <v>16</v>
      </c>
      <c r="R14" s="3">
        <v>23</v>
      </c>
      <c r="S14" s="1">
        <f t="shared" si="2"/>
        <v>368</v>
      </c>
    </row>
    <row r="15" spans="1:19" x14ac:dyDescent="0.3">
      <c r="A15" s="17">
        <v>13</v>
      </c>
      <c r="B15" s="2" t="s">
        <v>2</v>
      </c>
      <c r="C15" s="9">
        <v>22.7</v>
      </c>
      <c r="D15" s="3">
        <v>25</v>
      </c>
      <c r="E15" s="1">
        <f t="shared" si="0"/>
        <v>567.5</v>
      </c>
      <c r="H15" s="17">
        <v>13</v>
      </c>
      <c r="I15" s="2" t="s">
        <v>66</v>
      </c>
      <c r="J15" s="9">
        <v>1.4</v>
      </c>
      <c r="K15" s="3">
        <v>60</v>
      </c>
      <c r="L15" s="3">
        <f t="shared" si="1"/>
        <v>84</v>
      </c>
      <c r="N15" s="18"/>
      <c r="O15" s="17">
        <v>13</v>
      </c>
      <c r="P15" s="2" t="s">
        <v>2</v>
      </c>
      <c r="Q15" s="9">
        <v>90.8</v>
      </c>
      <c r="R15" s="3">
        <v>25</v>
      </c>
      <c r="S15" s="1">
        <f t="shared" si="2"/>
        <v>2270</v>
      </c>
    </row>
    <row r="16" spans="1:19" x14ac:dyDescent="0.3">
      <c r="A16" s="17">
        <v>14</v>
      </c>
      <c r="B16" s="2" t="s">
        <v>2</v>
      </c>
      <c r="C16" s="9">
        <v>77</v>
      </c>
      <c r="D16" s="3">
        <v>30</v>
      </c>
      <c r="E16" s="1">
        <f t="shared" si="0"/>
        <v>2310</v>
      </c>
      <c r="H16" s="17">
        <v>14</v>
      </c>
      <c r="I16" s="2" t="s">
        <v>2</v>
      </c>
      <c r="J16" s="9">
        <f>169+132</f>
        <v>301</v>
      </c>
      <c r="K16" s="3">
        <v>20</v>
      </c>
      <c r="L16" s="1">
        <f t="shared" si="1"/>
        <v>6020</v>
      </c>
      <c r="N16" s="18"/>
      <c r="O16" s="17">
        <v>14</v>
      </c>
      <c r="P16" s="2" t="s">
        <v>10</v>
      </c>
      <c r="Q16" s="9">
        <f>210-25.5+214.5-25.5</f>
        <v>373.5</v>
      </c>
      <c r="R16" s="3">
        <v>14</v>
      </c>
      <c r="S16" s="1">
        <f t="shared" si="2"/>
        <v>5229</v>
      </c>
    </row>
    <row r="17" spans="1:19" x14ac:dyDescent="0.3">
      <c r="A17" s="17">
        <v>15</v>
      </c>
      <c r="B17" s="2" t="s">
        <v>10</v>
      </c>
      <c r="C17" s="9">
        <v>494.5</v>
      </c>
      <c r="D17" s="3">
        <v>14</v>
      </c>
      <c r="E17" s="1">
        <f t="shared" si="0"/>
        <v>6923</v>
      </c>
      <c r="H17" s="17">
        <v>15</v>
      </c>
      <c r="I17" s="2" t="s">
        <v>2</v>
      </c>
      <c r="L17" s="1">
        <f t="shared" si="1"/>
        <v>0</v>
      </c>
      <c r="N17" s="18"/>
      <c r="O17" s="17">
        <v>15</v>
      </c>
      <c r="P17" s="2" t="s">
        <v>42</v>
      </c>
      <c r="Q17" s="9">
        <v>14</v>
      </c>
      <c r="R17" s="3">
        <v>26</v>
      </c>
      <c r="S17" s="1">
        <f t="shared" si="2"/>
        <v>364</v>
      </c>
    </row>
    <row r="18" spans="1:19" x14ac:dyDescent="0.3">
      <c r="A18" s="17">
        <v>16</v>
      </c>
      <c r="B18" s="2" t="s">
        <v>7</v>
      </c>
      <c r="C18" s="9">
        <v>8.4</v>
      </c>
      <c r="D18" s="3">
        <v>46</v>
      </c>
      <c r="E18" s="1">
        <f t="shared" si="0"/>
        <v>386.40000000000003</v>
      </c>
      <c r="H18" s="17">
        <v>16</v>
      </c>
      <c r="I18" s="2" t="s">
        <v>10</v>
      </c>
      <c r="J18" s="9">
        <v>938</v>
      </c>
      <c r="K18" s="3">
        <v>14</v>
      </c>
      <c r="L18" s="1">
        <f t="shared" si="1"/>
        <v>13132</v>
      </c>
      <c r="N18" s="18"/>
      <c r="O18" s="17">
        <v>16</v>
      </c>
      <c r="P18" s="2" t="s">
        <v>49</v>
      </c>
      <c r="Q18" s="9">
        <f>94.5-25.5</f>
        <v>69</v>
      </c>
      <c r="R18" s="3">
        <v>40</v>
      </c>
      <c r="S18" s="1">
        <f t="shared" si="2"/>
        <v>2760</v>
      </c>
    </row>
    <row r="19" spans="1:19" x14ac:dyDescent="0.3">
      <c r="A19" s="17">
        <v>17</v>
      </c>
      <c r="B19" s="2" t="s">
        <v>71</v>
      </c>
      <c r="C19" s="9">
        <f>7.5-1.45</f>
        <v>6.05</v>
      </c>
      <c r="D19" s="3">
        <v>54</v>
      </c>
      <c r="E19" s="3">
        <f t="shared" si="0"/>
        <v>326.7</v>
      </c>
      <c r="H19" s="17">
        <v>17</v>
      </c>
      <c r="I19" s="2" t="s">
        <v>42</v>
      </c>
      <c r="L19" s="1">
        <f t="shared" si="1"/>
        <v>0</v>
      </c>
      <c r="N19" s="18"/>
      <c r="O19" s="17">
        <v>17</v>
      </c>
      <c r="P19" s="2" t="s">
        <v>7</v>
      </c>
      <c r="Q19" s="9">
        <v>11</v>
      </c>
      <c r="R19" s="3">
        <v>50</v>
      </c>
      <c r="S19" s="1">
        <f t="shared" si="2"/>
        <v>550</v>
      </c>
    </row>
    <row r="20" spans="1:19" x14ac:dyDescent="0.3">
      <c r="A20" s="17">
        <v>18</v>
      </c>
      <c r="B20" s="2" t="s">
        <v>67</v>
      </c>
      <c r="C20" s="9">
        <v>1.5</v>
      </c>
      <c r="D20" s="3">
        <v>54</v>
      </c>
      <c r="E20" s="1">
        <f t="shared" si="0"/>
        <v>81</v>
      </c>
      <c r="H20" s="17">
        <v>18</v>
      </c>
      <c r="I20" s="2" t="s">
        <v>49</v>
      </c>
      <c r="L20" s="1">
        <f t="shared" si="1"/>
        <v>0</v>
      </c>
      <c r="N20" s="18"/>
      <c r="O20" s="17">
        <v>18</v>
      </c>
      <c r="P20" s="2" t="s">
        <v>23</v>
      </c>
      <c r="Q20" s="9">
        <v>1.5</v>
      </c>
      <c r="R20" s="3">
        <v>56</v>
      </c>
      <c r="S20" s="1">
        <f t="shared" si="2"/>
        <v>84</v>
      </c>
    </row>
    <row r="21" spans="1:19" x14ac:dyDescent="0.3">
      <c r="A21" s="17">
        <v>19</v>
      </c>
      <c r="B21" s="2" t="s">
        <v>13</v>
      </c>
      <c r="C21" s="9">
        <v>8.5</v>
      </c>
      <c r="D21" s="3">
        <v>37</v>
      </c>
      <c r="E21" s="1">
        <f t="shared" si="0"/>
        <v>314.5</v>
      </c>
      <c r="H21" s="17">
        <v>19</v>
      </c>
      <c r="I21" s="2" t="s">
        <v>7</v>
      </c>
      <c r="J21" s="9">
        <v>8.5</v>
      </c>
      <c r="K21" s="3">
        <v>47</v>
      </c>
      <c r="L21" s="1">
        <f t="shared" si="1"/>
        <v>399.5</v>
      </c>
      <c r="N21" s="18"/>
      <c r="O21" s="17">
        <v>19</v>
      </c>
      <c r="P21" s="2" t="s">
        <v>13</v>
      </c>
      <c r="Q21" s="9">
        <f>111.5-25.5</f>
        <v>86</v>
      </c>
      <c r="R21" s="3">
        <v>37</v>
      </c>
      <c r="S21" s="1">
        <f t="shared" si="2"/>
        <v>3182</v>
      </c>
    </row>
    <row r="22" spans="1:19" x14ac:dyDescent="0.3">
      <c r="A22" s="17">
        <v>20</v>
      </c>
      <c r="B22" s="2" t="s">
        <v>38</v>
      </c>
      <c r="C22" s="9">
        <f>8.5+17</f>
        <v>25.5</v>
      </c>
      <c r="D22" s="3">
        <v>58</v>
      </c>
      <c r="E22" s="1">
        <f t="shared" si="0"/>
        <v>1479</v>
      </c>
      <c r="H22" s="17">
        <v>20</v>
      </c>
      <c r="I22" s="2" t="s">
        <v>67</v>
      </c>
      <c r="J22" s="9">
        <v>1.35</v>
      </c>
      <c r="K22" s="3">
        <v>54</v>
      </c>
      <c r="L22" s="1">
        <f t="shared" si="1"/>
        <v>72.900000000000006</v>
      </c>
      <c r="N22" s="18"/>
      <c r="O22" s="17">
        <v>20</v>
      </c>
      <c r="P22" s="2" t="s">
        <v>38</v>
      </c>
      <c r="Q22" s="9">
        <f>8.5+17</f>
        <v>25.5</v>
      </c>
      <c r="R22" s="3">
        <v>58</v>
      </c>
      <c r="S22" s="1">
        <f t="shared" si="2"/>
        <v>1479</v>
      </c>
    </row>
    <row r="23" spans="1:19" x14ac:dyDescent="0.3">
      <c r="A23" s="17">
        <v>21</v>
      </c>
      <c r="B23" s="2" t="s">
        <v>11</v>
      </c>
      <c r="C23" s="9">
        <v>29.1</v>
      </c>
      <c r="D23" s="3">
        <v>41</v>
      </c>
      <c r="E23" s="1">
        <f t="shared" si="0"/>
        <v>1193.1000000000001</v>
      </c>
      <c r="H23" s="17">
        <v>21</v>
      </c>
      <c r="I23" s="2" t="s">
        <v>27</v>
      </c>
      <c r="J23" s="9">
        <v>10</v>
      </c>
      <c r="K23" s="3">
        <v>22</v>
      </c>
      <c r="L23" s="3">
        <f t="shared" si="1"/>
        <v>220</v>
      </c>
      <c r="N23" s="18"/>
      <c r="O23" s="17">
        <v>21</v>
      </c>
      <c r="P23" s="2" t="s">
        <v>11</v>
      </c>
      <c r="Q23" s="9">
        <f>185-25.5</f>
        <v>159.5</v>
      </c>
      <c r="R23" s="3">
        <v>40</v>
      </c>
      <c r="S23" s="1">
        <f t="shared" si="2"/>
        <v>6380</v>
      </c>
    </row>
    <row r="24" spans="1:19" x14ac:dyDescent="0.3">
      <c r="A24" s="17">
        <v>22</v>
      </c>
      <c r="B24" s="2" t="s">
        <v>56</v>
      </c>
      <c r="C24" s="9">
        <v>23</v>
      </c>
      <c r="D24" s="3">
        <v>60</v>
      </c>
      <c r="E24" s="1">
        <f t="shared" si="0"/>
        <v>1380</v>
      </c>
      <c r="H24" s="17">
        <v>22</v>
      </c>
      <c r="I24" s="2" t="s">
        <v>13</v>
      </c>
      <c r="J24" s="9">
        <v>229.5</v>
      </c>
      <c r="K24" s="3">
        <v>37</v>
      </c>
      <c r="L24" s="1">
        <f t="shared" si="1"/>
        <v>8491.5</v>
      </c>
      <c r="N24" s="18"/>
      <c r="O24" s="17">
        <v>22</v>
      </c>
      <c r="P24" s="2" t="s">
        <v>56</v>
      </c>
      <c r="Q24" s="9">
        <v>23</v>
      </c>
      <c r="R24" s="3">
        <v>60</v>
      </c>
      <c r="S24" s="1">
        <f t="shared" si="2"/>
        <v>1380</v>
      </c>
    </row>
    <row r="25" spans="1:19" x14ac:dyDescent="0.3">
      <c r="A25" s="17">
        <v>23</v>
      </c>
      <c r="B25" s="2" t="s">
        <v>48</v>
      </c>
      <c r="C25" s="9">
        <v>12</v>
      </c>
      <c r="D25" s="3">
        <v>32</v>
      </c>
      <c r="E25" s="1">
        <f t="shared" si="0"/>
        <v>384</v>
      </c>
      <c r="H25" s="17">
        <v>23</v>
      </c>
      <c r="I25" s="2" t="s">
        <v>38</v>
      </c>
      <c r="L25" s="1">
        <f t="shared" si="1"/>
        <v>0</v>
      </c>
      <c r="N25" s="18"/>
      <c r="O25" s="17">
        <v>23</v>
      </c>
      <c r="P25" s="2" t="s">
        <v>48</v>
      </c>
      <c r="Q25" s="9">
        <f>28.5-2.4</f>
        <v>26.1</v>
      </c>
      <c r="R25" s="3">
        <v>32</v>
      </c>
      <c r="S25" s="1">
        <f t="shared" si="2"/>
        <v>835.2</v>
      </c>
    </row>
    <row r="26" spans="1:19" x14ac:dyDescent="0.3">
      <c r="A26" s="17">
        <v>24</v>
      </c>
      <c r="B26" s="2" t="s">
        <v>8</v>
      </c>
      <c r="C26" s="9">
        <v>8.35</v>
      </c>
      <c r="D26" s="3">
        <v>26</v>
      </c>
      <c r="E26" s="1">
        <f t="shared" si="0"/>
        <v>217.1</v>
      </c>
      <c r="H26" s="17">
        <v>24</v>
      </c>
      <c r="I26" s="2" t="s">
        <v>11</v>
      </c>
      <c r="J26" s="9">
        <v>44.5</v>
      </c>
      <c r="K26" s="3">
        <v>40</v>
      </c>
      <c r="L26" s="1">
        <f t="shared" si="1"/>
        <v>1780</v>
      </c>
      <c r="N26" s="18"/>
      <c r="O26" s="17">
        <v>24</v>
      </c>
      <c r="P26" s="2" t="s">
        <v>8</v>
      </c>
      <c r="Q26" s="9">
        <v>65</v>
      </c>
      <c r="R26" s="3">
        <v>26</v>
      </c>
      <c r="S26" s="1">
        <f t="shared" si="2"/>
        <v>1690</v>
      </c>
    </row>
    <row r="27" spans="1:19" x14ac:dyDescent="0.3">
      <c r="A27" s="17">
        <v>25</v>
      </c>
      <c r="B27" s="2" t="s">
        <v>65</v>
      </c>
      <c r="C27" s="9">
        <v>10</v>
      </c>
      <c r="D27" s="3">
        <v>12</v>
      </c>
      <c r="E27" s="3">
        <f t="shared" si="0"/>
        <v>120</v>
      </c>
      <c r="H27" s="17">
        <v>25</v>
      </c>
      <c r="I27" s="2" t="s">
        <v>56</v>
      </c>
      <c r="L27" s="1">
        <f t="shared" si="1"/>
        <v>0</v>
      </c>
      <c r="N27" s="18"/>
      <c r="O27" s="17">
        <v>25</v>
      </c>
      <c r="P27" s="2" t="s">
        <v>21</v>
      </c>
      <c r="Q27" s="9">
        <v>2.835</v>
      </c>
      <c r="R27" s="3">
        <v>122</v>
      </c>
      <c r="S27" s="1">
        <f t="shared" si="2"/>
        <v>345.87</v>
      </c>
    </row>
    <row r="28" spans="1:19" x14ac:dyDescent="0.3">
      <c r="A28" s="17">
        <v>26</v>
      </c>
      <c r="B28" s="2" t="s">
        <v>17</v>
      </c>
      <c r="C28" s="9">
        <v>27.22</v>
      </c>
      <c r="D28" s="3">
        <v>47</v>
      </c>
      <c r="E28" s="1">
        <f t="shared" si="0"/>
        <v>1279.3399999999999</v>
      </c>
      <c r="H28" s="17">
        <v>26</v>
      </c>
      <c r="I28" s="2" t="s">
        <v>48</v>
      </c>
      <c r="J28" s="9">
        <v>14.1</v>
      </c>
      <c r="K28" s="3">
        <v>32</v>
      </c>
      <c r="L28" s="1">
        <f t="shared" si="1"/>
        <v>451.2</v>
      </c>
      <c r="N28" s="18"/>
      <c r="O28" s="17">
        <v>26</v>
      </c>
      <c r="P28" s="2" t="s">
        <v>17</v>
      </c>
      <c r="Q28" s="9">
        <v>27.22</v>
      </c>
      <c r="R28" s="3">
        <v>47</v>
      </c>
      <c r="S28" s="1">
        <f t="shared" si="2"/>
        <v>1279.3399999999999</v>
      </c>
    </row>
    <row r="29" spans="1:19" x14ac:dyDescent="0.3">
      <c r="A29" s="17">
        <v>27</v>
      </c>
      <c r="B29" s="2" t="s">
        <v>50</v>
      </c>
      <c r="C29" s="9">
        <v>5.5</v>
      </c>
      <c r="D29" s="3">
        <v>54</v>
      </c>
      <c r="E29" s="1">
        <f t="shared" si="0"/>
        <v>297</v>
      </c>
      <c r="H29" s="17">
        <v>27</v>
      </c>
      <c r="I29" s="2" t="s">
        <v>8</v>
      </c>
      <c r="J29" s="9">
        <v>0.8</v>
      </c>
      <c r="K29" s="3">
        <v>26</v>
      </c>
      <c r="L29" s="1">
        <f t="shared" si="1"/>
        <v>20.8</v>
      </c>
      <c r="N29" s="18"/>
      <c r="O29" s="17">
        <v>27</v>
      </c>
      <c r="P29" s="2" t="s">
        <v>50</v>
      </c>
      <c r="Q29" s="9">
        <f>6.5+18-2.4</f>
        <v>22.1</v>
      </c>
      <c r="R29" s="3">
        <v>52</v>
      </c>
      <c r="S29" s="1">
        <f t="shared" si="2"/>
        <v>1149.2</v>
      </c>
    </row>
    <row r="30" spans="1:19" x14ac:dyDescent="0.3">
      <c r="A30" s="17">
        <v>28</v>
      </c>
      <c r="B30" s="2" t="s">
        <v>55</v>
      </c>
      <c r="C30" s="9">
        <v>64</v>
      </c>
      <c r="D30" s="3">
        <v>58</v>
      </c>
      <c r="E30" s="1">
        <f t="shared" si="0"/>
        <v>3712</v>
      </c>
      <c r="H30" s="17">
        <v>28</v>
      </c>
      <c r="I30" s="2" t="s">
        <v>65</v>
      </c>
      <c r="J30" s="9">
        <v>78.25</v>
      </c>
      <c r="K30" s="3">
        <v>12</v>
      </c>
      <c r="L30" s="3">
        <f t="shared" si="1"/>
        <v>939</v>
      </c>
      <c r="N30" s="18"/>
      <c r="O30" s="17">
        <v>28</v>
      </c>
      <c r="P30" s="2" t="s">
        <v>55</v>
      </c>
      <c r="Q30" s="9">
        <v>64</v>
      </c>
      <c r="R30" s="3">
        <v>58</v>
      </c>
      <c r="S30" s="1">
        <f t="shared" si="2"/>
        <v>3712</v>
      </c>
    </row>
    <row r="31" spans="1:19" x14ac:dyDescent="0.3">
      <c r="A31" s="17">
        <v>29</v>
      </c>
      <c r="B31" s="2" t="s">
        <v>57</v>
      </c>
      <c r="C31" s="9">
        <v>22.5</v>
      </c>
      <c r="D31" s="3">
        <v>46</v>
      </c>
      <c r="E31" s="1">
        <f t="shared" si="0"/>
        <v>1035</v>
      </c>
      <c r="H31" s="17">
        <v>29</v>
      </c>
      <c r="I31" s="2" t="s">
        <v>21</v>
      </c>
      <c r="L31" s="1">
        <f t="shared" si="1"/>
        <v>0</v>
      </c>
      <c r="N31" s="18"/>
      <c r="O31" s="17">
        <v>29</v>
      </c>
      <c r="P31" s="2" t="s">
        <v>57</v>
      </c>
      <c r="Q31" s="9">
        <v>22.5</v>
      </c>
      <c r="R31" s="3">
        <v>46</v>
      </c>
      <c r="S31" s="1">
        <f t="shared" si="2"/>
        <v>1035</v>
      </c>
    </row>
    <row r="32" spans="1:19" x14ac:dyDescent="0.3">
      <c r="A32" s="17">
        <v>30</v>
      </c>
      <c r="B32" s="2" t="s">
        <v>5</v>
      </c>
      <c r="C32" s="9">
        <v>12.35</v>
      </c>
      <c r="D32" s="3">
        <v>57</v>
      </c>
      <c r="E32" s="1">
        <f t="shared" si="0"/>
        <v>703.94999999999993</v>
      </c>
      <c r="H32" s="17">
        <v>30</v>
      </c>
      <c r="I32" s="2" t="s">
        <v>17</v>
      </c>
      <c r="L32" s="1">
        <f t="shared" si="1"/>
        <v>0</v>
      </c>
      <c r="N32" s="18"/>
      <c r="O32" s="17">
        <v>30</v>
      </c>
      <c r="P32" s="2" t="s">
        <v>5</v>
      </c>
      <c r="Q32" s="9">
        <v>22.5</v>
      </c>
      <c r="R32" s="3">
        <v>55</v>
      </c>
      <c r="S32" s="1">
        <f t="shared" si="2"/>
        <v>1237.5</v>
      </c>
    </row>
    <row r="33" spans="1:19" x14ac:dyDescent="0.3">
      <c r="A33" s="17">
        <v>31</v>
      </c>
      <c r="B33" s="2" t="s">
        <v>24</v>
      </c>
      <c r="C33" s="9">
        <v>11.5</v>
      </c>
      <c r="D33" s="3">
        <v>60</v>
      </c>
      <c r="E33" s="1">
        <f t="shared" si="0"/>
        <v>690</v>
      </c>
      <c r="H33" s="17">
        <v>31</v>
      </c>
      <c r="I33" s="2" t="s">
        <v>50</v>
      </c>
      <c r="J33" s="9">
        <v>13.5</v>
      </c>
      <c r="K33" s="3">
        <v>52</v>
      </c>
      <c r="L33" s="1">
        <f t="shared" si="1"/>
        <v>702</v>
      </c>
      <c r="N33" s="18"/>
      <c r="O33" s="17">
        <v>31</v>
      </c>
      <c r="P33" s="2" t="s">
        <v>24</v>
      </c>
      <c r="Q33" s="9">
        <v>10</v>
      </c>
      <c r="R33" s="3">
        <v>60</v>
      </c>
      <c r="S33" s="1">
        <f t="shared" si="2"/>
        <v>600</v>
      </c>
    </row>
    <row r="34" spans="1:19" x14ac:dyDescent="0.3">
      <c r="A34" s="17">
        <v>32</v>
      </c>
      <c r="B34" s="2" t="s">
        <v>33</v>
      </c>
      <c r="C34" s="9">
        <v>148</v>
      </c>
      <c r="D34" s="3">
        <v>28</v>
      </c>
      <c r="E34" s="1">
        <f t="shared" si="0"/>
        <v>4144</v>
      </c>
      <c r="H34" s="17">
        <v>32</v>
      </c>
      <c r="I34" s="2" t="s">
        <v>55</v>
      </c>
      <c r="J34" s="9">
        <v>64</v>
      </c>
      <c r="K34" s="3">
        <v>58</v>
      </c>
      <c r="L34" s="1">
        <f t="shared" si="1"/>
        <v>3712</v>
      </c>
      <c r="N34" s="18"/>
      <c r="O34" s="17">
        <v>32</v>
      </c>
      <c r="P34" s="2" t="s">
        <v>33</v>
      </c>
      <c r="Q34" s="9">
        <f>670-27.67+272.5+87+236</f>
        <v>1237.83</v>
      </c>
      <c r="R34" s="3">
        <v>28.5</v>
      </c>
      <c r="S34" s="1">
        <f t="shared" si="2"/>
        <v>35278.154999999999</v>
      </c>
    </row>
    <row r="35" spans="1:19" x14ac:dyDescent="0.3">
      <c r="A35" s="17">
        <v>33</v>
      </c>
      <c r="B35" s="2" t="s">
        <v>68</v>
      </c>
      <c r="E35" s="3">
        <f t="shared" si="0"/>
        <v>0</v>
      </c>
      <c r="H35" s="17">
        <v>33</v>
      </c>
      <c r="I35" s="2" t="s">
        <v>57</v>
      </c>
      <c r="J35" s="9">
        <v>22.5</v>
      </c>
      <c r="K35" s="3">
        <v>46</v>
      </c>
      <c r="L35" s="1">
        <f t="shared" ref="L35:L51" si="3">K35*J35</f>
        <v>1035</v>
      </c>
      <c r="N35" s="18"/>
      <c r="O35" s="17">
        <v>33</v>
      </c>
      <c r="P35" s="2" t="s">
        <v>53</v>
      </c>
      <c r="Q35" s="9">
        <v>1</v>
      </c>
      <c r="R35" s="3">
        <v>50</v>
      </c>
      <c r="S35" s="1">
        <f t="shared" si="2"/>
        <v>50</v>
      </c>
    </row>
    <row r="36" spans="1:19" x14ac:dyDescent="0.3">
      <c r="A36" s="17">
        <v>34</v>
      </c>
      <c r="B36" s="2" t="s">
        <v>12</v>
      </c>
      <c r="C36" s="9">
        <v>53</v>
      </c>
      <c r="D36" s="3">
        <v>44</v>
      </c>
      <c r="E36" s="1">
        <f t="shared" si="0"/>
        <v>2332</v>
      </c>
      <c r="H36" s="17">
        <v>34</v>
      </c>
      <c r="I36" s="2" t="s">
        <v>5</v>
      </c>
      <c r="J36" s="9">
        <v>27</v>
      </c>
      <c r="K36" s="3">
        <v>56</v>
      </c>
      <c r="L36" s="1">
        <f t="shared" si="3"/>
        <v>1512</v>
      </c>
      <c r="N36" s="18"/>
      <c r="O36" s="17">
        <v>34</v>
      </c>
      <c r="P36" s="2" t="s">
        <v>12</v>
      </c>
      <c r="Q36" s="9">
        <f>11.5+47.73</f>
        <v>59.23</v>
      </c>
      <c r="R36" s="3">
        <v>44</v>
      </c>
      <c r="S36" s="1">
        <f t="shared" si="2"/>
        <v>2606.12</v>
      </c>
    </row>
    <row r="37" spans="1:19" x14ac:dyDescent="0.3">
      <c r="A37" s="17">
        <v>35</v>
      </c>
      <c r="B37" s="2" t="s">
        <v>72</v>
      </c>
      <c r="C37" s="9">
        <v>4.8499999999999996</v>
      </c>
      <c r="D37" s="3">
        <v>60</v>
      </c>
      <c r="E37" s="1">
        <f t="shared" si="0"/>
        <v>291</v>
      </c>
      <c r="H37" s="17">
        <v>35</v>
      </c>
      <c r="I37" s="2" t="s">
        <v>24</v>
      </c>
      <c r="J37" s="9">
        <v>13.5</v>
      </c>
      <c r="K37" s="3">
        <v>58</v>
      </c>
      <c r="L37" s="1">
        <f t="shared" si="3"/>
        <v>783</v>
      </c>
      <c r="N37" s="18"/>
      <c r="O37" s="17">
        <v>35</v>
      </c>
      <c r="P37" s="2" t="s">
        <v>54</v>
      </c>
      <c r="Q37" s="9">
        <v>5</v>
      </c>
      <c r="R37" s="3">
        <v>42</v>
      </c>
      <c r="S37" s="1">
        <f t="shared" si="2"/>
        <v>210</v>
      </c>
    </row>
    <row r="38" spans="1:19" x14ac:dyDescent="0.3">
      <c r="A38" s="17">
        <v>36</v>
      </c>
      <c r="B38" s="2" t="s">
        <v>15</v>
      </c>
      <c r="C38" s="9">
        <v>2.5</v>
      </c>
      <c r="D38" s="3">
        <v>74</v>
      </c>
      <c r="E38" s="1">
        <f t="shared" si="0"/>
        <v>185</v>
      </c>
      <c r="H38" s="17">
        <v>36</v>
      </c>
      <c r="I38" s="2" t="s">
        <v>33</v>
      </c>
      <c r="J38" s="9">
        <v>626.32000000000005</v>
      </c>
      <c r="K38" s="3">
        <v>32</v>
      </c>
      <c r="L38" s="1">
        <f t="shared" si="3"/>
        <v>20042.240000000002</v>
      </c>
      <c r="N38" s="18"/>
      <c r="O38" s="17">
        <v>36</v>
      </c>
      <c r="P38" s="2" t="s">
        <v>15</v>
      </c>
      <c r="Q38" s="9">
        <v>15.5</v>
      </c>
      <c r="R38" s="3">
        <v>72</v>
      </c>
      <c r="S38" s="1">
        <f t="shared" si="2"/>
        <v>1116</v>
      </c>
    </row>
    <row r="39" spans="1:19" x14ac:dyDescent="0.3">
      <c r="A39" s="17">
        <v>37</v>
      </c>
      <c r="B39" s="2" t="s">
        <v>58</v>
      </c>
      <c r="C39" s="9">
        <v>6</v>
      </c>
      <c r="D39" s="3">
        <v>14</v>
      </c>
      <c r="E39" s="1">
        <f t="shared" si="0"/>
        <v>84</v>
      </c>
      <c r="H39" s="17">
        <v>37</v>
      </c>
      <c r="I39" s="2" t="s">
        <v>68</v>
      </c>
      <c r="J39" s="9">
        <f>8.5+17</f>
        <v>25.5</v>
      </c>
      <c r="K39" s="3">
        <v>58</v>
      </c>
      <c r="L39" s="3">
        <f t="shared" si="3"/>
        <v>1479</v>
      </c>
      <c r="N39" s="18"/>
      <c r="O39" s="17">
        <v>37</v>
      </c>
      <c r="P39" s="2" t="s">
        <v>58</v>
      </c>
      <c r="Q39" s="9">
        <v>6</v>
      </c>
      <c r="R39" s="3">
        <v>14</v>
      </c>
      <c r="S39" s="1">
        <f t="shared" si="2"/>
        <v>84</v>
      </c>
    </row>
    <row r="40" spans="1:19" x14ac:dyDescent="0.3">
      <c r="A40" s="17">
        <v>38</v>
      </c>
      <c r="B40" s="2" t="s">
        <v>60</v>
      </c>
      <c r="C40" s="9">
        <v>4</v>
      </c>
      <c r="D40" s="3">
        <v>8</v>
      </c>
      <c r="E40" s="1">
        <f t="shared" si="0"/>
        <v>32</v>
      </c>
      <c r="H40" s="17">
        <v>38</v>
      </c>
      <c r="I40" s="19" t="s">
        <v>69</v>
      </c>
      <c r="J40" s="9">
        <v>23</v>
      </c>
      <c r="K40" s="3">
        <v>60</v>
      </c>
      <c r="L40" s="3">
        <f t="shared" si="3"/>
        <v>1380</v>
      </c>
      <c r="N40" s="18"/>
      <c r="O40" s="17">
        <v>38</v>
      </c>
      <c r="P40" s="2" t="s">
        <v>60</v>
      </c>
      <c r="Q40" s="9">
        <v>5</v>
      </c>
      <c r="R40" s="3">
        <v>8</v>
      </c>
      <c r="S40" s="1">
        <f t="shared" si="2"/>
        <v>40</v>
      </c>
    </row>
    <row r="41" spans="1:19" x14ac:dyDescent="0.3">
      <c r="A41" s="17">
        <v>39</v>
      </c>
      <c r="B41" s="2" t="s">
        <v>31</v>
      </c>
      <c r="C41" s="9">
        <v>1</v>
      </c>
      <c r="D41" s="3">
        <v>10</v>
      </c>
      <c r="E41" s="1">
        <f t="shared" si="0"/>
        <v>10</v>
      </c>
      <c r="H41" s="17">
        <v>39</v>
      </c>
      <c r="I41" s="2" t="s">
        <v>53</v>
      </c>
      <c r="L41" s="1">
        <f t="shared" si="3"/>
        <v>0</v>
      </c>
      <c r="N41" s="18"/>
      <c r="O41" s="17">
        <v>39</v>
      </c>
      <c r="P41" s="2" t="s">
        <v>31</v>
      </c>
      <c r="Q41" s="9">
        <v>1</v>
      </c>
      <c r="R41" s="3">
        <v>10</v>
      </c>
      <c r="S41" s="1">
        <f t="shared" si="2"/>
        <v>10</v>
      </c>
    </row>
    <row r="42" spans="1:19" x14ac:dyDescent="0.3">
      <c r="A42" s="17">
        <v>40</v>
      </c>
      <c r="B42" s="2" t="s">
        <v>63</v>
      </c>
      <c r="C42" s="9">
        <v>1</v>
      </c>
      <c r="D42" s="3">
        <v>740</v>
      </c>
      <c r="E42" s="1">
        <f t="shared" si="0"/>
        <v>740</v>
      </c>
      <c r="H42" s="17">
        <v>40</v>
      </c>
      <c r="I42" s="2" t="s">
        <v>12</v>
      </c>
      <c r="J42" s="9">
        <v>47.5</v>
      </c>
      <c r="K42" s="3">
        <v>44</v>
      </c>
      <c r="L42" s="1">
        <f t="shared" si="3"/>
        <v>2090</v>
      </c>
      <c r="N42" s="18"/>
      <c r="O42" s="17">
        <v>40</v>
      </c>
      <c r="P42" s="2" t="s">
        <v>0</v>
      </c>
      <c r="Q42" s="9">
        <v>4</v>
      </c>
      <c r="R42" s="3">
        <v>80</v>
      </c>
      <c r="S42" s="1">
        <f t="shared" si="2"/>
        <v>320</v>
      </c>
    </row>
    <row r="43" spans="1:19" x14ac:dyDescent="0.3">
      <c r="A43" s="17">
        <v>41</v>
      </c>
      <c r="B43" s="2" t="s">
        <v>64</v>
      </c>
      <c r="C43" s="9">
        <v>11</v>
      </c>
      <c r="D43" s="3">
        <v>74</v>
      </c>
      <c r="E43" s="1">
        <f t="shared" si="0"/>
        <v>814</v>
      </c>
      <c r="H43" s="17">
        <v>41</v>
      </c>
      <c r="I43" s="2" t="s">
        <v>54</v>
      </c>
      <c r="L43" s="1">
        <f t="shared" si="3"/>
        <v>0</v>
      </c>
      <c r="N43" s="18"/>
      <c r="O43" s="17">
        <v>41</v>
      </c>
      <c r="P43" s="2" t="s">
        <v>16</v>
      </c>
      <c r="Q43" s="9">
        <v>2</v>
      </c>
      <c r="R43" s="3">
        <v>740</v>
      </c>
      <c r="S43" s="1">
        <f t="shared" si="2"/>
        <v>1480</v>
      </c>
    </row>
    <row r="44" spans="1:19" x14ac:dyDescent="0.3">
      <c r="A44" s="17">
        <v>42</v>
      </c>
      <c r="B44" s="2" t="s">
        <v>59</v>
      </c>
      <c r="C44" s="9">
        <v>3.2250000000000001</v>
      </c>
      <c r="D44" s="3">
        <v>70</v>
      </c>
      <c r="E44" s="1">
        <f t="shared" si="0"/>
        <v>225.75</v>
      </c>
      <c r="H44" s="17">
        <v>42</v>
      </c>
      <c r="I44" s="2" t="s">
        <v>15</v>
      </c>
      <c r="J44" s="9">
        <v>6.35</v>
      </c>
      <c r="K44" s="3">
        <v>72</v>
      </c>
      <c r="L44" s="1">
        <f t="shared" si="3"/>
        <v>457.2</v>
      </c>
      <c r="N44" s="18"/>
      <c r="O44" s="17">
        <v>42</v>
      </c>
      <c r="P44" s="2" t="s">
        <v>59</v>
      </c>
      <c r="Q44" s="9">
        <v>2.4700000000000002</v>
      </c>
      <c r="R44" s="3">
        <v>76</v>
      </c>
      <c r="S44" s="1">
        <f t="shared" si="2"/>
        <v>187.72000000000003</v>
      </c>
    </row>
    <row r="45" spans="1:19" ht="19.5" thickBot="1" x14ac:dyDescent="0.35">
      <c r="E45" s="3">
        <f t="shared" si="0"/>
        <v>0</v>
      </c>
      <c r="H45" s="17">
        <v>43</v>
      </c>
      <c r="I45" s="2" t="s">
        <v>58</v>
      </c>
      <c r="J45" s="9">
        <v>6</v>
      </c>
      <c r="K45" s="3">
        <v>14</v>
      </c>
      <c r="L45" s="1">
        <f t="shared" si="3"/>
        <v>84</v>
      </c>
      <c r="N45" s="18"/>
      <c r="O45" s="17">
        <v>43</v>
      </c>
      <c r="P45" s="2" t="s">
        <v>30</v>
      </c>
      <c r="Q45" s="9">
        <v>10</v>
      </c>
      <c r="R45" s="3">
        <v>27</v>
      </c>
      <c r="S45" s="1">
        <f t="shared" si="2"/>
        <v>270</v>
      </c>
    </row>
    <row r="46" spans="1:19" ht="19.5" thickBot="1" x14ac:dyDescent="0.35">
      <c r="D46" s="30" t="s">
        <v>40</v>
      </c>
      <c r="E46" s="31">
        <f>SUM(E3:E45)</f>
        <v>112018.27</v>
      </c>
      <c r="H46" s="17">
        <v>44</v>
      </c>
      <c r="I46" s="2" t="s">
        <v>60</v>
      </c>
      <c r="J46" s="9">
        <v>4</v>
      </c>
      <c r="K46" s="3">
        <v>8</v>
      </c>
      <c r="L46" s="1">
        <f t="shared" si="3"/>
        <v>32</v>
      </c>
      <c r="N46" s="18"/>
      <c r="S46" s="1">
        <f t="shared" ref="S46" si="4">R46*Q46</f>
        <v>0</v>
      </c>
    </row>
    <row r="47" spans="1:19" ht="19.5" thickBot="1" x14ac:dyDescent="0.35">
      <c r="E47" s="28"/>
      <c r="H47" s="17">
        <v>45</v>
      </c>
      <c r="I47" s="2" t="s">
        <v>31</v>
      </c>
      <c r="J47" s="9">
        <v>1</v>
      </c>
      <c r="K47" s="3">
        <v>10</v>
      </c>
      <c r="L47" s="1">
        <f t="shared" si="3"/>
        <v>10</v>
      </c>
      <c r="N47" s="18"/>
      <c r="R47" s="7" t="s">
        <v>40</v>
      </c>
      <c r="S47" s="6">
        <f>SUM(S5:S46)</f>
        <v>188720.70499999999</v>
      </c>
    </row>
    <row r="48" spans="1:19" ht="19.5" thickTop="1" x14ac:dyDescent="0.3">
      <c r="E48" s="16"/>
      <c r="H48" s="17">
        <v>46</v>
      </c>
      <c r="I48" s="2" t="s">
        <v>63</v>
      </c>
      <c r="J48" s="9">
        <v>1</v>
      </c>
      <c r="K48" s="3">
        <v>740</v>
      </c>
      <c r="L48" s="1">
        <f t="shared" si="3"/>
        <v>740</v>
      </c>
      <c r="S48" s="1"/>
    </row>
    <row r="49" spans="2:12" x14ac:dyDescent="0.3">
      <c r="E49" s="28"/>
      <c r="H49" s="17">
        <v>47</v>
      </c>
      <c r="I49" s="2" t="s">
        <v>64</v>
      </c>
      <c r="J49" s="9">
        <v>6</v>
      </c>
      <c r="K49" s="3">
        <v>80</v>
      </c>
      <c r="L49" s="1">
        <f t="shared" si="3"/>
        <v>480</v>
      </c>
    </row>
    <row r="50" spans="2:12" x14ac:dyDescent="0.3">
      <c r="B50" s="19"/>
      <c r="E50" s="16"/>
      <c r="H50" s="17">
        <v>48</v>
      </c>
      <c r="I50" s="2" t="s">
        <v>59</v>
      </c>
      <c r="L50" s="1">
        <f t="shared" si="3"/>
        <v>0</v>
      </c>
    </row>
    <row r="51" spans="2:12" x14ac:dyDescent="0.3">
      <c r="E51" s="28"/>
      <c r="H51" s="17">
        <v>49</v>
      </c>
      <c r="I51" s="2" t="s">
        <v>30</v>
      </c>
      <c r="J51" s="9">
        <v>3</v>
      </c>
      <c r="K51" s="3">
        <v>27</v>
      </c>
      <c r="L51" s="1">
        <f t="shared" si="3"/>
        <v>81</v>
      </c>
    </row>
    <row r="52" spans="2:12" x14ac:dyDescent="0.3">
      <c r="E52" s="28"/>
      <c r="L52" s="3">
        <f t="shared" ref="L52" si="5">K52*J52</f>
        <v>0</v>
      </c>
    </row>
    <row r="53" spans="2:12" ht="19.5" thickBot="1" x14ac:dyDescent="0.35">
      <c r="E53" s="16"/>
      <c r="K53" s="7" t="s">
        <v>40</v>
      </c>
      <c r="L53" s="6">
        <f>SUM(L5:L46)</f>
        <v>103630.44</v>
      </c>
    </row>
    <row r="54" spans="2:12" ht="19.5" thickTop="1" x14ac:dyDescent="0.3">
      <c r="E54" s="16"/>
    </row>
    <row r="55" spans="2:12" x14ac:dyDescent="0.3">
      <c r="E55" s="16"/>
    </row>
    <row r="56" spans="2:12" x14ac:dyDescent="0.3">
      <c r="E56" s="29"/>
    </row>
  </sheetData>
  <sortState ref="B3:E52">
    <sortCondition ref="B3:B52"/>
  </sortState>
  <pageMargins left="0.70866141732283472" right="0.70866141732283472" top="0.74803149606299213" bottom="0.15748031496062992" header="0.31496062992125984" footer="0.31496062992125984"/>
  <pageSetup scale="7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2:X61"/>
  <sheetViews>
    <sheetView topLeftCell="A25" workbookViewId="0">
      <selection activeCell="D38" sqref="D38"/>
    </sheetView>
  </sheetViews>
  <sheetFormatPr baseColWidth="10" defaultRowHeight="18.75" x14ac:dyDescent="0.3"/>
  <cols>
    <col min="1" max="1" width="11.42578125" style="17"/>
    <col min="2" max="2" width="19.42578125" style="2" bestFit="1" customWidth="1"/>
    <col min="3" max="3" width="11.28515625" style="34" bestFit="1" customWidth="1"/>
    <col min="4" max="4" width="12.28515625" style="3" bestFit="1" customWidth="1"/>
    <col min="5" max="5" width="18.5703125" style="2" customWidth="1"/>
    <col min="7" max="7" width="11.42578125" style="17"/>
    <col min="8" max="8" width="19.42578125" style="2" bestFit="1" customWidth="1"/>
    <col min="9" max="9" width="11.28515625" style="34" bestFit="1" customWidth="1"/>
    <col min="10" max="10" width="12.28515625" style="3" bestFit="1" customWidth="1"/>
    <col min="11" max="11" width="18.5703125" style="2" customWidth="1"/>
    <col min="14" max="14" width="11.42578125" style="17"/>
    <col min="15" max="15" width="19.42578125" style="2" bestFit="1" customWidth="1"/>
    <col min="16" max="16" width="11.28515625" style="9" bestFit="1" customWidth="1"/>
    <col min="17" max="17" width="12.28515625" style="3" bestFit="1" customWidth="1"/>
    <col min="18" max="18" width="18.5703125" style="2" customWidth="1"/>
    <col min="20" max="20" width="11.42578125" style="17"/>
    <col min="21" max="21" width="19.42578125" style="2" bestFit="1" customWidth="1"/>
    <col min="22" max="22" width="11.28515625" style="9" bestFit="1" customWidth="1"/>
    <col min="23" max="23" width="12.28515625" style="3" bestFit="1" customWidth="1"/>
    <col min="24" max="24" width="18.5703125" style="2" customWidth="1"/>
  </cols>
  <sheetData>
    <row r="2" spans="1:24" ht="19.5" thickBot="1" x14ac:dyDescent="0.35">
      <c r="B2" s="24" t="s">
        <v>85</v>
      </c>
      <c r="C2" s="32"/>
      <c r="D2" s="26"/>
      <c r="E2" s="27"/>
      <c r="H2" s="24" t="s">
        <v>82</v>
      </c>
      <c r="I2" s="32"/>
      <c r="J2" s="26"/>
      <c r="K2" s="27"/>
      <c r="O2" s="24" t="s">
        <v>79</v>
      </c>
      <c r="P2" s="25"/>
      <c r="Q2" s="26"/>
      <c r="R2" s="27"/>
      <c r="U2" s="24" t="s">
        <v>74</v>
      </c>
      <c r="V2" s="25"/>
      <c r="W2" s="26"/>
      <c r="X2" s="27"/>
    </row>
    <row r="3" spans="1:24" ht="19.5" thickTop="1" x14ac:dyDescent="0.3">
      <c r="A3" s="17">
        <v>1</v>
      </c>
      <c r="B3" s="14" t="s">
        <v>51</v>
      </c>
      <c r="C3" s="33">
        <v>25.1</v>
      </c>
      <c r="D3" s="16">
        <v>38</v>
      </c>
      <c r="E3" s="1">
        <f t="shared" ref="E3:E34" si="0">D3*C3</f>
        <v>953.80000000000007</v>
      </c>
      <c r="G3" s="17">
        <v>1</v>
      </c>
      <c r="H3" s="14" t="s">
        <v>51</v>
      </c>
      <c r="I3" s="33"/>
      <c r="J3" s="16"/>
      <c r="K3" s="1">
        <f t="shared" ref="K3:K48" si="1">J3*I3</f>
        <v>0</v>
      </c>
      <c r="N3" s="17">
        <v>1</v>
      </c>
      <c r="O3" s="14" t="s">
        <v>51</v>
      </c>
      <c r="P3" s="15"/>
      <c r="Q3" s="16"/>
      <c r="R3" s="1">
        <f t="shared" ref="R3:R46" si="2">Q3*P3</f>
        <v>0</v>
      </c>
      <c r="T3" s="17">
        <v>1</v>
      </c>
      <c r="U3" s="14" t="s">
        <v>51</v>
      </c>
      <c r="V3" s="15">
        <v>27.5</v>
      </c>
      <c r="W3" s="16">
        <v>38</v>
      </c>
      <c r="X3" s="1">
        <f t="shared" ref="X3:X46" si="3">W3*V3</f>
        <v>1045</v>
      </c>
    </row>
    <row r="4" spans="1:24" x14ac:dyDescent="0.3">
      <c r="A4" s="17">
        <v>2</v>
      </c>
      <c r="B4" s="2" t="s">
        <v>91</v>
      </c>
      <c r="C4" s="34">
        <v>3.2</v>
      </c>
      <c r="D4" s="3">
        <v>62</v>
      </c>
      <c r="E4" s="3">
        <f t="shared" si="0"/>
        <v>198.4</v>
      </c>
      <c r="G4" s="17">
        <v>2</v>
      </c>
      <c r="H4" s="14" t="s">
        <v>22</v>
      </c>
      <c r="I4" s="33">
        <v>4.5</v>
      </c>
      <c r="J4" s="16">
        <v>54</v>
      </c>
      <c r="K4" s="1">
        <f t="shared" si="1"/>
        <v>243</v>
      </c>
      <c r="N4" s="17">
        <v>2</v>
      </c>
      <c r="O4" s="14" t="s">
        <v>22</v>
      </c>
      <c r="P4" s="15">
        <v>7.5</v>
      </c>
      <c r="Q4" s="16">
        <v>54</v>
      </c>
      <c r="R4" s="1">
        <f t="shared" si="2"/>
        <v>405</v>
      </c>
      <c r="T4" s="17">
        <v>2</v>
      </c>
      <c r="U4" s="14" t="s">
        <v>22</v>
      </c>
      <c r="V4" s="15">
        <v>12</v>
      </c>
      <c r="W4" s="16">
        <v>50</v>
      </c>
      <c r="X4" s="1">
        <f t="shared" si="3"/>
        <v>600</v>
      </c>
    </row>
    <row r="5" spans="1:24" x14ac:dyDescent="0.3">
      <c r="A5" s="17">
        <v>3</v>
      </c>
      <c r="B5" s="14" t="s">
        <v>22</v>
      </c>
      <c r="C5" s="33">
        <v>4.5</v>
      </c>
      <c r="D5" s="16">
        <v>54</v>
      </c>
      <c r="E5" s="1">
        <f t="shared" si="0"/>
        <v>243</v>
      </c>
      <c r="G5" s="17">
        <v>3</v>
      </c>
      <c r="H5" s="2" t="s">
        <v>44</v>
      </c>
      <c r="I5" s="34">
        <v>21.6</v>
      </c>
      <c r="J5" s="3">
        <v>19</v>
      </c>
      <c r="K5" s="1">
        <f t="shared" si="1"/>
        <v>410.40000000000003</v>
      </c>
      <c r="N5" s="17">
        <v>3</v>
      </c>
      <c r="O5" s="2" t="s">
        <v>44</v>
      </c>
      <c r="R5" s="1">
        <f t="shared" si="2"/>
        <v>0</v>
      </c>
      <c r="T5" s="17">
        <v>3</v>
      </c>
      <c r="U5" s="2" t="s">
        <v>44</v>
      </c>
      <c r="V5" s="9">
        <v>43.55</v>
      </c>
      <c r="W5" s="3">
        <v>19</v>
      </c>
      <c r="X5" s="1">
        <f t="shared" si="3"/>
        <v>827.44999999999993</v>
      </c>
    </row>
    <row r="6" spans="1:24" x14ac:dyDescent="0.3">
      <c r="A6" s="17">
        <v>4</v>
      </c>
      <c r="B6" s="2" t="s">
        <v>44</v>
      </c>
      <c r="C6" s="34">
        <v>17</v>
      </c>
      <c r="D6" s="3">
        <v>19</v>
      </c>
      <c r="E6" s="1">
        <f t="shared" si="0"/>
        <v>323</v>
      </c>
      <c r="G6" s="17">
        <v>4</v>
      </c>
      <c r="H6" s="2" t="s">
        <v>62</v>
      </c>
      <c r="I6" s="34">
        <v>206.4</v>
      </c>
      <c r="J6" s="3">
        <v>43</v>
      </c>
      <c r="K6" s="1">
        <f t="shared" si="1"/>
        <v>8875.2000000000007</v>
      </c>
      <c r="N6" s="17">
        <v>4</v>
      </c>
      <c r="O6" s="2" t="s">
        <v>62</v>
      </c>
      <c r="P6" s="9">
        <v>178.6</v>
      </c>
      <c r="Q6" s="3">
        <v>45</v>
      </c>
      <c r="R6" s="1">
        <f t="shared" si="2"/>
        <v>8037</v>
      </c>
      <c r="T6" s="17">
        <v>4</v>
      </c>
      <c r="U6" s="2" t="s">
        <v>62</v>
      </c>
      <c r="V6" s="9">
        <f>49.5+69.5</f>
        <v>119</v>
      </c>
      <c r="W6" s="3">
        <v>46</v>
      </c>
      <c r="X6" s="1">
        <f t="shared" si="3"/>
        <v>5474</v>
      </c>
    </row>
    <row r="7" spans="1:24" x14ac:dyDescent="0.3">
      <c r="A7" s="17">
        <v>5</v>
      </c>
      <c r="B7" s="2" t="s">
        <v>89</v>
      </c>
      <c r="C7" s="34">
        <v>124.2</v>
      </c>
      <c r="D7" s="3">
        <v>42</v>
      </c>
      <c r="E7" s="1">
        <f t="shared" si="0"/>
        <v>5216.4000000000005</v>
      </c>
      <c r="G7" s="17">
        <v>5</v>
      </c>
      <c r="H7" s="2" t="s">
        <v>18</v>
      </c>
      <c r="K7" s="1">
        <f t="shared" si="1"/>
        <v>0</v>
      </c>
      <c r="N7" s="17">
        <v>5</v>
      </c>
      <c r="O7" s="2" t="s">
        <v>18</v>
      </c>
      <c r="R7" s="1">
        <f t="shared" si="2"/>
        <v>0</v>
      </c>
      <c r="T7" s="17">
        <v>5</v>
      </c>
      <c r="U7" s="2" t="s">
        <v>18</v>
      </c>
      <c r="X7" s="1">
        <f t="shared" si="3"/>
        <v>0</v>
      </c>
    </row>
    <row r="8" spans="1:24" x14ac:dyDescent="0.3">
      <c r="A8" s="17">
        <v>6</v>
      </c>
      <c r="B8" s="2" t="s">
        <v>90</v>
      </c>
      <c r="C8" s="34">
        <v>50</v>
      </c>
      <c r="D8" s="3">
        <v>43</v>
      </c>
      <c r="E8" s="1">
        <f t="shared" si="0"/>
        <v>2150</v>
      </c>
      <c r="G8" s="17">
        <v>6</v>
      </c>
      <c r="H8" s="2" t="s">
        <v>20</v>
      </c>
      <c r="I8" s="34">
        <v>28</v>
      </c>
      <c r="J8" s="3">
        <v>80</v>
      </c>
      <c r="K8" s="1">
        <f t="shared" si="1"/>
        <v>2240</v>
      </c>
      <c r="N8" s="17">
        <v>6</v>
      </c>
      <c r="O8" s="2" t="s">
        <v>20</v>
      </c>
      <c r="R8" s="1">
        <f t="shared" si="2"/>
        <v>0</v>
      </c>
      <c r="T8" s="17">
        <v>6</v>
      </c>
      <c r="U8" s="2" t="s">
        <v>20</v>
      </c>
      <c r="V8" s="9">
        <v>21</v>
      </c>
      <c r="W8" s="3">
        <v>80</v>
      </c>
      <c r="X8" s="1">
        <f t="shared" si="3"/>
        <v>1680</v>
      </c>
    </row>
    <row r="9" spans="1:24" x14ac:dyDescent="0.3">
      <c r="A9" s="17">
        <v>7</v>
      </c>
      <c r="B9" s="2" t="s">
        <v>20</v>
      </c>
      <c r="C9" s="34">
        <v>23.5</v>
      </c>
      <c r="D9" s="3">
        <v>80</v>
      </c>
      <c r="E9" s="1">
        <f t="shared" si="0"/>
        <v>1880</v>
      </c>
      <c r="G9" s="17">
        <v>7</v>
      </c>
      <c r="H9" s="2" t="s">
        <v>45</v>
      </c>
      <c r="I9" s="34">
        <v>2.2949999999999999</v>
      </c>
      <c r="J9" s="3">
        <v>62</v>
      </c>
      <c r="K9" s="1">
        <f t="shared" si="1"/>
        <v>142.29</v>
      </c>
      <c r="N9" s="17">
        <v>7</v>
      </c>
      <c r="O9" s="2" t="s">
        <v>45</v>
      </c>
      <c r="P9" s="9">
        <v>2.3250000000000002</v>
      </c>
      <c r="Q9" s="3">
        <v>60</v>
      </c>
      <c r="R9" s="1">
        <f t="shared" si="2"/>
        <v>139.5</v>
      </c>
      <c r="T9" s="17">
        <v>7</v>
      </c>
      <c r="U9" s="2" t="s">
        <v>45</v>
      </c>
      <c r="V9" s="9">
        <v>6.4</v>
      </c>
      <c r="W9" s="3">
        <v>62</v>
      </c>
      <c r="X9" s="1">
        <f t="shared" si="3"/>
        <v>396.8</v>
      </c>
    </row>
    <row r="10" spans="1:24" x14ac:dyDescent="0.3">
      <c r="A10" s="17">
        <v>8</v>
      </c>
      <c r="B10" s="2" t="s">
        <v>45</v>
      </c>
      <c r="E10" s="1">
        <f t="shared" si="0"/>
        <v>0</v>
      </c>
      <c r="G10" s="17">
        <v>8</v>
      </c>
      <c r="H10" s="2" t="s">
        <v>9</v>
      </c>
      <c r="I10" s="34">
        <f>129.5+196.5+0.8</f>
        <v>326.8</v>
      </c>
      <c r="J10" s="3">
        <v>18</v>
      </c>
      <c r="K10" s="1">
        <f t="shared" si="1"/>
        <v>5882.4000000000005</v>
      </c>
      <c r="N10" s="17">
        <v>8</v>
      </c>
      <c r="O10" s="2" t="s">
        <v>9</v>
      </c>
      <c r="P10" s="9">
        <f>257+200</f>
        <v>457</v>
      </c>
      <c r="Q10" s="3">
        <v>18</v>
      </c>
      <c r="R10" s="1">
        <f t="shared" si="2"/>
        <v>8226</v>
      </c>
      <c r="T10" s="17">
        <v>8</v>
      </c>
      <c r="U10" s="2" t="s">
        <v>9</v>
      </c>
      <c r="V10" s="9">
        <f>194.5+324</f>
        <v>518.5</v>
      </c>
      <c r="W10" s="3">
        <v>20</v>
      </c>
      <c r="X10" s="1">
        <f t="shared" si="3"/>
        <v>10370</v>
      </c>
    </row>
    <row r="11" spans="1:24" x14ac:dyDescent="0.3">
      <c r="A11" s="17">
        <v>9</v>
      </c>
      <c r="B11" s="2" t="s">
        <v>9</v>
      </c>
      <c r="C11" s="34">
        <f>10.5+136.5-26+5.5</f>
        <v>126.5</v>
      </c>
      <c r="D11" s="3">
        <v>20</v>
      </c>
      <c r="E11" s="1">
        <f t="shared" si="0"/>
        <v>2530</v>
      </c>
      <c r="G11" s="17">
        <v>9</v>
      </c>
      <c r="H11" s="2" t="s">
        <v>4</v>
      </c>
      <c r="I11" s="34">
        <f>920.8</f>
        <v>920.8</v>
      </c>
      <c r="J11" s="3">
        <v>25.5</v>
      </c>
      <c r="K11" s="1">
        <f t="shared" si="1"/>
        <v>23480.399999999998</v>
      </c>
      <c r="N11" s="17">
        <v>9</v>
      </c>
      <c r="O11" s="2" t="s">
        <v>4</v>
      </c>
      <c r="P11" s="9">
        <f>892.5+943.31</f>
        <v>1835.81</v>
      </c>
      <c r="Q11" s="3">
        <v>25.5</v>
      </c>
      <c r="R11" s="1">
        <f t="shared" si="2"/>
        <v>46813.154999999999</v>
      </c>
      <c r="T11" s="17">
        <v>9</v>
      </c>
      <c r="U11" s="2" t="s">
        <v>4</v>
      </c>
      <c r="V11" s="9">
        <v>792.29</v>
      </c>
      <c r="W11" s="3">
        <v>26.5</v>
      </c>
      <c r="X11" s="1">
        <f t="shared" si="3"/>
        <v>20995.684999999998</v>
      </c>
    </row>
    <row r="12" spans="1:24" x14ac:dyDescent="0.3">
      <c r="A12" s="17">
        <v>10</v>
      </c>
      <c r="B12" s="2" t="s">
        <v>4</v>
      </c>
      <c r="C12" s="34">
        <v>902.04</v>
      </c>
      <c r="D12" s="3">
        <v>28.5</v>
      </c>
      <c r="E12" s="1">
        <f t="shared" si="0"/>
        <v>25708.14</v>
      </c>
      <c r="G12" s="17">
        <v>10</v>
      </c>
      <c r="H12" s="2" t="s">
        <v>35</v>
      </c>
      <c r="I12" s="34">
        <v>3</v>
      </c>
      <c r="J12" s="3">
        <v>14</v>
      </c>
      <c r="K12" s="1">
        <f t="shared" si="1"/>
        <v>42</v>
      </c>
      <c r="N12" s="17">
        <v>10</v>
      </c>
      <c r="O12" s="2" t="s">
        <v>35</v>
      </c>
      <c r="P12" s="9">
        <v>3</v>
      </c>
      <c r="Q12" s="3">
        <v>14</v>
      </c>
      <c r="R12" s="1">
        <f t="shared" si="2"/>
        <v>42</v>
      </c>
      <c r="T12" s="17">
        <v>10</v>
      </c>
      <c r="U12" s="2" t="s">
        <v>35</v>
      </c>
      <c r="V12" s="9">
        <v>4</v>
      </c>
      <c r="W12" s="3">
        <v>14</v>
      </c>
      <c r="X12" s="1">
        <f t="shared" si="3"/>
        <v>56</v>
      </c>
    </row>
    <row r="13" spans="1:24" x14ac:dyDescent="0.3">
      <c r="A13" s="17">
        <v>11</v>
      </c>
      <c r="B13" s="2" t="s">
        <v>35</v>
      </c>
      <c r="C13" s="34">
        <v>3</v>
      </c>
      <c r="D13" s="3">
        <v>14</v>
      </c>
      <c r="E13" s="1">
        <f t="shared" si="0"/>
        <v>42</v>
      </c>
      <c r="G13" s="17">
        <v>11</v>
      </c>
      <c r="H13" s="2" t="s">
        <v>1</v>
      </c>
      <c r="I13" s="34">
        <v>28.7</v>
      </c>
      <c r="J13" s="3">
        <v>96</v>
      </c>
      <c r="K13" s="1">
        <f t="shared" si="1"/>
        <v>2755.2</v>
      </c>
      <c r="N13" s="17">
        <v>11</v>
      </c>
      <c r="O13" s="2" t="s">
        <v>1</v>
      </c>
      <c r="P13" s="9">
        <f>32.6+33.7</f>
        <v>66.300000000000011</v>
      </c>
      <c r="Q13" s="3">
        <v>96</v>
      </c>
      <c r="R13" s="1">
        <f t="shared" si="2"/>
        <v>6364.8000000000011</v>
      </c>
      <c r="T13" s="17">
        <v>11</v>
      </c>
      <c r="U13" s="2" t="s">
        <v>1</v>
      </c>
      <c r="V13" s="9">
        <v>24.6</v>
      </c>
      <c r="W13" s="3">
        <v>96</v>
      </c>
      <c r="X13" s="1">
        <f t="shared" si="3"/>
        <v>2361.6000000000004</v>
      </c>
    </row>
    <row r="14" spans="1:24" x14ac:dyDescent="0.3">
      <c r="A14" s="17">
        <v>12</v>
      </c>
      <c r="B14" s="2" t="s">
        <v>1</v>
      </c>
      <c r="C14" s="34">
        <v>12</v>
      </c>
      <c r="D14" s="3">
        <v>105</v>
      </c>
      <c r="E14" s="1">
        <f t="shared" si="0"/>
        <v>1260</v>
      </c>
      <c r="G14" s="17">
        <v>12</v>
      </c>
      <c r="H14" s="2" t="s">
        <v>2</v>
      </c>
      <c r="K14" s="1">
        <f t="shared" si="1"/>
        <v>0</v>
      </c>
      <c r="N14" s="17">
        <v>12</v>
      </c>
      <c r="O14" s="2" t="s">
        <v>2</v>
      </c>
      <c r="P14" s="9">
        <v>69.5</v>
      </c>
      <c r="Q14" s="3">
        <v>23</v>
      </c>
      <c r="R14" s="1">
        <f t="shared" si="2"/>
        <v>1598.5</v>
      </c>
      <c r="T14" s="17">
        <v>12</v>
      </c>
      <c r="U14" s="2" t="s">
        <v>2</v>
      </c>
      <c r="V14" s="9">
        <v>37.5</v>
      </c>
      <c r="W14" s="3">
        <v>22</v>
      </c>
      <c r="X14" s="1">
        <f t="shared" si="3"/>
        <v>825</v>
      </c>
    </row>
    <row r="15" spans="1:24" x14ac:dyDescent="0.3">
      <c r="A15" s="17">
        <v>13</v>
      </c>
      <c r="B15" s="2" t="s">
        <v>66</v>
      </c>
      <c r="C15" s="34">
        <v>0.8</v>
      </c>
      <c r="D15" s="3">
        <v>56</v>
      </c>
      <c r="E15" s="1">
        <f t="shared" si="0"/>
        <v>44.800000000000004</v>
      </c>
      <c r="G15" s="17">
        <v>13</v>
      </c>
      <c r="H15" s="2" t="s">
        <v>2</v>
      </c>
      <c r="K15" s="1">
        <f t="shared" si="1"/>
        <v>0</v>
      </c>
      <c r="N15" s="17">
        <v>13</v>
      </c>
      <c r="O15" s="2" t="s">
        <v>2</v>
      </c>
      <c r="R15" s="1">
        <f t="shared" si="2"/>
        <v>0</v>
      </c>
      <c r="T15" s="17">
        <v>13</v>
      </c>
      <c r="U15" s="2" t="s">
        <v>2</v>
      </c>
      <c r="V15" s="9">
        <v>66.5</v>
      </c>
      <c r="W15" s="3">
        <v>23</v>
      </c>
      <c r="X15" s="1">
        <f t="shared" si="3"/>
        <v>1529.5</v>
      </c>
    </row>
    <row r="16" spans="1:24" x14ac:dyDescent="0.3">
      <c r="A16" s="17">
        <v>14</v>
      </c>
      <c r="B16" s="2" t="s">
        <v>86</v>
      </c>
      <c r="C16" s="34">
        <f>15+442</f>
        <v>457</v>
      </c>
      <c r="D16" s="3">
        <v>12</v>
      </c>
      <c r="E16" s="1">
        <f t="shared" si="0"/>
        <v>5484</v>
      </c>
      <c r="G16" s="17">
        <v>14</v>
      </c>
      <c r="H16" s="2" t="s">
        <v>10</v>
      </c>
      <c r="I16" s="34">
        <v>358</v>
      </c>
      <c r="J16" s="3">
        <v>12</v>
      </c>
      <c r="K16" s="1">
        <f t="shared" si="1"/>
        <v>4296</v>
      </c>
      <c r="N16" s="17">
        <v>14</v>
      </c>
      <c r="O16" s="2" t="s">
        <v>10</v>
      </c>
      <c r="P16" s="9">
        <v>572</v>
      </c>
      <c r="Q16" s="3">
        <v>14</v>
      </c>
      <c r="R16" s="1">
        <f t="shared" si="2"/>
        <v>8008</v>
      </c>
      <c r="T16" s="17">
        <v>14</v>
      </c>
      <c r="U16" s="2" t="s">
        <v>10</v>
      </c>
      <c r="V16" s="9">
        <v>184.5</v>
      </c>
      <c r="W16" s="3">
        <v>14</v>
      </c>
      <c r="X16" s="1">
        <f t="shared" si="3"/>
        <v>2583</v>
      </c>
    </row>
    <row r="17" spans="1:24" x14ac:dyDescent="0.3">
      <c r="A17" s="17">
        <v>15</v>
      </c>
      <c r="B17" s="2" t="s">
        <v>92</v>
      </c>
      <c r="C17" s="34">
        <v>3.2</v>
      </c>
      <c r="D17" s="3">
        <v>37</v>
      </c>
      <c r="E17" s="3">
        <f t="shared" si="0"/>
        <v>118.4</v>
      </c>
      <c r="G17" s="17">
        <v>15</v>
      </c>
      <c r="H17" s="2" t="s">
        <v>80</v>
      </c>
      <c r="I17" s="34">
        <v>2.66</v>
      </c>
      <c r="J17" s="3">
        <v>26</v>
      </c>
      <c r="K17" s="3">
        <f t="shared" si="1"/>
        <v>69.16</v>
      </c>
      <c r="N17" s="17">
        <v>15</v>
      </c>
      <c r="O17" s="2" t="s">
        <v>75</v>
      </c>
      <c r="P17" s="9">
        <v>15.45</v>
      </c>
      <c r="Q17" s="3">
        <v>65</v>
      </c>
      <c r="R17" s="3">
        <f t="shared" si="2"/>
        <v>1004.25</v>
      </c>
      <c r="T17" s="17">
        <v>15</v>
      </c>
      <c r="U17" s="2" t="s">
        <v>75</v>
      </c>
      <c r="V17" s="9">
        <v>19.5</v>
      </c>
      <c r="W17" s="3">
        <v>65</v>
      </c>
      <c r="X17" s="3">
        <f t="shared" si="3"/>
        <v>1267.5</v>
      </c>
    </row>
    <row r="18" spans="1:24" x14ac:dyDescent="0.3">
      <c r="A18" s="17">
        <v>16</v>
      </c>
      <c r="B18" s="2" t="s">
        <v>2</v>
      </c>
      <c r="C18" s="34">
        <v>44</v>
      </c>
      <c r="D18" s="3">
        <v>23</v>
      </c>
      <c r="E18" s="1">
        <f t="shared" si="0"/>
        <v>1012</v>
      </c>
      <c r="G18" s="17">
        <v>16</v>
      </c>
      <c r="H18" s="2" t="s">
        <v>75</v>
      </c>
      <c r="I18" s="34">
        <v>3</v>
      </c>
      <c r="J18" s="3">
        <v>65</v>
      </c>
      <c r="K18" s="3">
        <f t="shared" si="1"/>
        <v>195</v>
      </c>
      <c r="N18" s="17">
        <v>16</v>
      </c>
      <c r="O18" s="2" t="s">
        <v>25</v>
      </c>
      <c r="P18" s="9">
        <v>38.5</v>
      </c>
      <c r="Q18" s="3">
        <v>42</v>
      </c>
      <c r="R18" s="3">
        <f t="shared" si="2"/>
        <v>1617</v>
      </c>
      <c r="T18" s="17">
        <v>16</v>
      </c>
      <c r="U18" s="2" t="s">
        <v>25</v>
      </c>
      <c r="V18" s="9">
        <v>23</v>
      </c>
      <c r="W18" s="3">
        <v>42</v>
      </c>
      <c r="X18" s="3">
        <f t="shared" si="3"/>
        <v>966</v>
      </c>
    </row>
    <row r="19" spans="1:24" x14ac:dyDescent="0.3">
      <c r="A19" s="17">
        <v>17</v>
      </c>
      <c r="B19" s="2" t="s">
        <v>88</v>
      </c>
      <c r="C19" s="34">
        <v>27.22</v>
      </c>
      <c r="D19" s="3">
        <v>25</v>
      </c>
      <c r="E19" s="1">
        <f t="shared" si="0"/>
        <v>680.5</v>
      </c>
      <c r="G19" s="17">
        <v>17</v>
      </c>
      <c r="H19" s="2" t="s">
        <v>25</v>
      </c>
      <c r="I19" s="34">
        <v>37</v>
      </c>
      <c r="J19" s="3">
        <v>40</v>
      </c>
      <c r="K19" s="1">
        <f t="shared" si="1"/>
        <v>1480</v>
      </c>
      <c r="N19" s="17">
        <v>17</v>
      </c>
      <c r="O19" s="2" t="s">
        <v>7</v>
      </c>
      <c r="P19" s="9">
        <v>1.4</v>
      </c>
      <c r="Q19" s="3">
        <v>54</v>
      </c>
      <c r="R19" s="1">
        <f t="shared" si="2"/>
        <v>75.599999999999994</v>
      </c>
      <c r="T19" s="17">
        <v>17</v>
      </c>
      <c r="U19" s="2" t="s">
        <v>7</v>
      </c>
      <c r="V19" s="9">
        <v>4.08</v>
      </c>
      <c r="W19" s="3">
        <v>54</v>
      </c>
      <c r="X19" s="1">
        <f t="shared" si="3"/>
        <v>220.32</v>
      </c>
    </row>
    <row r="20" spans="1:24" x14ac:dyDescent="0.3">
      <c r="A20" s="17">
        <v>18</v>
      </c>
      <c r="B20" s="2" t="s">
        <v>10</v>
      </c>
      <c r="E20" s="1">
        <f t="shared" si="0"/>
        <v>0</v>
      </c>
      <c r="G20" s="17">
        <v>18</v>
      </c>
      <c r="H20" s="2" t="s">
        <v>7</v>
      </c>
      <c r="I20" s="34">
        <v>0.5</v>
      </c>
      <c r="J20" s="3">
        <v>54</v>
      </c>
      <c r="K20" s="1">
        <f t="shared" si="1"/>
        <v>27</v>
      </c>
      <c r="N20" s="17">
        <v>18</v>
      </c>
      <c r="O20" s="2" t="s">
        <v>67</v>
      </c>
      <c r="P20" s="9">
        <v>1.175</v>
      </c>
      <c r="Q20" s="3">
        <v>54</v>
      </c>
      <c r="R20" s="1">
        <f t="shared" si="2"/>
        <v>63.45</v>
      </c>
      <c r="T20" s="17">
        <v>18</v>
      </c>
      <c r="U20" s="2" t="s">
        <v>67</v>
      </c>
      <c r="V20" s="9">
        <v>1.5</v>
      </c>
      <c r="W20" s="3">
        <v>54</v>
      </c>
      <c r="X20" s="1">
        <f t="shared" si="3"/>
        <v>81</v>
      </c>
    </row>
    <row r="21" spans="1:24" x14ac:dyDescent="0.3">
      <c r="A21" s="17">
        <v>19</v>
      </c>
      <c r="B21" s="2" t="s">
        <v>80</v>
      </c>
      <c r="E21" s="3">
        <f t="shared" si="0"/>
        <v>0</v>
      </c>
      <c r="G21" s="17">
        <v>19</v>
      </c>
      <c r="H21" s="2" t="s">
        <v>67</v>
      </c>
      <c r="I21" s="34">
        <v>1</v>
      </c>
      <c r="J21" s="3">
        <v>54</v>
      </c>
      <c r="K21" s="3">
        <f t="shared" si="1"/>
        <v>54</v>
      </c>
      <c r="N21" s="17">
        <v>19</v>
      </c>
      <c r="O21" s="2" t="s">
        <v>27</v>
      </c>
      <c r="P21" s="9">
        <v>11.5</v>
      </c>
      <c r="Q21" s="3">
        <v>20</v>
      </c>
      <c r="R21" s="3">
        <f t="shared" si="2"/>
        <v>230</v>
      </c>
      <c r="T21" s="17">
        <v>19</v>
      </c>
      <c r="U21" s="2" t="s">
        <v>27</v>
      </c>
      <c r="V21" s="9">
        <v>17</v>
      </c>
      <c r="W21" s="3">
        <v>20</v>
      </c>
      <c r="X21" s="3">
        <f t="shared" si="3"/>
        <v>340</v>
      </c>
    </row>
    <row r="22" spans="1:24" x14ac:dyDescent="0.3">
      <c r="A22" s="17">
        <v>20</v>
      </c>
      <c r="B22" s="2" t="s">
        <v>75</v>
      </c>
      <c r="C22" s="34">
        <v>4.0999999999999996</v>
      </c>
      <c r="D22" s="3">
        <v>65</v>
      </c>
      <c r="E22" s="3">
        <f t="shared" si="0"/>
        <v>266.5</v>
      </c>
      <c r="G22" s="17">
        <v>20</v>
      </c>
      <c r="H22" s="2" t="s">
        <v>27</v>
      </c>
      <c r="I22" s="34">
        <v>21</v>
      </c>
      <c r="J22" s="3">
        <v>18</v>
      </c>
      <c r="K22" s="1">
        <f t="shared" si="1"/>
        <v>378</v>
      </c>
      <c r="N22" s="17">
        <v>20</v>
      </c>
      <c r="O22" s="2" t="s">
        <v>38</v>
      </c>
      <c r="P22" s="9">
        <f>8.5+17</f>
        <v>25.5</v>
      </c>
      <c r="Q22" s="3">
        <v>58</v>
      </c>
      <c r="R22" s="1">
        <f t="shared" si="2"/>
        <v>1479</v>
      </c>
      <c r="T22" s="17">
        <v>20</v>
      </c>
      <c r="U22" s="2" t="s">
        <v>38</v>
      </c>
      <c r="V22" s="9">
        <f>18.5+17</f>
        <v>35.5</v>
      </c>
      <c r="W22" s="3">
        <v>58</v>
      </c>
      <c r="X22" s="1">
        <f t="shared" si="3"/>
        <v>2059</v>
      </c>
    </row>
    <row r="23" spans="1:24" x14ac:dyDescent="0.3">
      <c r="A23" s="17">
        <v>21</v>
      </c>
      <c r="B23" s="2" t="s">
        <v>25</v>
      </c>
      <c r="E23" s="1">
        <f t="shared" si="0"/>
        <v>0</v>
      </c>
      <c r="G23" s="17">
        <v>21</v>
      </c>
      <c r="H23" s="2" t="s">
        <v>38</v>
      </c>
      <c r="I23" s="34">
        <f>8.5+17</f>
        <v>25.5</v>
      </c>
      <c r="J23" s="3">
        <v>58</v>
      </c>
      <c r="K23" s="3">
        <f t="shared" si="1"/>
        <v>1479</v>
      </c>
      <c r="N23" s="17">
        <v>21</v>
      </c>
      <c r="O23" s="2" t="s">
        <v>77</v>
      </c>
      <c r="P23" s="9">
        <f>125+117</f>
        <v>242</v>
      </c>
      <c r="Q23" s="3">
        <v>36</v>
      </c>
      <c r="R23" s="3">
        <f t="shared" si="2"/>
        <v>8712</v>
      </c>
      <c r="T23" s="17">
        <v>21</v>
      </c>
      <c r="U23" s="2" t="s">
        <v>77</v>
      </c>
      <c r="V23" s="9">
        <v>152</v>
      </c>
      <c r="W23" s="3">
        <v>38</v>
      </c>
      <c r="X23" s="3">
        <f t="shared" si="3"/>
        <v>5776</v>
      </c>
    </row>
    <row r="24" spans="1:24" x14ac:dyDescent="0.3">
      <c r="A24" s="17">
        <v>22</v>
      </c>
      <c r="B24" s="2" t="s">
        <v>7</v>
      </c>
      <c r="C24" s="34">
        <v>2.38</v>
      </c>
      <c r="D24" s="3">
        <v>56</v>
      </c>
      <c r="E24" s="1">
        <f t="shared" si="0"/>
        <v>133.28</v>
      </c>
      <c r="G24" s="17">
        <v>22</v>
      </c>
      <c r="H24" s="2" t="s">
        <v>77</v>
      </c>
      <c r="I24" s="34">
        <f>379+89.5</f>
        <v>468.5</v>
      </c>
      <c r="J24" s="3">
        <v>36</v>
      </c>
      <c r="K24" s="1">
        <f t="shared" si="1"/>
        <v>16866</v>
      </c>
      <c r="N24" s="17">
        <v>22</v>
      </c>
      <c r="O24" s="2" t="s">
        <v>11</v>
      </c>
      <c r="P24" s="9">
        <f>73+75.5</f>
        <v>148.5</v>
      </c>
      <c r="Q24" s="3">
        <v>37</v>
      </c>
      <c r="R24" s="1">
        <f t="shared" si="2"/>
        <v>5494.5</v>
      </c>
      <c r="T24" s="17">
        <v>22</v>
      </c>
      <c r="U24" s="2" t="s">
        <v>11</v>
      </c>
      <c r="V24" s="9">
        <f>12.5+74</f>
        <v>86.5</v>
      </c>
      <c r="W24" s="3">
        <v>39</v>
      </c>
      <c r="X24" s="1">
        <f t="shared" si="3"/>
        <v>3373.5</v>
      </c>
    </row>
    <row r="25" spans="1:24" x14ac:dyDescent="0.3">
      <c r="A25" s="17">
        <v>23</v>
      </c>
      <c r="B25" s="2" t="s">
        <v>67</v>
      </c>
      <c r="C25" s="34">
        <v>1</v>
      </c>
      <c r="D25" s="3">
        <v>56</v>
      </c>
      <c r="E25" s="3">
        <f t="shared" si="0"/>
        <v>56</v>
      </c>
      <c r="G25" s="17">
        <v>23</v>
      </c>
      <c r="H25" s="2" t="s">
        <v>11</v>
      </c>
      <c r="I25" s="34">
        <v>43.5</v>
      </c>
      <c r="J25" s="3">
        <v>37</v>
      </c>
      <c r="K25" s="1">
        <f t="shared" si="1"/>
        <v>1609.5</v>
      </c>
      <c r="N25" s="17">
        <v>23</v>
      </c>
      <c r="O25" s="2" t="s">
        <v>56</v>
      </c>
      <c r="P25" s="9">
        <v>23</v>
      </c>
      <c r="Q25" s="3">
        <v>60</v>
      </c>
      <c r="R25" s="1">
        <f t="shared" si="2"/>
        <v>1380</v>
      </c>
      <c r="T25" s="17">
        <v>23</v>
      </c>
      <c r="U25" s="2" t="s">
        <v>56</v>
      </c>
      <c r="V25" s="9">
        <v>23</v>
      </c>
      <c r="W25" s="3">
        <v>60</v>
      </c>
      <c r="X25" s="1">
        <f t="shared" si="3"/>
        <v>1380</v>
      </c>
    </row>
    <row r="26" spans="1:24" x14ac:dyDescent="0.3">
      <c r="A26" s="17">
        <v>24</v>
      </c>
      <c r="B26" s="2" t="s">
        <v>27</v>
      </c>
      <c r="C26" s="34">
        <v>5</v>
      </c>
      <c r="D26" s="3">
        <v>18</v>
      </c>
      <c r="E26" s="1">
        <f t="shared" si="0"/>
        <v>90</v>
      </c>
      <c r="G26" s="17">
        <v>24</v>
      </c>
      <c r="H26" s="2" t="s">
        <v>56</v>
      </c>
      <c r="I26" s="34">
        <v>23</v>
      </c>
      <c r="J26" s="3">
        <v>60</v>
      </c>
      <c r="K26" s="1">
        <f t="shared" si="1"/>
        <v>1380</v>
      </c>
      <c r="N26" s="17">
        <v>24</v>
      </c>
      <c r="O26" s="2" t="s">
        <v>48</v>
      </c>
      <c r="P26" s="9">
        <v>5.86</v>
      </c>
      <c r="Q26" s="3">
        <v>30</v>
      </c>
      <c r="R26" s="1">
        <f t="shared" si="2"/>
        <v>175.8</v>
      </c>
      <c r="T26" s="17">
        <v>24</v>
      </c>
      <c r="U26" s="2" t="s">
        <v>48</v>
      </c>
      <c r="V26" s="9">
        <v>23.5</v>
      </c>
      <c r="W26" s="3">
        <v>26</v>
      </c>
      <c r="X26" s="1">
        <f t="shared" si="3"/>
        <v>611</v>
      </c>
    </row>
    <row r="27" spans="1:24" x14ac:dyDescent="0.3">
      <c r="A27" s="17">
        <v>25</v>
      </c>
      <c r="B27" s="2" t="s">
        <v>38</v>
      </c>
      <c r="C27" s="34">
        <f>8.5+17</f>
        <v>25.5</v>
      </c>
      <c r="D27" s="3">
        <v>58</v>
      </c>
      <c r="E27" s="3">
        <f t="shared" si="0"/>
        <v>1479</v>
      </c>
      <c r="G27" s="17">
        <v>25</v>
      </c>
      <c r="H27" s="2" t="s">
        <v>48</v>
      </c>
      <c r="I27" s="34">
        <v>7</v>
      </c>
      <c r="J27" s="3">
        <v>32</v>
      </c>
      <c r="K27" s="3">
        <f t="shared" si="1"/>
        <v>224</v>
      </c>
      <c r="N27" s="17">
        <v>25</v>
      </c>
      <c r="O27" s="2" t="s">
        <v>65</v>
      </c>
      <c r="P27" s="9">
        <v>40</v>
      </c>
      <c r="Q27" s="3">
        <v>12</v>
      </c>
      <c r="R27" s="3">
        <f t="shared" si="2"/>
        <v>480</v>
      </c>
      <c r="T27" s="17">
        <v>25</v>
      </c>
      <c r="U27" s="2" t="s">
        <v>65</v>
      </c>
      <c r="V27" s="9">
        <v>16.5</v>
      </c>
      <c r="W27" s="3">
        <v>12</v>
      </c>
      <c r="X27" s="3">
        <f t="shared" si="3"/>
        <v>198</v>
      </c>
    </row>
    <row r="28" spans="1:24" x14ac:dyDescent="0.3">
      <c r="A28" s="17">
        <v>26</v>
      </c>
      <c r="B28" s="2" t="s">
        <v>77</v>
      </c>
      <c r="C28" s="34">
        <f>169.5-26</f>
        <v>143.5</v>
      </c>
      <c r="D28" s="3">
        <v>38</v>
      </c>
      <c r="E28" s="1">
        <f t="shared" si="0"/>
        <v>5453</v>
      </c>
      <c r="G28" s="17">
        <v>26</v>
      </c>
      <c r="H28" s="2" t="s">
        <v>65</v>
      </c>
      <c r="I28" s="34">
        <v>16</v>
      </c>
      <c r="J28" s="3">
        <v>12</v>
      </c>
      <c r="K28" s="3">
        <f t="shared" si="1"/>
        <v>192</v>
      </c>
      <c r="N28" s="17">
        <v>26</v>
      </c>
      <c r="O28" s="2" t="s">
        <v>21</v>
      </c>
      <c r="P28" s="9">
        <v>3.4</v>
      </c>
      <c r="Q28" s="3">
        <v>120</v>
      </c>
      <c r="R28" s="3">
        <f t="shared" si="2"/>
        <v>408</v>
      </c>
      <c r="T28" s="17">
        <v>26</v>
      </c>
      <c r="U28" s="2" t="s">
        <v>21</v>
      </c>
      <c r="V28" s="9">
        <v>6.05</v>
      </c>
      <c r="W28" s="3">
        <v>122</v>
      </c>
      <c r="X28" s="3">
        <f t="shared" si="3"/>
        <v>738.1</v>
      </c>
    </row>
    <row r="29" spans="1:24" x14ac:dyDescent="0.3">
      <c r="A29" s="17">
        <v>27</v>
      </c>
      <c r="B29" s="2" t="s">
        <v>11</v>
      </c>
      <c r="C29" s="34">
        <f>167-26+14.65</f>
        <v>155.65</v>
      </c>
      <c r="D29" s="3">
        <v>39</v>
      </c>
      <c r="E29" s="1">
        <f t="shared" si="0"/>
        <v>6070.35</v>
      </c>
      <c r="G29" s="17">
        <v>27</v>
      </c>
      <c r="H29" s="2" t="s">
        <v>21</v>
      </c>
      <c r="I29" s="34">
        <f>3.95+14.85</f>
        <v>18.8</v>
      </c>
      <c r="J29" s="3">
        <v>102</v>
      </c>
      <c r="K29" s="1">
        <f t="shared" si="1"/>
        <v>1917.6000000000001</v>
      </c>
      <c r="N29" s="17">
        <v>27</v>
      </c>
      <c r="O29" s="2" t="s">
        <v>17</v>
      </c>
      <c r="R29" s="1">
        <f t="shared" si="2"/>
        <v>0</v>
      </c>
      <c r="T29" s="17">
        <v>27</v>
      </c>
      <c r="U29" s="2" t="s">
        <v>17</v>
      </c>
      <c r="V29" s="9">
        <v>27.22</v>
      </c>
      <c r="W29" s="3">
        <v>47</v>
      </c>
      <c r="X29" s="1">
        <f t="shared" si="3"/>
        <v>1279.3399999999999</v>
      </c>
    </row>
    <row r="30" spans="1:24" x14ac:dyDescent="0.3">
      <c r="A30" s="17">
        <v>28</v>
      </c>
      <c r="B30" s="2" t="s">
        <v>56</v>
      </c>
      <c r="C30" s="34">
        <v>23</v>
      </c>
      <c r="D30" s="3">
        <v>60</v>
      </c>
      <c r="E30" s="1">
        <f t="shared" si="0"/>
        <v>1380</v>
      </c>
      <c r="G30" s="17">
        <v>28</v>
      </c>
      <c r="H30" s="2" t="s">
        <v>17</v>
      </c>
      <c r="K30" s="1">
        <f t="shared" si="1"/>
        <v>0</v>
      </c>
      <c r="N30" s="17">
        <v>28</v>
      </c>
      <c r="O30" s="2" t="s">
        <v>50</v>
      </c>
      <c r="P30" s="9">
        <v>22</v>
      </c>
      <c r="Q30" s="3">
        <v>52</v>
      </c>
      <c r="R30" s="1">
        <f t="shared" si="2"/>
        <v>1144</v>
      </c>
      <c r="T30" s="17">
        <v>28</v>
      </c>
      <c r="U30" s="2" t="s">
        <v>50</v>
      </c>
      <c r="V30" s="9">
        <v>4</v>
      </c>
      <c r="W30" s="3">
        <v>54</v>
      </c>
      <c r="X30" s="1">
        <f t="shared" si="3"/>
        <v>216</v>
      </c>
    </row>
    <row r="31" spans="1:24" x14ac:dyDescent="0.3">
      <c r="A31" s="17">
        <v>29</v>
      </c>
      <c r="B31" s="2" t="s">
        <v>48</v>
      </c>
      <c r="C31" s="34">
        <f>6.83+10.08</f>
        <v>16.91</v>
      </c>
      <c r="D31" s="3">
        <v>32</v>
      </c>
      <c r="E31" s="3">
        <f t="shared" si="0"/>
        <v>541.12</v>
      </c>
      <c r="G31" s="17">
        <v>29</v>
      </c>
      <c r="H31" s="2" t="s">
        <v>50</v>
      </c>
      <c r="K31" s="3">
        <f t="shared" si="1"/>
        <v>0</v>
      </c>
      <c r="N31" s="17">
        <v>29</v>
      </c>
      <c r="O31" s="2" t="s">
        <v>76</v>
      </c>
      <c r="P31" s="9">
        <v>7.5</v>
      </c>
      <c r="Q31" s="3">
        <v>26</v>
      </c>
      <c r="R31" s="3">
        <f t="shared" si="2"/>
        <v>195</v>
      </c>
      <c r="T31" s="17">
        <v>29</v>
      </c>
      <c r="U31" s="2" t="s">
        <v>76</v>
      </c>
      <c r="V31" s="9">
        <v>2</v>
      </c>
      <c r="W31" s="3">
        <v>26</v>
      </c>
      <c r="X31" s="3">
        <f t="shared" si="3"/>
        <v>52</v>
      </c>
    </row>
    <row r="32" spans="1:24" x14ac:dyDescent="0.3">
      <c r="A32" s="17">
        <v>30</v>
      </c>
      <c r="B32" s="2" t="s">
        <v>65</v>
      </c>
      <c r="C32" s="34">
        <v>40</v>
      </c>
      <c r="D32" s="3">
        <v>16</v>
      </c>
      <c r="E32" s="3">
        <f t="shared" si="0"/>
        <v>640</v>
      </c>
      <c r="G32" s="17">
        <v>30</v>
      </c>
      <c r="H32" s="2" t="s">
        <v>76</v>
      </c>
      <c r="I32" s="34">
        <v>4</v>
      </c>
      <c r="J32" s="3">
        <v>26</v>
      </c>
      <c r="K32" s="1">
        <f t="shared" si="1"/>
        <v>104</v>
      </c>
      <c r="N32" s="17">
        <v>30</v>
      </c>
      <c r="O32" s="2" t="s">
        <v>55</v>
      </c>
      <c r="P32" s="9">
        <v>64</v>
      </c>
      <c r="Q32" s="3">
        <v>58</v>
      </c>
      <c r="R32" s="1">
        <f t="shared" si="2"/>
        <v>3712</v>
      </c>
      <c r="T32" s="17">
        <v>30</v>
      </c>
      <c r="U32" s="2" t="s">
        <v>55</v>
      </c>
      <c r="V32" s="9">
        <v>64</v>
      </c>
      <c r="W32" s="3">
        <v>58</v>
      </c>
      <c r="X32" s="1">
        <f t="shared" si="3"/>
        <v>3712</v>
      </c>
    </row>
    <row r="33" spans="1:24" x14ac:dyDescent="0.3">
      <c r="A33" s="17">
        <v>31</v>
      </c>
      <c r="B33" s="2" t="s">
        <v>93</v>
      </c>
      <c r="C33" s="34">
        <v>1.07</v>
      </c>
      <c r="D33" s="3">
        <v>60</v>
      </c>
      <c r="E33" s="3">
        <f t="shared" si="0"/>
        <v>64.2</v>
      </c>
      <c r="G33" s="17">
        <v>31</v>
      </c>
      <c r="H33" s="2" t="s">
        <v>55</v>
      </c>
      <c r="I33" s="34">
        <v>64</v>
      </c>
      <c r="J33" s="3">
        <v>58</v>
      </c>
      <c r="K33" s="1">
        <f t="shared" si="1"/>
        <v>3712</v>
      </c>
      <c r="N33" s="17">
        <v>31</v>
      </c>
      <c r="O33" s="2" t="s">
        <v>57</v>
      </c>
      <c r="P33" s="9">
        <v>22.5</v>
      </c>
      <c r="Q33" s="3">
        <v>46</v>
      </c>
      <c r="R33" s="1">
        <f t="shared" si="2"/>
        <v>1035</v>
      </c>
      <c r="T33" s="17">
        <v>31</v>
      </c>
      <c r="U33" s="2" t="s">
        <v>57</v>
      </c>
      <c r="V33" s="9">
        <v>22.5</v>
      </c>
      <c r="W33" s="3">
        <v>46</v>
      </c>
      <c r="X33" s="1">
        <f t="shared" si="3"/>
        <v>1035</v>
      </c>
    </row>
    <row r="34" spans="1:24" x14ac:dyDescent="0.3">
      <c r="A34" s="17">
        <v>32</v>
      </c>
      <c r="B34" s="2" t="s">
        <v>21</v>
      </c>
      <c r="E34" s="1">
        <f t="shared" si="0"/>
        <v>0</v>
      </c>
      <c r="G34" s="17">
        <v>32</v>
      </c>
      <c r="H34" s="2" t="s">
        <v>57</v>
      </c>
      <c r="I34" s="34">
        <v>22.5</v>
      </c>
      <c r="J34" s="3">
        <v>46</v>
      </c>
      <c r="K34" s="1">
        <f t="shared" si="1"/>
        <v>1035</v>
      </c>
      <c r="N34" s="17">
        <v>32</v>
      </c>
      <c r="O34" s="2" t="s">
        <v>5</v>
      </c>
      <c r="P34" s="9">
        <v>9.8000000000000007</v>
      </c>
      <c r="Q34" s="3">
        <v>58</v>
      </c>
      <c r="R34" s="1">
        <f t="shared" si="2"/>
        <v>568.40000000000009</v>
      </c>
      <c r="T34" s="17">
        <v>32</v>
      </c>
      <c r="U34" s="2" t="s">
        <v>5</v>
      </c>
      <c r="V34" s="9">
        <v>19.399999999999999</v>
      </c>
      <c r="W34" s="3">
        <v>58</v>
      </c>
      <c r="X34" s="1">
        <f t="shared" si="3"/>
        <v>1125.1999999999998</v>
      </c>
    </row>
    <row r="35" spans="1:24" x14ac:dyDescent="0.3">
      <c r="A35" s="17">
        <v>33</v>
      </c>
      <c r="B35" s="2" t="s">
        <v>17</v>
      </c>
      <c r="C35" s="34">
        <v>27.2</v>
      </c>
      <c r="D35" s="3">
        <v>47</v>
      </c>
      <c r="E35" s="1">
        <f t="shared" ref="E35:E54" si="4">D35*C35</f>
        <v>1278.3999999999999</v>
      </c>
      <c r="G35" s="17">
        <v>33</v>
      </c>
      <c r="H35" s="2" t="s">
        <v>5</v>
      </c>
      <c r="I35" s="34">
        <v>14.8</v>
      </c>
      <c r="J35" s="3">
        <v>56</v>
      </c>
      <c r="K35" s="1">
        <f t="shared" si="1"/>
        <v>828.80000000000007</v>
      </c>
      <c r="N35" s="17">
        <v>33</v>
      </c>
      <c r="O35" s="2" t="s">
        <v>24</v>
      </c>
      <c r="P35" s="9">
        <v>11</v>
      </c>
      <c r="Q35" s="3">
        <v>58</v>
      </c>
      <c r="R35" s="1">
        <f t="shared" si="2"/>
        <v>638</v>
      </c>
      <c r="T35" s="17">
        <v>33</v>
      </c>
      <c r="U35" s="2" t="s">
        <v>24</v>
      </c>
      <c r="V35" s="9">
        <v>11.5</v>
      </c>
      <c r="W35" s="3">
        <v>58</v>
      </c>
      <c r="X35" s="1">
        <f t="shared" si="3"/>
        <v>667</v>
      </c>
    </row>
    <row r="36" spans="1:24" x14ac:dyDescent="0.3">
      <c r="A36" s="17">
        <v>34</v>
      </c>
      <c r="B36" s="2" t="s">
        <v>50</v>
      </c>
      <c r="C36" s="34">
        <f>1.5+4.38</f>
        <v>5.88</v>
      </c>
      <c r="D36" s="3">
        <v>54</v>
      </c>
      <c r="E36" s="3">
        <f t="shared" si="4"/>
        <v>317.52</v>
      </c>
      <c r="G36" s="17">
        <v>34</v>
      </c>
      <c r="H36" s="2" t="s">
        <v>24</v>
      </c>
      <c r="I36" s="34">
        <v>8</v>
      </c>
      <c r="J36" s="3">
        <v>58</v>
      </c>
      <c r="K36" s="1">
        <f t="shared" si="1"/>
        <v>464</v>
      </c>
      <c r="N36" s="17">
        <v>34</v>
      </c>
      <c r="O36" s="2" t="s">
        <v>33</v>
      </c>
      <c r="P36" s="9">
        <v>200.5</v>
      </c>
      <c r="Q36" s="3">
        <v>26</v>
      </c>
      <c r="R36" s="1">
        <f t="shared" si="2"/>
        <v>5213</v>
      </c>
      <c r="T36" s="17">
        <v>34</v>
      </c>
      <c r="U36" s="2" t="s">
        <v>33</v>
      </c>
      <c r="V36" s="9">
        <v>599</v>
      </c>
      <c r="W36" s="3">
        <v>27.5</v>
      </c>
      <c r="X36" s="1">
        <f t="shared" si="3"/>
        <v>16472.5</v>
      </c>
    </row>
    <row r="37" spans="1:24" x14ac:dyDescent="0.3">
      <c r="A37" s="17">
        <v>35</v>
      </c>
      <c r="B37" s="2" t="s">
        <v>76</v>
      </c>
      <c r="C37" s="34">
        <v>5.5</v>
      </c>
      <c r="D37" s="3">
        <v>26</v>
      </c>
      <c r="E37" s="1">
        <f t="shared" si="4"/>
        <v>143</v>
      </c>
      <c r="G37" s="17">
        <v>35</v>
      </c>
      <c r="H37" s="2" t="s">
        <v>33</v>
      </c>
      <c r="K37" s="1">
        <f t="shared" si="1"/>
        <v>0</v>
      </c>
      <c r="N37" s="17">
        <v>35</v>
      </c>
      <c r="O37" s="2" t="s">
        <v>81</v>
      </c>
      <c r="P37" s="9">
        <v>0.42</v>
      </c>
      <c r="Q37" s="3">
        <v>115</v>
      </c>
      <c r="R37" s="1">
        <f t="shared" si="2"/>
        <v>48.3</v>
      </c>
      <c r="T37" s="17">
        <v>35</v>
      </c>
      <c r="U37" s="2" t="s">
        <v>12</v>
      </c>
      <c r="V37" s="9">
        <v>56.5</v>
      </c>
      <c r="W37" s="3">
        <v>44</v>
      </c>
      <c r="X37" s="1">
        <f t="shared" si="3"/>
        <v>2486</v>
      </c>
    </row>
    <row r="38" spans="1:24" x14ac:dyDescent="0.3">
      <c r="A38" s="17">
        <v>36</v>
      </c>
      <c r="B38" s="2" t="s">
        <v>55</v>
      </c>
      <c r="C38" s="34">
        <v>64</v>
      </c>
      <c r="D38" s="3">
        <v>58</v>
      </c>
      <c r="E38" s="1">
        <f t="shared" si="4"/>
        <v>3712</v>
      </c>
      <c r="G38" s="17">
        <v>36</v>
      </c>
      <c r="H38" s="2" t="s">
        <v>33</v>
      </c>
      <c r="I38" s="34">
        <v>487.5</v>
      </c>
      <c r="J38" s="3">
        <v>12</v>
      </c>
      <c r="K38" s="1">
        <f t="shared" si="1"/>
        <v>5850</v>
      </c>
      <c r="N38" s="17">
        <v>36</v>
      </c>
      <c r="O38" s="2" t="s">
        <v>15</v>
      </c>
      <c r="P38" s="9">
        <v>23</v>
      </c>
      <c r="Q38" s="3">
        <v>72</v>
      </c>
      <c r="R38" s="1">
        <f t="shared" si="2"/>
        <v>1656</v>
      </c>
      <c r="T38" s="17">
        <v>36</v>
      </c>
      <c r="U38" s="2" t="s">
        <v>15</v>
      </c>
      <c r="V38" s="9">
        <v>48</v>
      </c>
      <c r="W38" s="3">
        <v>72</v>
      </c>
      <c r="X38" s="1">
        <f t="shared" si="3"/>
        <v>3456</v>
      </c>
    </row>
    <row r="39" spans="1:24" x14ac:dyDescent="0.3">
      <c r="A39" s="17">
        <v>37</v>
      </c>
      <c r="B39" s="2" t="s">
        <v>57</v>
      </c>
      <c r="C39" s="34">
        <v>22.5</v>
      </c>
      <c r="D39" s="3">
        <v>46</v>
      </c>
      <c r="E39" s="1">
        <f t="shared" si="4"/>
        <v>1035</v>
      </c>
      <c r="G39" s="17">
        <v>37</v>
      </c>
      <c r="H39" s="2" t="s">
        <v>84</v>
      </c>
      <c r="I39" s="34">
        <v>9.6999999999999993</v>
      </c>
      <c r="J39" s="3">
        <v>60</v>
      </c>
      <c r="K39" s="1">
        <f t="shared" si="1"/>
        <v>582</v>
      </c>
      <c r="N39" s="17">
        <v>37</v>
      </c>
      <c r="O39" s="2" t="s">
        <v>58</v>
      </c>
      <c r="P39" s="9">
        <v>5</v>
      </c>
      <c r="Q39" s="3">
        <v>14</v>
      </c>
      <c r="R39" s="1">
        <f t="shared" si="2"/>
        <v>70</v>
      </c>
      <c r="T39" s="17">
        <v>37</v>
      </c>
      <c r="U39" s="2" t="s">
        <v>58</v>
      </c>
      <c r="V39" s="9">
        <v>6</v>
      </c>
      <c r="W39" s="3">
        <v>14</v>
      </c>
      <c r="X39" s="1">
        <f t="shared" si="3"/>
        <v>84</v>
      </c>
    </row>
    <row r="40" spans="1:24" x14ac:dyDescent="0.3">
      <c r="A40" s="17">
        <v>38</v>
      </c>
      <c r="B40" s="2" t="s">
        <v>5</v>
      </c>
      <c r="C40" s="34">
        <v>7.5650000000000004</v>
      </c>
      <c r="D40" s="3">
        <v>56</v>
      </c>
      <c r="E40" s="1">
        <f t="shared" si="4"/>
        <v>423.64000000000004</v>
      </c>
      <c r="G40" s="17">
        <v>38</v>
      </c>
      <c r="H40" s="2" t="s">
        <v>83</v>
      </c>
      <c r="I40" s="34">
        <v>10.9</v>
      </c>
      <c r="J40" s="3">
        <v>42</v>
      </c>
      <c r="K40" s="1">
        <f t="shared" si="1"/>
        <v>457.8</v>
      </c>
      <c r="N40" s="17">
        <v>38</v>
      </c>
      <c r="O40" s="2" t="s">
        <v>60</v>
      </c>
      <c r="P40" s="9">
        <v>4</v>
      </c>
      <c r="Q40" s="3">
        <v>8</v>
      </c>
      <c r="R40" s="1">
        <f t="shared" si="2"/>
        <v>32</v>
      </c>
      <c r="T40" s="17">
        <v>38</v>
      </c>
      <c r="U40" s="2" t="s">
        <v>60</v>
      </c>
      <c r="V40" s="9">
        <v>4</v>
      </c>
      <c r="W40" s="3">
        <v>8</v>
      </c>
      <c r="X40" s="1">
        <f t="shared" si="3"/>
        <v>32</v>
      </c>
    </row>
    <row r="41" spans="1:24" x14ac:dyDescent="0.3">
      <c r="A41" s="17">
        <v>39</v>
      </c>
      <c r="B41" s="2" t="s">
        <v>24</v>
      </c>
      <c r="C41" s="34">
        <v>5</v>
      </c>
      <c r="D41" s="3">
        <v>58</v>
      </c>
      <c r="E41" s="1">
        <f t="shared" si="4"/>
        <v>290</v>
      </c>
      <c r="G41" s="17">
        <v>39</v>
      </c>
      <c r="H41" s="2" t="s">
        <v>15</v>
      </c>
      <c r="I41" s="34">
        <v>23.5</v>
      </c>
      <c r="J41" s="3">
        <v>72</v>
      </c>
      <c r="K41" s="1">
        <f t="shared" si="1"/>
        <v>1692</v>
      </c>
      <c r="N41" s="17">
        <v>39</v>
      </c>
      <c r="O41" s="2" t="s">
        <v>31</v>
      </c>
      <c r="R41" s="1">
        <f t="shared" si="2"/>
        <v>0</v>
      </c>
      <c r="T41" s="17">
        <v>39</v>
      </c>
      <c r="U41" s="2" t="s">
        <v>31</v>
      </c>
      <c r="V41" s="9">
        <v>1</v>
      </c>
      <c r="W41" s="3">
        <v>10</v>
      </c>
      <c r="X41" s="1">
        <f t="shared" si="3"/>
        <v>10</v>
      </c>
    </row>
    <row r="42" spans="1:24" x14ac:dyDescent="0.3">
      <c r="A42" s="17">
        <v>40</v>
      </c>
      <c r="B42" s="2" t="s">
        <v>33</v>
      </c>
      <c r="C42" s="34">
        <f>126+265+22.25+12.5</f>
        <v>425.75</v>
      </c>
      <c r="D42" s="3">
        <v>29</v>
      </c>
      <c r="E42" s="1">
        <f t="shared" si="4"/>
        <v>12346.75</v>
      </c>
      <c r="G42" s="17">
        <v>40</v>
      </c>
      <c r="H42" s="2" t="s">
        <v>58</v>
      </c>
      <c r="I42" s="34">
        <v>6</v>
      </c>
      <c r="J42" s="3">
        <v>14</v>
      </c>
      <c r="K42" s="1">
        <f t="shared" si="1"/>
        <v>84</v>
      </c>
      <c r="N42" s="17">
        <v>40</v>
      </c>
      <c r="O42" s="2" t="s">
        <v>63</v>
      </c>
      <c r="P42" s="9">
        <v>2</v>
      </c>
      <c r="Q42" s="3">
        <v>740</v>
      </c>
      <c r="R42" s="1">
        <f t="shared" si="2"/>
        <v>1480</v>
      </c>
      <c r="T42" s="17">
        <v>40</v>
      </c>
      <c r="U42" s="2" t="s">
        <v>64</v>
      </c>
      <c r="V42" s="9">
        <f>8.5+5</f>
        <v>13.5</v>
      </c>
      <c r="W42" s="3">
        <v>80</v>
      </c>
      <c r="X42" s="1">
        <f t="shared" si="3"/>
        <v>1080</v>
      </c>
    </row>
    <row r="43" spans="1:24" x14ac:dyDescent="0.3">
      <c r="A43" s="17">
        <v>41</v>
      </c>
      <c r="B43" s="2" t="s">
        <v>33</v>
      </c>
      <c r="C43" s="34">
        <v>762</v>
      </c>
      <c r="D43" s="3">
        <v>29</v>
      </c>
      <c r="E43" s="1">
        <f t="shared" si="4"/>
        <v>22098</v>
      </c>
      <c r="G43" s="17">
        <v>41</v>
      </c>
      <c r="H43" s="2" t="s">
        <v>60</v>
      </c>
      <c r="I43" s="34">
        <v>4</v>
      </c>
      <c r="J43" s="3">
        <v>8</v>
      </c>
      <c r="K43" s="3">
        <f t="shared" si="1"/>
        <v>32</v>
      </c>
      <c r="N43" s="17">
        <v>41</v>
      </c>
      <c r="O43" s="2" t="s">
        <v>78</v>
      </c>
      <c r="P43" s="9">
        <v>30</v>
      </c>
      <c r="Q43" s="3">
        <v>20</v>
      </c>
      <c r="R43" s="3">
        <f t="shared" si="2"/>
        <v>600</v>
      </c>
      <c r="T43" s="17">
        <v>41</v>
      </c>
      <c r="U43" s="2" t="s">
        <v>78</v>
      </c>
      <c r="V43" s="9">
        <v>56.5</v>
      </c>
      <c r="W43" s="3">
        <v>20</v>
      </c>
      <c r="X43" s="3">
        <f t="shared" si="3"/>
        <v>1130</v>
      </c>
    </row>
    <row r="44" spans="1:24" x14ac:dyDescent="0.3">
      <c r="A44" s="17">
        <v>42</v>
      </c>
      <c r="B44" s="2" t="s">
        <v>84</v>
      </c>
      <c r="C44" s="34">
        <v>6.06</v>
      </c>
      <c r="D44" s="3">
        <v>60</v>
      </c>
      <c r="E44" s="1">
        <f t="shared" si="4"/>
        <v>363.59999999999997</v>
      </c>
      <c r="G44" s="17">
        <v>42</v>
      </c>
      <c r="H44" s="2" t="s">
        <v>31</v>
      </c>
      <c r="K44" s="1">
        <f t="shared" si="1"/>
        <v>0</v>
      </c>
      <c r="N44" s="17">
        <v>42</v>
      </c>
      <c r="O44" s="2" t="s">
        <v>59</v>
      </c>
      <c r="P44" s="9">
        <v>2.85</v>
      </c>
      <c r="Q44" s="3">
        <v>70</v>
      </c>
      <c r="R44" s="1">
        <f t="shared" si="2"/>
        <v>199.5</v>
      </c>
      <c r="T44" s="17">
        <v>42</v>
      </c>
      <c r="U44" s="2" t="s">
        <v>59</v>
      </c>
      <c r="V44" s="9">
        <v>1.1000000000000001</v>
      </c>
      <c r="W44" s="3">
        <v>80</v>
      </c>
      <c r="X44" s="1">
        <f t="shared" si="3"/>
        <v>88</v>
      </c>
    </row>
    <row r="45" spans="1:24" x14ac:dyDescent="0.3">
      <c r="A45" s="17">
        <v>43</v>
      </c>
      <c r="B45" s="2" t="s">
        <v>83</v>
      </c>
      <c r="E45" s="1">
        <f t="shared" si="4"/>
        <v>0</v>
      </c>
      <c r="G45" s="17">
        <v>43</v>
      </c>
      <c r="H45" s="2" t="s">
        <v>63</v>
      </c>
      <c r="I45" s="34">
        <v>8</v>
      </c>
      <c r="J45" s="3">
        <v>76</v>
      </c>
      <c r="K45" s="3">
        <f t="shared" si="1"/>
        <v>608</v>
      </c>
      <c r="N45" s="17">
        <v>43</v>
      </c>
      <c r="O45" s="2" t="s">
        <v>30</v>
      </c>
      <c r="P45" s="9">
        <v>2</v>
      </c>
      <c r="Q45" s="3">
        <v>30</v>
      </c>
      <c r="R45" s="3">
        <f t="shared" si="2"/>
        <v>60</v>
      </c>
      <c r="T45" s="17">
        <v>43</v>
      </c>
      <c r="U45" s="2" t="s">
        <v>30</v>
      </c>
      <c r="V45" s="9">
        <v>21</v>
      </c>
      <c r="W45" s="3">
        <v>30</v>
      </c>
      <c r="X45" s="3">
        <f t="shared" si="3"/>
        <v>630</v>
      </c>
    </row>
    <row r="46" spans="1:24" x14ac:dyDescent="0.3">
      <c r="A46" s="17">
        <v>44</v>
      </c>
      <c r="B46" s="2" t="s">
        <v>15</v>
      </c>
      <c r="C46" s="34">
        <v>15.5</v>
      </c>
      <c r="D46" s="3">
        <v>72</v>
      </c>
      <c r="E46" s="1">
        <f t="shared" si="4"/>
        <v>1116</v>
      </c>
      <c r="G46" s="17">
        <v>44</v>
      </c>
      <c r="H46" s="2" t="s">
        <v>78</v>
      </c>
      <c r="I46" s="34">
        <v>29</v>
      </c>
      <c r="J46" s="3">
        <v>20</v>
      </c>
      <c r="K46" s="1">
        <f t="shared" si="1"/>
        <v>580</v>
      </c>
      <c r="O46" s="2" t="s">
        <v>80</v>
      </c>
      <c r="R46" s="1">
        <f t="shared" si="2"/>
        <v>0</v>
      </c>
      <c r="X46" s="1">
        <f t="shared" si="3"/>
        <v>0</v>
      </c>
    </row>
    <row r="47" spans="1:24" x14ac:dyDescent="0.3">
      <c r="A47" s="17">
        <v>45</v>
      </c>
      <c r="B47" s="2" t="s">
        <v>58</v>
      </c>
      <c r="C47" s="34">
        <v>6</v>
      </c>
      <c r="D47" s="3">
        <v>14</v>
      </c>
      <c r="E47" s="1">
        <f t="shared" si="4"/>
        <v>84</v>
      </c>
      <c r="G47" s="17">
        <v>45</v>
      </c>
      <c r="H47" s="2" t="s">
        <v>59</v>
      </c>
      <c r="K47" s="1">
        <f t="shared" si="1"/>
        <v>0</v>
      </c>
      <c r="R47" s="1"/>
      <c r="X47" s="1"/>
    </row>
    <row r="48" spans="1:24" x14ac:dyDescent="0.3">
      <c r="A48" s="17">
        <v>46</v>
      </c>
      <c r="B48" s="2" t="s">
        <v>60</v>
      </c>
      <c r="C48" s="34">
        <v>3</v>
      </c>
      <c r="D48" s="3">
        <v>8</v>
      </c>
      <c r="E48" s="3">
        <f t="shared" si="4"/>
        <v>24</v>
      </c>
      <c r="G48" s="17">
        <v>46</v>
      </c>
      <c r="H48" s="2" t="s">
        <v>30</v>
      </c>
      <c r="I48" s="34">
        <v>17</v>
      </c>
      <c r="J48" s="3">
        <v>29</v>
      </c>
      <c r="K48" s="1">
        <f t="shared" si="1"/>
        <v>493</v>
      </c>
      <c r="R48" s="1"/>
      <c r="X48" s="1"/>
    </row>
    <row r="49" spans="1:24" x14ac:dyDescent="0.3">
      <c r="A49" s="17">
        <v>47</v>
      </c>
      <c r="B49" s="2" t="s">
        <v>31</v>
      </c>
      <c r="E49" s="1">
        <f t="shared" si="4"/>
        <v>0</v>
      </c>
      <c r="K49" s="1"/>
      <c r="R49" s="1"/>
      <c r="X49" s="1"/>
    </row>
    <row r="50" spans="1:24" x14ac:dyDescent="0.3">
      <c r="A50" s="17">
        <v>48</v>
      </c>
      <c r="B50" s="2" t="s">
        <v>87</v>
      </c>
      <c r="C50" s="34">
        <v>4</v>
      </c>
      <c r="D50" s="3">
        <v>78</v>
      </c>
      <c r="E50" s="1">
        <f t="shared" si="4"/>
        <v>312</v>
      </c>
      <c r="K50" s="1"/>
      <c r="R50" s="1"/>
      <c r="X50" s="1"/>
    </row>
    <row r="51" spans="1:24" x14ac:dyDescent="0.3">
      <c r="A51" s="17">
        <v>49</v>
      </c>
      <c r="B51" s="2" t="s">
        <v>63</v>
      </c>
      <c r="C51" s="34">
        <v>1</v>
      </c>
      <c r="D51" s="3">
        <v>740</v>
      </c>
      <c r="E51" s="3">
        <f t="shared" si="4"/>
        <v>740</v>
      </c>
      <c r="K51" s="1"/>
      <c r="R51" s="1"/>
      <c r="X51" s="1"/>
    </row>
    <row r="52" spans="1:24" x14ac:dyDescent="0.3">
      <c r="A52" s="17">
        <v>50</v>
      </c>
      <c r="B52" s="2" t="s">
        <v>78</v>
      </c>
      <c r="C52" s="34">
        <f>13.5+3.05</f>
        <v>16.55</v>
      </c>
      <c r="D52" s="3">
        <v>20</v>
      </c>
      <c r="E52" s="1">
        <f t="shared" si="4"/>
        <v>331</v>
      </c>
      <c r="K52" s="1"/>
      <c r="R52" s="1"/>
      <c r="X52" s="1"/>
    </row>
    <row r="53" spans="1:24" ht="19.5" thickBot="1" x14ac:dyDescent="0.35">
      <c r="A53" s="17">
        <v>51</v>
      </c>
      <c r="B53" s="2" t="s">
        <v>59</v>
      </c>
      <c r="E53" s="1">
        <f t="shared" si="4"/>
        <v>0</v>
      </c>
      <c r="K53" s="1"/>
      <c r="R53" s="1"/>
      <c r="X53" s="1"/>
    </row>
    <row r="54" spans="1:24" ht="19.5" thickBot="1" x14ac:dyDescent="0.35">
      <c r="A54" s="17">
        <v>52</v>
      </c>
      <c r="B54" s="2" t="s">
        <v>30</v>
      </c>
      <c r="E54" s="1">
        <f t="shared" si="4"/>
        <v>0</v>
      </c>
      <c r="J54" s="30" t="s">
        <v>40</v>
      </c>
      <c r="K54" s="31">
        <f>SUM(K3:K48)</f>
        <v>90760.750000000015</v>
      </c>
      <c r="Q54" s="30" t="s">
        <v>40</v>
      </c>
      <c r="R54" s="31">
        <f>SUM(R3:R46)</f>
        <v>117404.755</v>
      </c>
      <c r="W54" s="30" t="s">
        <v>40</v>
      </c>
      <c r="X54" s="31">
        <f>SUM(X3:X46)</f>
        <v>99309.494999999995</v>
      </c>
    </row>
    <row r="55" spans="1:24" ht="19.5" thickBot="1" x14ac:dyDescent="0.35">
      <c r="B55" s="19"/>
      <c r="D55" s="30" t="s">
        <v>40</v>
      </c>
      <c r="E55" s="31">
        <f>SUM(E3:E48)</f>
        <v>107249.8</v>
      </c>
      <c r="H55" s="19"/>
      <c r="K55" s="16"/>
      <c r="O55" s="19"/>
      <c r="R55" s="16"/>
      <c r="U55" s="19"/>
      <c r="X55" s="16"/>
    </row>
    <row r="56" spans="1:24" x14ac:dyDescent="0.3">
      <c r="E56" s="28"/>
      <c r="K56" s="28"/>
      <c r="R56" s="28"/>
      <c r="X56" s="28"/>
    </row>
    <row r="57" spans="1:24" x14ac:dyDescent="0.3">
      <c r="E57" s="28"/>
      <c r="K57" s="28"/>
      <c r="R57" s="28"/>
      <c r="X57" s="28"/>
    </row>
    <row r="58" spans="1:24" x14ac:dyDescent="0.3">
      <c r="E58" s="16"/>
      <c r="K58" s="16"/>
      <c r="R58" s="16"/>
      <c r="X58" s="16"/>
    </row>
    <row r="59" spans="1:24" x14ac:dyDescent="0.3">
      <c r="E59" s="16"/>
      <c r="K59" s="16"/>
      <c r="R59" s="16"/>
      <c r="X59" s="16"/>
    </row>
    <row r="60" spans="1:24" x14ac:dyDescent="0.3">
      <c r="E60" s="16"/>
      <c r="K60" s="16"/>
      <c r="R60" s="16"/>
      <c r="X60" s="16"/>
    </row>
    <row r="61" spans="1:24" x14ac:dyDescent="0.3">
      <c r="E61" s="29"/>
      <c r="K61" s="29"/>
      <c r="R61" s="29"/>
      <c r="X61" s="29"/>
    </row>
  </sheetData>
  <sortState ref="B3:E54">
    <sortCondition ref="B3:B54"/>
  </sortState>
  <pageMargins left="0.70866141732283472" right="0.70866141732283472" top="0.35433070866141736" bottom="0.15748031496062992" header="0.31496062992125984" footer="0.31496062992125984"/>
  <pageSetup scale="7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63"/>
  <sheetViews>
    <sheetView workbookViewId="0">
      <selection activeCell="E21" sqref="E21"/>
    </sheetView>
  </sheetViews>
  <sheetFormatPr baseColWidth="10" defaultRowHeight="18.75" x14ac:dyDescent="0.3"/>
  <cols>
    <col min="1" max="1" width="10.28515625" customWidth="1"/>
    <col min="2" max="2" width="24.28515625" customWidth="1"/>
    <col min="3" max="3" width="12.7109375" bestFit="1" customWidth="1"/>
    <col min="4" max="4" width="12.28515625" bestFit="1" customWidth="1"/>
    <col min="5" max="5" width="17.42578125" bestFit="1" customWidth="1"/>
    <col min="8" max="8" width="10.28515625" customWidth="1"/>
    <col min="9" max="9" width="24.28515625" customWidth="1"/>
    <col min="10" max="10" width="12.7109375" bestFit="1" customWidth="1"/>
    <col min="11" max="11" width="12.28515625" bestFit="1" customWidth="1"/>
    <col min="12" max="12" width="17.42578125" bestFit="1" customWidth="1"/>
    <col min="15" max="15" width="11.42578125" style="17"/>
    <col min="16" max="16" width="19.42578125" style="2" bestFit="1" customWidth="1"/>
    <col min="17" max="17" width="12.7109375" style="34" bestFit="1" customWidth="1"/>
    <col min="18" max="18" width="12.28515625" style="3" bestFit="1" customWidth="1"/>
    <col min="19" max="19" width="18.5703125" style="2" customWidth="1"/>
    <col min="22" max="22" width="11.42578125" style="17"/>
    <col min="23" max="23" width="19.42578125" style="2" bestFit="1" customWidth="1"/>
    <col min="24" max="24" width="12.7109375" style="34" bestFit="1" customWidth="1"/>
    <col min="25" max="25" width="12.28515625" style="3" bestFit="1" customWidth="1"/>
    <col min="26" max="26" width="18.5703125" style="2" customWidth="1"/>
  </cols>
  <sheetData>
    <row r="1" spans="1:26" x14ac:dyDescent="0.3">
      <c r="A1" s="17"/>
      <c r="B1" s="2"/>
      <c r="C1" s="34"/>
      <c r="D1" s="3"/>
      <c r="E1" s="2"/>
      <c r="H1" s="17"/>
      <c r="I1" s="2"/>
      <c r="J1" s="34"/>
      <c r="K1" s="3"/>
      <c r="L1" s="2"/>
    </row>
    <row r="2" spans="1:26" ht="19.5" thickBot="1" x14ac:dyDescent="0.35">
      <c r="A2" s="17"/>
      <c r="B2" s="24" t="s">
        <v>104</v>
      </c>
      <c r="C2" s="32"/>
      <c r="D2" s="26"/>
      <c r="E2" s="27"/>
      <c r="H2" s="17"/>
      <c r="I2" s="24" t="s">
        <v>102</v>
      </c>
      <c r="J2" s="32"/>
      <c r="K2" s="26"/>
      <c r="L2" s="27"/>
      <c r="P2" s="24" t="s">
        <v>99</v>
      </c>
      <c r="Q2" s="32"/>
      <c r="R2" s="26"/>
      <c r="S2" s="27"/>
      <c r="W2" s="24" t="s">
        <v>94</v>
      </c>
      <c r="X2" s="32"/>
      <c r="Y2" s="26"/>
      <c r="Z2" s="27"/>
    </row>
    <row r="3" spans="1:26" ht="19.5" thickTop="1" x14ac:dyDescent="0.3">
      <c r="A3" s="17">
        <v>1</v>
      </c>
      <c r="B3" s="14" t="s">
        <v>51</v>
      </c>
      <c r="C3" s="33"/>
      <c r="D3" s="16"/>
      <c r="E3" s="1">
        <f t="shared" ref="E3:E61" si="0">D3*C3</f>
        <v>0</v>
      </c>
      <c r="H3" s="17">
        <v>1</v>
      </c>
      <c r="I3" s="14" t="s">
        <v>51</v>
      </c>
      <c r="J3" s="33"/>
      <c r="K3" s="16"/>
      <c r="L3" s="1">
        <f t="shared" ref="L3:L34" si="1">K3*J3</f>
        <v>0</v>
      </c>
      <c r="O3" s="17">
        <v>1</v>
      </c>
      <c r="P3" s="14" t="s">
        <v>51</v>
      </c>
      <c r="Q3" s="33"/>
      <c r="R3" s="16"/>
      <c r="S3" s="1">
        <f t="shared" ref="S3:S34" si="2">R3*Q3</f>
        <v>0</v>
      </c>
      <c r="V3" s="17">
        <v>1</v>
      </c>
      <c r="W3" s="14" t="s">
        <v>51</v>
      </c>
      <c r="X3" s="33"/>
      <c r="Y3" s="16"/>
      <c r="Z3" s="1">
        <f t="shared" ref="Z3:Z34" si="3">Y3*X3</f>
        <v>0</v>
      </c>
    </row>
    <row r="4" spans="1:26" x14ac:dyDescent="0.3">
      <c r="A4" s="17">
        <v>2</v>
      </c>
      <c r="B4" s="2" t="s">
        <v>91</v>
      </c>
      <c r="C4" s="34"/>
      <c r="D4" s="3"/>
      <c r="E4" s="3">
        <f t="shared" si="0"/>
        <v>0</v>
      </c>
      <c r="H4" s="17">
        <v>2</v>
      </c>
      <c r="I4" s="2" t="s">
        <v>91</v>
      </c>
      <c r="J4" s="34"/>
      <c r="K4" s="3"/>
      <c r="L4" s="3">
        <f t="shared" si="1"/>
        <v>0</v>
      </c>
      <c r="O4" s="17">
        <v>2</v>
      </c>
      <c r="P4" s="2" t="s">
        <v>91</v>
      </c>
      <c r="S4" s="3">
        <f t="shared" si="2"/>
        <v>0</v>
      </c>
      <c r="V4" s="17">
        <v>2</v>
      </c>
      <c r="W4" s="2" t="s">
        <v>91</v>
      </c>
      <c r="Z4" s="3">
        <f t="shared" si="3"/>
        <v>0</v>
      </c>
    </row>
    <row r="5" spans="1:26" x14ac:dyDescent="0.3">
      <c r="A5" s="17">
        <v>3</v>
      </c>
      <c r="B5" s="14" t="s">
        <v>22</v>
      </c>
      <c r="C5" s="33">
        <v>1</v>
      </c>
      <c r="D5" s="16">
        <v>54</v>
      </c>
      <c r="E5" s="1">
        <f t="shared" si="0"/>
        <v>54</v>
      </c>
      <c r="H5" s="17">
        <v>3</v>
      </c>
      <c r="I5" s="14" t="s">
        <v>22</v>
      </c>
      <c r="J5" s="33">
        <v>3.5</v>
      </c>
      <c r="K5" s="16">
        <v>52</v>
      </c>
      <c r="L5" s="1">
        <f t="shared" si="1"/>
        <v>182</v>
      </c>
      <c r="O5" s="17">
        <v>3</v>
      </c>
      <c r="P5" s="14" t="s">
        <v>22</v>
      </c>
      <c r="Q5" s="33">
        <v>4.5</v>
      </c>
      <c r="R5" s="16">
        <v>54</v>
      </c>
      <c r="S5" s="1">
        <f t="shared" si="2"/>
        <v>243</v>
      </c>
      <c r="V5" s="17">
        <v>3</v>
      </c>
      <c r="W5" s="14" t="s">
        <v>22</v>
      </c>
      <c r="X5" s="33">
        <v>4.5</v>
      </c>
      <c r="Y5" s="16">
        <v>54</v>
      </c>
      <c r="Z5" s="1">
        <f t="shared" si="3"/>
        <v>243</v>
      </c>
    </row>
    <row r="6" spans="1:26" x14ac:dyDescent="0.3">
      <c r="A6" s="17">
        <v>4</v>
      </c>
      <c r="B6" s="2" t="s">
        <v>44</v>
      </c>
      <c r="C6" s="34">
        <v>43.75</v>
      </c>
      <c r="D6" s="3">
        <v>20</v>
      </c>
      <c r="E6" s="1">
        <f t="shared" si="0"/>
        <v>875</v>
      </c>
      <c r="H6" s="17">
        <v>4</v>
      </c>
      <c r="I6" s="2" t="s">
        <v>44</v>
      </c>
      <c r="J6" s="34">
        <v>12.5</v>
      </c>
      <c r="K6" s="3">
        <v>20</v>
      </c>
      <c r="L6" s="1">
        <f t="shared" si="1"/>
        <v>250</v>
      </c>
      <c r="O6" s="17">
        <v>4</v>
      </c>
      <c r="P6" s="2" t="s">
        <v>44</v>
      </c>
      <c r="Q6" s="34">
        <f>24.65+3.4</f>
        <v>28.049999999999997</v>
      </c>
      <c r="R6" s="3">
        <v>20</v>
      </c>
      <c r="S6" s="1">
        <f t="shared" si="2"/>
        <v>561</v>
      </c>
      <c r="V6" s="17">
        <v>4</v>
      </c>
      <c r="W6" s="2" t="s">
        <v>44</v>
      </c>
      <c r="X6" s="34">
        <v>37</v>
      </c>
      <c r="Y6" s="3">
        <v>20</v>
      </c>
      <c r="Z6" s="1">
        <f t="shared" si="3"/>
        <v>740</v>
      </c>
    </row>
    <row r="7" spans="1:26" x14ac:dyDescent="0.3">
      <c r="A7" s="17">
        <v>5</v>
      </c>
      <c r="B7" s="2" t="s">
        <v>90</v>
      </c>
      <c r="C7" s="34"/>
      <c r="D7" s="3"/>
      <c r="E7" s="1">
        <f t="shared" si="0"/>
        <v>0</v>
      </c>
      <c r="H7" s="17">
        <v>5</v>
      </c>
      <c r="I7" s="2" t="s">
        <v>97</v>
      </c>
      <c r="J7" s="34">
        <v>110</v>
      </c>
      <c r="K7" s="3">
        <v>40.5</v>
      </c>
      <c r="L7" s="1">
        <f t="shared" si="1"/>
        <v>4455</v>
      </c>
      <c r="O7" s="17">
        <v>5</v>
      </c>
      <c r="P7" s="2" t="s">
        <v>97</v>
      </c>
      <c r="Q7" s="34">
        <v>130</v>
      </c>
      <c r="R7" s="3">
        <v>40</v>
      </c>
      <c r="S7" s="1">
        <f t="shared" si="2"/>
        <v>5200</v>
      </c>
      <c r="V7" s="17">
        <v>5</v>
      </c>
      <c r="W7" s="2" t="s">
        <v>97</v>
      </c>
      <c r="X7" s="34">
        <v>76.5</v>
      </c>
      <c r="Y7" s="3">
        <v>40</v>
      </c>
      <c r="Z7" s="1">
        <f t="shared" si="3"/>
        <v>3060</v>
      </c>
    </row>
    <row r="8" spans="1:26" x14ac:dyDescent="0.3">
      <c r="A8" s="17">
        <v>6</v>
      </c>
      <c r="B8" s="2" t="s">
        <v>20</v>
      </c>
      <c r="C8" s="34">
        <v>14</v>
      </c>
      <c r="D8" s="3">
        <v>86</v>
      </c>
      <c r="E8" s="1">
        <f t="shared" si="0"/>
        <v>1204</v>
      </c>
      <c r="H8" s="17">
        <v>6</v>
      </c>
      <c r="I8" s="2" t="s">
        <v>90</v>
      </c>
      <c r="J8" s="34"/>
      <c r="K8" s="3"/>
      <c r="L8" s="1">
        <f t="shared" si="1"/>
        <v>0</v>
      </c>
      <c r="O8" s="17">
        <v>6</v>
      </c>
      <c r="P8" s="2" t="s">
        <v>90</v>
      </c>
      <c r="S8" s="1">
        <f t="shared" si="2"/>
        <v>0</v>
      </c>
      <c r="V8" s="17">
        <v>6</v>
      </c>
      <c r="W8" s="2" t="s">
        <v>90</v>
      </c>
      <c r="Z8" s="1">
        <f t="shared" si="3"/>
        <v>0</v>
      </c>
    </row>
    <row r="9" spans="1:26" x14ac:dyDescent="0.3">
      <c r="A9" s="17">
        <v>7</v>
      </c>
      <c r="B9" s="2" t="s">
        <v>106</v>
      </c>
      <c r="C9" s="34">
        <v>1.5</v>
      </c>
      <c r="D9" s="3">
        <v>78</v>
      </c>
      <c r="E9" s="1">
        <f t="shared" si="0"/>
        <v>117</v>
      </c>
      <c r="H9" s="17">
        <v>7</v>
      </c>
      <c r="I9" s="2" t="s">
        <v>20</v>
      </c>
      <c r="J9" s="34">
        <v>16</v>
      </c>
      <c r="K9" s="3">
        <v>86</v>
      </c>
      <c r="L9" s="1">
        <f t="shared" si="1"/>
        <v>1376</v>
      </c>
      <c r="O9" s="17">
        <v>7</v>
      </c>
      <c r="P9" s="2" t="s">
        <v>20</v>
      </c>
      <c r="Q9" s="34">
        <v>17</v>
      </c>
      <c r="R9" s="3">
        <v>86</v>
      </c>
      <c r="S9" s="1">
        <f t="shared" si="2"/>
        <v>1462</v>
      </c>
      <c r="V9" s="17">
        <v>7</v>
      </c>
      <c r="W9" s="2" t="s">
        <v>20</v>
      </c>
      <c r="X9" s="34">
        <v>18.5</v>
      </c>
      <c r="Y9" s="3">
        <v>86</v>
      </c>
      <c r="Z9" s="1">
        <f t="shared" si="3"/>
        <v>1591</v>
      </c>
    </row>
    <row r="10" spans="1:26" x14ac:dyDescent="0.3">
      <c r="A10" s="17">
        <v>8</v>
      </c>
      <c r="B10" s="2" t="s">
        <v>96</v>
      </c>
      <c r="C10" s="34">
        <v>3.54</v>
      </c>
      <c r="D10" s="3">
        <v>74</v>
      </c>
      <c r="E10" s="1">
        <f t="shared" si="0"/>
        <v>261.95999999999998</v>
      </c>
      <c r="H10" s="17">
        <v>8</v>
      </c>
      <c r="I10" s="2" t="s">
        <v>96</v>
      </c>
      <c r="J10" s="34">
        <v>3.8</v>
      </c>
      <c r="K10" s="3">
        <v>74</v>
      </c>
      <c r="L10" s="1">
        <f t="shared" si="1"/>
        <v>281.2</v>
      </c>
      <c r="O10" s="17">
        <v>8</v>
      </c>
      <c r="P10" s="2" t="s">
        <v>96</v>
      </c>
      <c r="Q10" s="34">
        <v>4.25</v>
      </c>
      <c r="R10" s="3">
        <v>74</v>
      </c>
      <c r="S10" s="1">
        <f t="shared" si="2"/>
        <v>314.5</v>
      </c>
      <c r="V10" s="17">
        <v>8</v>
      </c>
      <c r="W10" s="2" t="s">
        <v>96</v>
      </c>
      <c r="X10" s="34">
        <v>5.45</v>
      </c>
      <c r="Y10" s="3">
        <v>78</v>
      </c>
      <c r="Z10" s="1">
        <f t="shared" si="3"/>
        <v>425.1</v>
      </c>
    </row>
    <row r="11" spans="1:26" x14ac:dyDescent="0.3">
      <c r="A11" s="17">
        <v>9</v>
      </c>
      <c r="B11" s="2" t="s">
        <v>100</v>
      </c>
      <c r="C11" s="34">
        <v>26.2</v>
      </c>
      <c r="D11" s="3">
        <v>49</v>
      </c>
      <c r="E11" s="1">
        <f t="shared" si="0"/>
        <v>1283.8</v>
      </c>
      <c r="H11" s="17">
        <v>9</v>
      </c>
      <c r="I11" s="2" t="s">
        <v>100</v>
      </c>
      <c r="J11" s="34">
        <v>2.5</v>
      </c>
      <c r="K11" s="3">
        <v>50</v>
      </c>
      <c r="L11" s="1">
        <f t="shared" si="1"/>
        <v>125</v>
      </c>
      <c r="O11" s="17">
        <v>9</v>
      </c>
      <c r="P11" s="2" t="s">
        <v>100</v>
      </c>
      <c r="Q11" s="34">
        <v>1.55</v>
      </c>
      <c r="R11" s="3">
        <v>60</v>
      </c>
      <c r="S11" s="1">
        <f t="shared" si="2"/>
        <v>93</v>
      </c>
      <c r="V11" s="17">
        <v>9</v>
      </c>
      <c r="W11" s="2" t="s">
        <v>45</v>
      </c>
      <c r="X11" s="34">
        <v>6.6</v>
      </c>
      <c r="Y11" s="3">
        <v>60</v>
      </c>
      <c r="Z11" s="1">
        <f t="shared" si="3"/>
        <v>396</v>
      </c>
    </row>
    <row r="12" spans="1:26" x14ac:dyDescent="0.3">
      <c r="A12" s="17">
        <v>10</v>
      </c>
      <c r="B12" s="2" t="s">
        <v>9</v>
      </c>
      <c r="C12" s="34">
        <v>54.5</v>
      </c>
      <c r="D12" s="3">
        <v>20</v>
      </c>
      <c r="E12" s="1">
        <f t="shared" si="0"/>
        <v>1090</v>
      </c>
      <c r="H12" s="17">
        <v>10</v>
      </c>
      <c r="I12" s="2" t="s">
        <v>9</v>
      </c>
      <c r="J12" s="34">
        <f>186.8+7.35</f>
        <v>194.15</v>
      </c>
      <c r="K12" s="3">
        <v>20</v>
      </c>
      <c r="L12" s="1">
        <f t="shared" si="1"/>
        <v>3883</v>
      </c>
      <c r="O12" s="17">
        <v>10</v>
      </c>
      <c r="P12" s="2" t="s">
        <v>9</v>
      </c>
      <c r="Q12" s="34">
        <v>163.6</v>
      </c>
      <c r="R12" s="3">
        <v>20</v>
      </c>
      <c r="S12" s="1">
        <f t="shared" si="2"/>
        <v>3272</v>
      </c>
      <c r="V12" s="17">
        <v>10</v>
      </c>
      <c r="W12" s="2" t="s">
        <v>9</v>
      </c>
      <c r="X12" s="34">
        <v>59</v>
      </c>
      <c r="Y12" s="3">
        <v>20</v>
      </c>
      <c r="Z12" s="1">
        <f t="shared" si="3"/>
        <v>1180</v>
      </c>
    </row>
    <row r="13" spans="1:26" x14ac:dyDescent="0.3">
      <c r="A13" s="17">
        <v>11</v>
      </c>
      <c r="B13" s="2" t="s">
        <v>4</v>
      </c>
      <c r="C13" s="34">
        <v>949.6</v>
      </c>
      <c r="D13" s="3">
        <v>33.299999999999997</v>
      </c>
      <c r="E13" s="1">
        <f t="shared" si="0"/>
        <v>31621.679999999997</v>
      </c>
      <c r="H13" s="17">
        <v>11</v>
      </c>
      <c r="I13" s="2" t="s">
        <v>4</v>
      </c>
      <c r="J13" s="34">
        <v>938.39</v>
      </c>
      <c r="K13" s="3">
        <v>32.5</v>
      </c>
      <c r="L13" s="1">
        <f t="shared" si="1"/>
        <v>30497.674999999999</v>
      </c>
      <c r="O13" s="17">
        <v>11</v>
      </c>
      <c r="P13" s="2" t="s">
        <v>4</v>
      </c>
      <c r="Q13" s="34">
        <f>939.8+919.9</f>
        <v>1859.6999999999998</v>
      </c>
      <c r="R13" s="3">
        <v>31</v>
      </c>
      <c r="S13" s="1">
        <f t="shared" si="2"/>
        <v>57650.7</v>
      </c>
      <c r="V13" s="17">
        <v>11</v>
      </c>
      <c r="W13" s="2" t="s">
        <v>4</v>
      </c>
      <c r="X13" s="34">
        <f>923.5+954</f>
        <v>1877.5</v>
      </c>
      <c r="Y13" s="3">
        <v>30</v>
      </c>
      <c r="Z13" s="1">
        <f t="shared" si="3"/>
        <v>56325</v>
      </c>
    </row>
    <row r="14" spans="1:26" x14ac:dyDescent="0.3">
      <c r="A14" s="17">
        <v>12</v>
      </c>
      <c r="B14" s="2" t="s">
        <v>35</v>
      </c>
      <c r="C14" s="34">
        <v>1</v>
      </c>
      <c r="D14" s="3">
        <v>14</v>
      </c>
      <c r="E14" s="1">
        <f t="shared" si="0"/>
        <v>14</v>
      </c>
      <c r="H14" s="17">
        <v>12</v>
      </c>
      <c r="I14" s="2" t="s">
        <v>35</v>
      </c>
      <c r="J14" s="34">
        <v>1</v>
      </c>
      <c r="K14" s="3">
        <v>14</v>
      </c>
      <c r="L14" s="1">
        <f t="shared" si="1"/>
        <v>14</v>
      </c>
      <c r="O14" s="17">
        <v>12</v>
      </c>
      <c r="P14" s="2" t="s">
        <v>35</v>
      </c>
      <c r="Q14" s="34">
        <v>1</v>
      </c>
      <c r="R14" s="3">
        <v>14</v>
      </c>
      <c r="S14" s="1">
        <f t="shared" si="2"/>
        <v>14</v>
      </c>
      <c r="V14" s="17">
        <v>12</v>
      </c>
      <c r="W14" s="2" t="s">
        <v>35</v>
      </c>
      <c r="X14" s="34">
        <v>3</v>
      </c>
      <c r="Y14" s="3">
        <v>14</v>
      </c>
      <c r="Z14" s="1">
        <f t="shared" si="3"/>
        <v>42</v>
      </c>
    </row>
    <row r="15" spans="1:26" x14ac:dyDescent="0.3">
      <c r="A15" s="17">
        <v>13</v>
      </c>
      <c r="B15" s="2" t="s">
        <v>1</v>
      </c>
      <c r="C15" s="34"/>
      <c r="D15" s="3"/>
      <c r="E15" s="1">
        <f t="shared" si="0"/>
        <v>0</v>
      </c>
      <c r="H15" s="17">
        <v>13</v>
      </c>
      <c r="I15" s="2" t="s">
        <v>1</v>
      </c>
      <c r="J15" s="34"/>
      <c r="K15" s="3"/>
      <c r="L15" s="1">
        <f t="shared" si="1"/>
        <v>0</v>
      </c>
      <c r="O15" s="17">
        <v>13</v>
      </c>
      <c r="P15" s="2" t="s">
        <v>1</v>
      </c>
      <c r="S15" s="1">
        <f t="shared" si="2"/>
        <v>0</v>
      </c>
      <c r="V15" s="17">
        <v>13</v>
      </c>
      <c r="W15" s="2" t="s">
        <v>1</v>
      </c>
      <c r="X15" s="34">
        <v>31.8</v>
      </c>
      <c r="Y15" s="3">
        <v>97</v>
      </c>
      <c r="Z15" s="1">
        <f t="shared" si="3"/>
        <v>3084.6</v>
      </c>
    </row>
    <row r="16" spans="1:26" x14ac:dyDescent="0.3">
      <c r="A16" s="17">
        <v>14</v>
      </c>
      <c r="B16" s="2" t="s">
        <v>95</v>
      </c>
      <c r="C16" s="34"/>
      <c r="D16" s="3"/>
      <c r="E16" s="1">
        <f t="shared" si="0"/>
        <v>0</v>
      </c>
      <c r="H16" s="17">
        <v>14</v>
      </c>
      <c r="I16" s="2" t="s">
        <v>95</v>
      </c>
      <c r="J16" s="34"/>
      <c r="K16" s="3"/>
      <c r="L16" s="1">
        <f t="shared" si="1"/>
        <v>0</v>
      </c>
      <c r="O16" s="17">
        <v>14</v>
      </c>
      <c r="P16" s="2" t="s">
        <v>95</v>
      </c>
      <c r="Q16" s="34">
        <v>28.6</v>
      </c>
      <c r="R16" s="3">
        <v>97</v>
      </c>
      <c r="S16" s="1">
        <f t="shared" si="2"/>
        <v>2774.2000000000003</v>
      </c>
      <c r="V16" s="17">
        <v>14</v>
      </c>
      <c r="W16" s="2" t="s">
        <v>95</v>
      </c>
      <c r="X16" s="34">
        <v>11.5</v>
      </c>
      <c r="Y16" s="3">
        <v>105</v>
      </c>
      <c r="Z16" s="1">
        <f t="shared" si="3"/>
        <v>1207.5</v>
      </c>
    </row>
    <row r="17" spans="1:26" x14ac:dyDescent="0.3">
      <c r="A17" s="17">
        <v>15</v>
      </c>
      <c r="B17" s="2" t="s">
        <v>66</v>
      </c>
      <c r="C17" s="34">
        <f>2.86+23.5+54+0.5</f>
        <v>80.86</v>
      </c>
      <c r="D17" s="3">
        <v>54</v>
      </c>
      <c r="E17" s="1">
        <f t="shared" si="0"/>
        <v>4366.4399999999996</v>
      </c>
      <c r="H17" s="17">
        <v>15</v>
      </c>
      <c r="I17" s="2" t="s">
        <v>66</v>
      </c>
      <c r="J17" s="34"/>
      <c r="K17" s="3"/>
      <c r="L17" s="1">
        <f t="shared" si="1"/>
        <v>0</v>
      </c>
      <c r="O17" s="17">
        <v>15</v>
      </c>
      <c r="P17" s="2" t="s">
        <v>66</v>
      </c>
      <c r="Q17" s="34">
        <v>17.23</v>
      </c>
      <c r="R17" s="3">
        <v>50</v>
      </c>
      <c r="S17" s="1">
        <f t="shared" si="2"/>
        <v>861.5</v>
      </c>
      <c r="V17" s="17">
        <v>15</v>
      </c>
      <c r="W17" s="2" t="s">
        <v>66</v>
      </c>
      <c r="X17" s="34">
        <v>2</v>
      </c>
      <c r="Y17" s="3">
        <v>64</v>
      </c>
      <c r="Z17" s="1">
        <f t="shared" si="3"/>
        <v>128</v>
      </c>
    </row>
    <row r="18" spans="1:26" x14ac:dyDescent="0.3">
      <c r="A18" s="17">
        <v>16</v>
      </c>
      <c r="B18" s="2" t="s">
        <v>98</v>
      </c>
      <c r="C18" s="34"/>
      <c r="D18" s="3"/>
      <c r="E18" s="1">
        <f t="shared" si="0"/>
        <v>0</v>
      </c>
      <c r="H18" s="17">
        <v>16</v>
      </c>
      <c r="I18" s="2" t="s">
        <v>98</v>
      </c>
      <c r="J18" s="34">
        <v>11.5</v>
      </c>
      <c r="K18" s="3">
        <v>50</v>
      </c>
      <c r="L18" s="1">
        <f t="shared" si="1"/>
        <v>575</v>
      </c>
      <c r="O18" s="17">
        <v>16</v>
      </c>
      <c r="P18" s="2" t="s">
        <v>98</v>
      </c>
      <c r="S18" s="1">
        <f t="shared" si="2"/>
        <v>0</v>
      </c>
      <c r="V18" s="17">
        <v>16</v>
      </c>
      <c r="W18" s="2" t="s">
        <v>98</v>
      </c>
      <c r="X18" s="34">
        <v>17.23</v>
      </c>
      <c r="Y18" s="3">
        <v>50</v>
      </c>
      <c r="Z18" s="1">
        <f t="shared" si="3"/>
        <v>861.5</v>
      </c>
    </row>
    <row r="19" spans="1:26" x14ac:dyDescent="0.3">
      <c r="A19" s="17">
        <v>17</v>
      </c>
      <c r="B19" s="2" t="s">
        <v>86</v>
      </c>
      <c r="C19" s="34"/>
      <c r="D19" s="3"/>
      <c r="E19" s="1">
        <f t="shared" si="0"/>
        <v>0</v>
      </c>
      <c r="H19" s="17">
        <v>17</v>
      </c>
      <c r="I19" s="2" t="s">
        <v>86</v>
      </c>
      <c r="J19" s="34"/>
      <c r="K19" s="3"/>
      <c r="L19" s="1">
        <f t="shared" si="1"/>
        <v>0</v>
      </c>
      <c r="O19" s="17">
        <v>17</v>
      </c>
      <c r="P19" s="2" t="s">
        <v>86</v>
      </c>
      <c r="S19" s="1">
        <f t="shared" si="2"/>
        <v>0</v>
      </c>
      <c r="V19" s="17">
        <v>17</v>
      </c>
      <c r="W19" s="2" t="s">
        <v>86</v>
      </c>
      <c r="Z19" s="1">
        <f t="shared" si="3"/>
        <v>0</v>
      </c>
    </row>
    <row r="20" spans="1:26" x14ac:dyDescent="0.3">
      <c r="A20" s="17">
        <v>18</v>
      </c>
      <c r="B20" s="2" t="s">
        <v>92</v>
      </c>
      <c r="C20" s="34"/>
      <c r="D20" s="3"/>
      <c r="E20" s="3">
        <f t="shared" si="0"/>
        <v>0</v>
      </c>
      <c r="H20" s="17">
        <v>18</v>
      </c>
      <c r="I20" s="2" t="s">
        <v>92</v>
      </c>
      <c r="J20" s="34"/>
      <c r="K20" s="3"/>
      <c r="L20" s="3">
        <f t="shared" si="1"/>
        <v>0</v>
      </c>
      <c r="O20" s="17">
        <v>18</v>
      </c>
      <c r="P20" s="2" t="s">
        <v>92</v>
      </c>
      <c r="S20" s="3">
        <f t="shared" si="2"/>
        <v>0</v>
      </c>
      <c r="V20" s="17">
        <v>18</v>
      </c>
      <c r="W20" s="2" t="s">
        <v>92</v>
      </c>
      <c r="Z20" s="3">
        <f t="shared" si="3"/>
        <v>0</v>
      </c>
    </row>
    <row r="21" spans="1:26" x14ac:dyDescent="0.3">
      <c r="A21" s="17">
        <v>19</v>
      </c>
      <c r="B21" s="2" t="s">
        <v>2</v>
      </c>
      <c r="C21" s="34">
        <v>99.5</v>
      </c>
      <c r="D21" s="3">
        <v>24</v>
      </c>
      <c r="E21" s="1">
        <f t="shared" si="0"/>
        <v>2388</v>
      </c>
      <c r="H21" s="17">
        <v>19</v>
      </c>
      <c r="I21" s="2" t="s">
        <v>2</v>
      </c>
      <c r="J21" s="34">
        <f>2+53.2</f>
        <v>55.2</v>
      </c>
      <c r="K21" s="3">
        <v>24</v>
      </c>
      <c r="L21" s="1">
        <f t="shared" si="1"/>
        <v>1324.8000000000002</v>
      </c>
      <c r="O21" s="17">
        <v>19</v>
      </c>
      <c r="P21" s="2" t="s">
        <v>2</v>
      </c>
      <c r="Q21" s="34">
        <f>79.3+23.3</f>
        <v>102.6</v>
      </c>
      <c r="R21" s="3">
        <v>23</v>
      </c>
      <c r="S21" s="1">
        <f t="shared" si="2"/>
        <v>2359.7999999999997</v>
      </c>
      <c r="V21" s="17">
        <v>19</v>
      </c>
      <c r="W21" s="2" t="s">
        <v>2</v>
      </c>
      <c r="X21" s="34">
        <v>60.4</v>
      </c>
      <c r="Y21" s="3">
        <v>23</v>
      </c>
      <c r="Z21" s="1">
        <f t="shared" si="3"/>
        <v>1389.2</v>
      </c>
    </row>
    <row r="22" spans="1:26" x14ac:dyDescent="0.3">
      <c r="A22" s="17">
        <v>20</v>
      </c>
      <c r="B22" s="2" t="s">
        <v>88</v>
      </c>
      <c r="C22" s="34"/>
      <c r="D22" s="3"/>
      <c r="E22" s="1">
        <f t="shared" si="0"/>
        <v>0</v>
      </c>
      <c r="H22" s="17">
        <v>20</v>
      </c>
      <c r="I22" s="2" t="s">
        <v>88</v>
      </c>
      <c r="J22" s="34">
        <v>27.22</v>
      </c>
      <c r="K22" s="3">
        <v>25</v>
      </c>
      <c r="L22" s="1">
        <f t="shared" si="1"/>
        <v>680.5</v>
      </c>
      <c r="O22" s="17">
        <v>20</v>
      </c>
      <c r="P22" s="2" t="s">
        <v>88</v>
      </c>
      <c r="S22" s="1">
        <f t="shared" si="2"/>
        <v>0</v>
      </c>
      <c r="V22" s="17">
        <v>20</v>
      </c>
      <c r="W22" s="2" t="s">
        <v>88</v>
      </c>
      <c r="Z22" s="1">
        <f t="shared" si="3"/>
        <v>0</v>
      </c>
    </row>
    <row r="23" spans="1:26" x14ac:dyDescent="0.3">
      <c r="A23" s="17">
        <v>21</v>
      </c>
      <c r="B23" s="2" t="s">
        <v>10</v>
      </c>
      <c r="C23" s="34">
        <f>29.5+247</f>
        <v>276.5</v>
      </c>
      <c r="D23" s="3">
        <v>13</v>
      </c>
      <c r="E23" s="1">
        <f t="shared" si="0"/>
        <v>3594.5</v>
      </c>
      <c r="H23" s="17">
        <v>21</v>
      </c>
      <c r="I23" s="2" t="s">
        <v>10</v>
      </c>
      <c r="J23" s="34">
        <f>220-26+427</f>
        <v>621</v>
      </c>
      <c r="K23" s="3">
        <v>13</v>
      </c>
      <c r="L23" s="1">
        <f t="shared" si="1"/>
        <v>8073</v>
      </c>
      <c r="O23" s="17">
        <v>21</v>
      </c>
      <c r="P23" s="2" t="s">
        <v>10</v>
      </c>
      <c r="Q23" s="34">
        <f>652-276</f>
        <v>376</v>
      </c>
      <c r="R23" s="3">
        <v>12</v>
      </c>
      <c r="S23" s="1">
        <f t="shared" si="2"/>
        <v>4512</v>
      </c>
      <c r="V23" s="17">
        <v>21</v>
      </c>
      <c r="W23" s="2" t="s">
        <v>10</v>
      </c>
      <c r="X23" s="34">
        <v>652</v>
      </c>
      <c r="Y23" s="3">
        <v>12</v>
      </c>
      <c r="Z23" s="1">
        <f t="shared" si="3"/>
        <v>7824</v>
      </c>
    </row>
    <row r="24" spans="1:26" x14ac:dyDescent="0.3">
      <c r="A24" s="17">
        <v>22</v>
      </c>
      <c r="B24" s="2" t="s">
        <v>80</v>
      </c>
      <c r="C24" s="34">
        <v>3.5</v>
      </c>
      <c r="D24" s="3">
        <v>26</v>
      </c>
      <c r="E24" s="3">
        <f t="shared" si="0"/>
        <v>91</v>
      </c>
      <c r="H24" s="17">
        <v>22</v>
      </c>
      <c r="I24" s="2" t="s">
        <v>80</v>
      </c>
      <c r="J24" s="34"/>
      <c r="K24" s="3"/>
      <c r="L24" s="3">
        <f t="shared" si="1"/>
        <v>0</v>
      </c>
      <c r="O24" s="17">
        <v>22</v>
      </c>
      <c r="P24" s="2" t="s">
        <v>80</v>
      </c>
      <c r="S24" s="3">
        <f t="shared" si="2"/>
        <v>0</v>
      </c>
      <c r="V24" s="17">
        <v>22</v>
      </c>
      <c r="W24" s="2" t="s">
        <v>80</v>
      </c>
      <c r="X24" s="34">
        <v>8</v>
      </c>
      <c r="Y24" s="3">
        <v>26</v>
      </c>
      <c r="Z24" s="3">
        <f t="shared" si="3"/>
        <v>208</v>
      </c>
    </row>
    <row r="25" spans="1:26" x14ac:dyDescent="0.3">
      <c r="A25" s="17">
        <v>23</v>
      </c>
      <c r="B25" s="2" t="s">
        <v>75</v>
      </c>
      <c r="C25" s="34">
        <v>6.3</v>
      </c>
      <c r="D25" s="3">
        <v>65</v>
      </c>
      <c r="E25" s="3">
        <f t="shared" si="0"/>
        <v>409.5</v>
      </c>
      <c r="H25" s="17">
        <v>23</v>
      </c>
      <c r="I25" s="2" t="s">
        <v>75</v>
      </c>
      <c r="J25" s="34">
        <v>2.2400000000000002</v>
      </c>
      <c r="K25" s="3">
        <v>65</v>
      </c>
      <c r="L25" s="3">
        <f t="shared" si="1"/>
        <v>145.60000000000002</v>
      </c>
      <c r="O25" s="17">
        <v>23</v>
      </c>
      <c r="P25" s="2" t="s">
        <v>75</v>
      </c>
      <c r="Q25" s="34">
        <v>2.2999999999999998</v>
      </c>
      <c r="R25" s="3">
        <v>68</v>
      </c>
      <c r="S25" s="3">
        <f t="shared" si="2"/>
        <v>156.39999999999998</v>
      </c>
      <c r="V25" s="17">
        <v>23</v>
      </c>
      <c r="W25" s="2" t="s">
        <v>75</v>
      </c>
      <c r="X25" s="34">
        <v>6.9</v>
      </c>
      <c r="Y25" s="3">
        <v>65</v>
      </c>
      <c r="Z25" s="3">
        <f t="shared" si="3"/>
        <v>448.5</v>
      </c>
    </row>
    <row r="26" spans="1:26" x14ac:dyDescent="0.3">
      <c r="A26" s="17">
        <v>24</v>
      </c>
      <c r="B26" s="2" t="s">
        <v>25</v>
      </c>
      <c r="C26" s="34"/>
      <c r="D26" s="3"/>
      <c r="E26" s="1">
        <f t="shared" si="0"/>
        <v>0</v>
      </c>
      <c r="H26" s="17">
        <v>24</v>
      </c>
      <c r="I26" s="2" t="s">
        <v>25</v>
      </c>
      <c r="J26" s="34"/>
      <c r="K26" s="3"/>
      <c r="L26" s="1">
        <f t="shared" si="1"/>
        <v>0</v>
      </c>
      <c r="O26" s="17">
        <v>24</v>
      </c>
      <c r="P26" s="2" t="s">
        <v>25</v>
      </c>
      <c r="S26" s="1">
        <f t="shared" si="2"/>
        <v>0</v>
      </c>
      <c r="V26" s="17">
        <v>24</v>
      </c>
      <c r="W26" s="2" t="s">
        <v>25</v>
      </c>
      <c r="Z26" s="1">
        <f t="shared" si="3"/>
        <v>0</v>
      </c>
    </row>
    <row r="27" spans="1:26" x14ac:dyDescent="0.3">
      <c r="A27" s="17">
        <v>25</v>
      </c>
      <c r="B27" s="2" t="s">
        <v>7</v>
      </c>
      <c r="C27" s="34">
        <v>0.82499999999999996</v>
      </c>
      <c r="D27" s="3">
        <v>52</v>
      </c>
      <c r="E27" s="1">
        <f t="shared" si="0"/>
        <v>42.9</v>
      </c>
      <c r="H27" s="17">
        <v>25</v>
      </c>
      <c r="I27" s="2" t="s">
        <v>7</v>
      </c>
      <c r="J27" s="34">
        <v>1.95</v>
      </c>
      <c r="K27" s="3">
        <v>50</v>
      </c>
      <c r="L27" s="1">
        <f t="shared" si="1"/>
        <v>97.5</v>
      </c>
      <c r="O27" s="17">
        <v>25</v>
      </c>
      <c r="P27" s="2" t="s">
        <v>7</v>
      </c>
      <c r="S27" s="1">
        <f t="shared" si="2"/>
        <v>0</v>
      </c>
      <c r="V27" s="17">
        <v>25</v>
      </c>
      <c r="W27" s="2" t="s">
        <v>7</v>
      </c>
      <c r="X27" s="34">
        <v>15.5</v>
      </c>
      <c r="Y27" s="3">
        <v>46</v>
      </c>
      <c r="Z27" s="1">
        <f t="shared" si="3"/>
        <v>713</v>
      </c>
    </row>
    <row r="28" spans="1:26" x14ac:dyDescent="0.3">
      <c r="A28" s="17">
        <v>26</v>
      </c>
      <c r="B28" s="2" t="s">
        <v>67</v>
      </c>
      <c r="C28" s="34"/>
      <c r="D28" s="3"/>
      <c r="E28" s="3">
        <f t="shared" si="0"/>
        <v>0</v>
      </c>
      <c r="H28" s="17">
        <v>26</v>
      </c>
      <c r="I28" s="2" t="s">
        <v>67</v>
      </c>
      <c r="J28" s="34"/>
      <c r="K28" s="3"/>
      <c r="L28" s="3">
        <f t="shared" si="1"/>
        <v>0</v>
      </c>
      <c r="O28" s="17">
        <v>26</v>
      </c>
      <c r="P28" s="2" t="s">
        <v>67</v>
      </c>
      <c r="S28" s="3">
        <f t="shared" si="2"/>
        <v>0</v>
      </c>
      <c r="V28" s="17">
        <v>26</v>
      </c>
      <c r="W28" s="2" t="s">
        <v>67</v>
      </c>
      <c r="Z28" s="3">
        <f t="shared" si="3"/>
        <v>0</v>
      </c>
    </row>
    <row r="29" spans="1:26" x14ac:dyDescent="0.3">
      <c r="A29" s="17">
        <v>27</v>
      </c>
      <c r="B29" s="2" t="s">
        <v>27</v>
      </c>
      <c r="C29" s="34"/>
      <c r="D29" s="3"/>
      <c r="E29" s="1">
        <f t="shared" si="0"/>
        <v>0</v>
      </c>
      <c r="H29" s="17">
        <v>27</v>
      </c>
      <c r="I29" s="2" t="s">
        <v>27</v>
      </c>
      <c r="J29" s="34">
        <f>15.5+8</f>
        <v>23.5</v>
      </c>
      <c r="K29" s="3">
        <v>18</v>
      </c>
      <c r="L29" s="1">
        <f t="shared" si="1"/>
        <v>423</v>
      </c>
      <c r="O29" s="17">
        <v>27</v>
      </c>
      <c r="P29" s="2" t="s">
        <v>27</v>
      </c>
      <c r="Q29" s="34">
        <f>10.5+6.56</f>
        <v>17.059999999999999</v>
      </c>
      <c r="R29" s="3">
        <v>16</v>
      </c>
      <c r="S29" s="1">
        <f t="shared" si="2"/>
        <v>272.95999999999998</v>
      </c>
      <c r="V29" s="17">
        <v>27</v>
      </c>
      <c r="W29" s="2" t="s">
        <v>27</v>
      </c>
      <c r="X29" s="34">
        <v>12.5</v>
      </c>
      <c r="Y29" s="3">
        <v>18</v>
      </c>
      <c r="Z29" s="1">
        <f t="shared" si="3"/>
        <v>225</v>
      </c>
    </row>
    <row r="30" spans="1:26" x14ac:dyDescent="0.3">
      <c r="A30" s="17">
        <v>28</v>
      </c>
      <c r="B30" s="2" t="s">
        <v>13</v>
      </c>
      <c r="C30" s="34">
        <v>47.5</v>
      </c>
      <c r="D30" s="3">
        <v>41</v>
      </c>
      <c r="E30" s="1">
        <f t="shared" si="0"/>
        <v>1947.5</v>
      </c>
      <c r="H30" s="17">
        <v>28</v>
      </c>
      <c r="I30" s="2" t="s">
        <v>13</v>
      </c>
      <c r="J30" s="34"/>
      <c r="K30" s="3"/>
      <c r="L30" s="1">
        <f t="shared" si="1"/>
        <v>0</v>
      </c>
      <c r="O30" s="17">
        <v>28</v>
      </c>
      <c r="P30" s="2" t="s">
        <v>13</v>
      </c>
      <c r="Q30" s="34">
        <v>70.5</v>
      </c>
      <c r="R30" s="3">
        <v>39.5</v>
      </c>
      <c r="S30" s="1">
        <f t="shared" si="2"/>
        <v>2784.75</v>
      </c>
      <c r="V30" s="17">
        <v>28</v>
      </c>
      <c r="W30" s="2" t="s">
        <v>13</v>
      </c>
      <c r="X30" s="34">
        <v>69</v>
      </c>
      <c r="Y30" s="3">
        <v>39</v>
      </c>
      <c r="Z30" s="1">
        <f t="shared" si="3"/>
        <v>2691</v>
      </c>
    </row>
    <row r="31" spans="1:26" x14ac:dyDescent="0.3">
      <c r="A31" s="17">
        <v>29</v>
      </c>
      <c r="B31" s="2" t="s">
        <v>38</v>
      </c>
      <c r="C31" s="34">
        <f>8.5+17</f>
        <v>25.5</v>
      </c>
      <c r="D31" s="3">
        <v>58</v>
      </c>
      <c r="E31" s="3">
        <f t="shared" si="0"/>
        <v>1479</v>
      </c>
      <c r="H31" s="17">
        <v>29</v>
      </c>
      <c r="I31" s="2" t="s">
        <v>38</v>
      </c>
      <c r="J31" s="34">
        <f>8.5+17</f>
        <v>25.5</v>
      </c>
      <c r="K31" s="3">
        <v>58</v>
      </c>
      <c r="L31" s="3">
        <f t="shared" si="1"/>
        <v>1479</v>
      </c>
      <c r="O31" s="17">
        <v>29</v>
      </c>
      <c r="P31" s="2" t="s">
        <v>38</v>
      </c>
      <c r="Q31" s="34">
        <f>8.5+17</f>
        <v>25.5</v>
      </c>
      <c r="R31" s="3">
        <v>58</v>
      </c>
      <c r="S31" s="3">
        <f t="shared" si="2"/>
        <v>1479</v>
      </c>
      <c r="V31" s="17">
        <v>29</v>
      </c>
      <c r="W31" s="2" t="s">
        <v>38</v>
      </c>
      <c r="X31" s="34">
        <f>8.5+17</f>
        <v>25.5</v>
      </c>
      <c r="Y31" s="3">
        <v>58</v>
      </c>
      <c r="Z31" s="3">
        <f t="shared" si="3"/>
        <v>1479</v>
      </c>
    </row>
    <row r="32" spans="1:26" x14ac:dyDescent="0.3">
      <c r="A32" s="17">
        <v>30</v>
      </c>
      <c r="B32" s="2" t="s">
        <v>77</v>
      </c>
      <c r="C32" s="34">
        <v>101</v>
      </c>
      <c r="D32" s="3">
        <v>43</v>
      </c>
      <c r="E32" s="1">
        <f t="shared" si="0"/>
        <v>4343</v>
      </c>
      <c r="H32" s="17">
        <v>30</v>
      </c>
      <c r="I32" s="2" t="s">
        <v>77</v>
      </c>
      <c r="J32" s="34">
        <f>163+261.5</f>
        <v>424.5</v>
      </c>
      <c r="K32" s="3">
        <v>43</v>
      </c>
      <c r="L32" s="1">
        <f t="shared" si="1"/>
        <v>18253.5</v>
      </c>
      <c r="O32" s="17">
        <v>30</v>
      </c>
      <c r="P32" s="2" t="s">
        <v>77</v>
      </c>
      <c r="Q32" s="34">
        <f>165.5+12+50+46</f>
        <v>273.5</v>
      </c>
      <c r="R32" s="3">
        <v>41</v>
      </c>
      <c r="S32" s="1">
        <f t="shared" si="2"/>
        <v>11213.5</v>
      </c>
      <c r="V32" s="17">
        <v>30</v>
      </c>
      <c r="W32" s="2" t="s">
        <v>77</v>
      </c>
      <c r="X32" s="34">
        <v>204</v>
      </c>
      <c r="Y32" s="3">
        <v>42</v>
      </c>
      <c r="Z32" s="1">
        <f t="shared" si="3"/>
        <v>8568</v>
      </c>
    </row>
    <row r="33" spans="1:26" x14ac:dyDescent="0.3">
      <c r="A33" s="17">
        <v>31</v>
      </c>
      <c r="B33" s="2" t="s">
        <v>11</v>
      </c>
      <c r="C33" s="34">
        <v>88</v>
      </c>
      <c r="D33" s="3">
        <v>44</v>
      </c>
      <c r="E33" s="1">
        <f t="shared" si="0"/>
        <v>3872</v>
      </c>
      <c r="H33" s="17">
        <v>31</v>
      </c>
      <c r="I33" s="2" t="s">
        <v>11</v>
      </c>
      <c r="J33" s="34">
        <v>109</v>
      </c>
      <c r="K33" s="3">
        <v>44</v>
      </c>
      <c r="L33" s="1">
        <f t="shared" si="1"/>
        <v>4796</v>
      </c>
      <c r="O33" s="17">
        <v>31</v>
      </c>
      <c r="P33" s="2" t="s">
        <v>11</v>
      </c>
      <c r="Q33" s="34">
        <v>169</v>
      </c>
      <c r="R33" s="3">
        <v>42</v>
      </c>
      <c r="S33" s="1">
        <f t="shared" si="2"/>
        <v>7098</v>
      </c>
      <c r="V33" s="17">
        <v>31</v>
      </c>
      <c r="W33" s="2" t="s">
        <v>11</v>
      </c>
      <c r="X33" s="34">
        <v>182.5</v>
      </c>
      <c r="Y33" s="3">
        <v>42</v>
      </c>
      <c r="Z33" s="1">
        <f t="shared" si="3"/>
        <v>7665</v>
      </c>
    </row>
    <row r="34" spans="1:26" x14ac:dyDescent="0.3">
      <c r="A34" s="17">
        <v>32</v>
      </c>
      <c r="B34" s="2" t="s">
        <v>56</v>
      </c>
      <c r="C34" s="34">
        <v>23</v>
      </c>
      <c r="D34" s="3">
        <v>60</v>
      </c>
      <c r="E34" s="1">
        <f t="shared" si="0"/>
        <v>1380</v>
      </c>
      <c r="H34" s="17">
        <v>32</v>
      </c>
      <c r="I34" s="2" t="s">
        <v>56</v>
      </c>
      <c r="J34" s="34">
        <v>23</v>
      </c>
      <c r="K34" s="3">
        <v>60</v>
      </c>
      <c r="L34" s="1">
        <f t="shared" si="1"/>
        <v>1380</v>
      </c>
      <c r="O34" s="17">
        <v>32</v>
      </c>
      <c r="P34" s="2" t="s">
        <v>56</v>
      </c>
      <c r="Q34" s="34">
        <v>23</v>
      </c>
      <c r="R34" s="3">
        <v>60</v>
      </c>
      <c r="S34" s="1">
        <f t="shared" si="2"/>
        <v>1380</v>
      </c>
      <c r="V34" s="17">
        <v>32</v>
      </c>
      <c r="W34" s="2" t="s">
        <v>56</v>
      </c>
      <c r="X34" s="34">
        <v>23</v>
      </c>
      <c r="Y34" s="3">
        <v>60</v>
      </c>
      <c r="Z34" s="1">
        <f t="shared" si="3"/>
        <v>1380</v>
      </c>
    </row>
    <row r="35" spans="1:26" x14ac:dyDescent="0.3">
      <c r="A35" s="17">
        <v>34</v>
      </c>
      <c r="B35" s="2" t="s">
        <v>48</v>
      </c>
      <c r="C35" s="34"/>
      <c r="D35" s="3"/>
      <c r="E35" s="1">
        <f t="shared" si="0"/>
        <v>0</v>
      </c>
      <c r="H35" s="17">
        <v>33</v>
      </c>
      <c r="I35" s="2" t="s">
        <v>93</v>
      </c>
      <c r="J35" s="34">
        <v>3.5</v>
      </c>
      <c r="K35" s="3">
        <v>40</v>
      </c>
      <c r="L35" s="1">
        <f t="shared" ref="L35:L60" si="4">K35*J35</f>
        <v>140</v>
      </c>
      <c r="O35" s="17">
        <v>33</v>
      </c>
      <c r="P35" s="2" t="s">
        <v>101</v>
      </c>
      <c r="Q35" s="34">
        <v>1.45</v>
      </c>
      <c r="R35" s="3">
        <v>64</v>
      </c>
      <c r="S35" s="1">
        <f t="shared" ref="S35:S60" si="5">R35*Q35</f>
        <v>92.8</v>
      </c>
      <c r="V35" s="17">
        <v>33</v>
      </c>
      <c r="W35" s="2" t="s">
        <v>48</v>
      </c>
      <c r="X35" s="34">
        <v>1.5649999999999999</v>
      </c>
      <c r="Y35" s="3">
        <v>32</v>
      </c>
      <c r="Z35" s="1">
        <f t="shared" ref="Z35:Z59" si="6">Y35*X35</f>
        <v>50.08</v>
      </c>
    </row>
    <row r="36" spans="1:26" x14ac:dyDescent="0.3">
      <c r="A36" s="17">
        <v>35</v>
      </c>
      <c r="B36" s="2" t="s">
        <v>48</v>
      </c>
      <c r="C36" s="34">
        <v>25.5</v>
      </c>
      <c r="D36" s="3">
        <v>32</v>
      </c>
      <c r="E36" s="1">
        <f t="shared" si="0"/>
        <v>816</v>
      </c>
      <c r="H36" s="17">
        <v>34</v>
      </c>
      <c r="I36" s="2" t="s">
        <v>48</v>
      </c>
      <c r="J36" s="34">
        <v>10.85</v>
      </c>
      <c r="K36" s="3">
        <v>26</v>
      </c>
      <c r="L36" s="1">
        <f t="shared" si="4"/>
        <v>282.09999999999997</v>
      </c>
      <c r="O36" s="17">
        <v>34</v>
      </c>
      <c r="P36" s="2" t="s">
        <v>48</v>
      </c>
      <c r="Q36" s="34">
        <v>6</v>
      </c>
      <c r="R36" s="3">
        <v>72</v>
      </c>
      <c r="S36" s="1">
        <f t="shared" si="5"/>
        <v>432</v>
      </c>
      <c r="V36" s="17">
        <v>34</v>
      </c>
      <c r="W36" s="2" t="s">
        <v>48</v>
      </c>
      <c r="X36" s="34">
        <v>8.15</v>
      </c>
      <c r="Y36" s="3">
        <v>72</v>
      </c>
      <c r="Z36" s="1">
        <f t="shared" si="6"/>
        <v>586.80000000000007</v>
      </c>
    </row>
    <row r="37" spans="1:26" x14ac:dyDescent="0.3">
      <c r="A37" s="17">
        <v>37</v>
      </c>
      <c r="B37" s="2" t="s">
        <v>8</v>
      </c>
      <c r="C37" s="34">
        <v>9.5</v>
      </c>
      <c r="D37" s="3">
        <v>22</v>
      </c>
      <c r="E37" s="1">
        <f t="shared" si="0"/>
        <v>209</v>
      </c>
      <c r="H37" s="17">
        <v>35</v>
      </c>
      <c r="I37" s="2" t="s">
        <v>48</v>
      </c>
      <c r="J37" s="34">
        <v>5.2</v>
      </c>
      <c r="K37" s="3">
        <v>72</v>
      </c>
      <c r="L37" s="1">
        <f t="shared" si="4"/>
        <v>374.40000000000003</v>
      </c>
      <c r="O37" s="17">
        <v>35</v>
      </c>
      <c r="P37" s="2" t="s">
        <v>48</v>
      </c>
      <c r="Q37" s="34">
        <f>10.3+5.3</f>
        <v>15.600000000000001</v>
      </c>
      <c r="R37" s="3">
        <v>32</v>
      </c>
      <c r="S37" s="1">
        <f t="shared" si="5"/>
        <v>499.20000000000005</v>
      </c>
      <c r="V37" s="17">
        <v>35</v>
      </c>
      <c r="W37" s="2" t="s">
        <v>65</v>
      </c>
      <c r="X37" s="34">
        <v>40</v>
      </c>
      <c r="Y37" s="3">
        <v>16</v>
      </c>
      <c r="Z37" s="3">
        <f t="shared" si="6"/>
        <v>640</v>
      </c>
    </row>
    <row r="38" spans="1:26" x14ac:dyDescent="0.3">
      <c r="A38" s="17">
        <v>36</v>
      </c>
      <c r="B38" s="2" t="s">
        <v>65</v>
      </c>
      <c r="C38" s="34">
        <f>0.56+11.6</f>
        <v>12.16</v>
      </c>
      <c r="D38" s="3">
        <v>16</v>
      </c>
      <c r="E38" s="3">
        <f t="shared" si="0"/>
        <v>194.56</v>
      </c>
      <c r="H38" s="17">
        <v>36</v>
      </c>
      <c r="I38" s="2" t="s">
        <v>65</v>
      </c>
      <c r="J38" s="34">
        <v>24</v>
      </c>
      <c r="K38" s="3">
        <v>16</v>
      </c>
      <c r="L38" s="3">
        <f t="shared" si="4"/>
        <v>384</v>
      </c>
      <c r="O38" s="17">
        <v>36</v>
      </c>
      <c r="P38" s="2" t="s">
        <v>65</v>
      </c>
      <c r="Q38" s="34">
        <v>30</v>
      </c>
      <c r="R38" s="3">
        <v>16</v>
      </c>
      <c r="S38" s="3">
        <f t="shared" si="5"/>
        <v>480</v>
      </c>
      <c r="V38" s="17">
        <v>36</v>
      </c>
      <c r="W38" s="2" t="s">
        <v>93</v>
      </c>
      <c r="Z38" s="3">
        <f t="shared" si="6"/>
        <v>0</v>
      </c>
    </row>
    <row r="39" spans="1:26" x14ac:dyDescent="0.3">
      <c r="A39" s="17">
        <v>33</v>
      </c>
      <c r="B39" s="2" t="s">
        <v>93</v>
      </c>
      <c r="C39" s="34"/>
      <c r="D39" s="3"/>
      <c r="E39" s="3">
        <f t="shared" si="0"/>
        <v>0</v>
      </c>
      <c r="H39" s="17">
        <v>37</v>
      </c>
      <c r="I39" s="2" t="s">
        <v>8</v>
      </c>
      <c r="J39" s="34">
        <f>4+14</f>
        <v>18</v>
      </c>
      <c r="K39" s="3">
        <v>22</v>
      </c>
      <c r="L39" s="3">
        <f t="shared" si="4"/>
        <v>396</v>
      </c>
      <c r="O39" s="17">
        <v>37</v>
      </c>
      <c r="P39" s="2" t="s">
        <v>93</v>
      </c>
      <c r="S39" s="3">
        <f t="shared" si="5"/>
        <v>0</v>
      </c>
      <c r="V39" s="17">
        <v>37</v>
      </c>
      <c r="W39" s="2" t="s">
        <v>21</v>
      </c>
      <c r="Z39" s="1">
        <f t="shared" si="6"/>
        <v>0</v>
      </c>
    </row>
    <row r="40" spans="1:26" x14ac:dyDescent="0.3">
      <c r="A40" s="17">
        <v>38</v>
      </c>
      <c r="B40" s="2" t="s">
        <v>21</v>
      </c>
      <c r="C40" s="34"/>
      <c r="D40" s="3"/>
      <c r="E40" s="1">
        <f t="shared" si="0"/>
        <v>0</v>
      </c>
      <c r="H40" s="17">
        <v>38</v>
      </c>
      <c r="I40" s="2" t="s">
        <v>21</v>
      </c>
      <c r="J40" s="34">
        <v>6.3</v>
      </c>
      <c r="K40" s="3">
        <v>125</v>
      </c>
      <c r="L40" s="1">
        <f t="shared" si="4"/>
        <v>787.5</v>
      </c>
      <c r="O40" s="17">
        <v>38</v>
      </c>
      <c r="P40" s="2" t="s">
        <v>21</v>
      </c>
      <c r="S40" s="1">
        <f t="shared" si="5"/>
        <v>0</v>
      </c>
      <c r="V40" s="17">
        <v>38</v>
      </c>
      <c r="W40" s="2" t="s">
        <v>17</v>
      </c>
      <c r="X40" s="34">
        <v>6</v>
      </c>
      <c r="Y40" s="3">
        <v>54</v>
      </c>
      <c r="Z40" s="1">
        <f t="shared" si="6"/>
        <v>324</v>
      </c>
    </row>
    <row r="41" spans="1:26" x14ac:dyDescent="0.3">
      <c r="A41" s="17">
        <v>39</v>
      </c>
      <c r="B41" s="2" t="s">
        <v>17</v>
      </c>
      <c r="C41" s="34">
        <v>6</v>
      </c>
      <c r="D41" s="3">
        <v>54</v>
      </c>
      <c r="E41" s="1">
        <f t="shared" si="0"/>
        <v>324</v>
      </c>
      <c r="H41" s="17">
        <v>39</v>
      </c>
      <c r="I41" s="2" t="s">
        <v>17</v>
      </c>
      <c r="J41" s="34">
        <v>25.5</v>
      </c>
      <c r="K41" s="3">
        <v>54</v>
      </c>
      <c r="L41" s="1">
        <f t="shared" si="4"/>
        <v>1377</v>
      </c>
      <c r="O41" s="17">
        <v>39</v>
      </c>
      <c r="P41" s="2" t="s">
        <v>17</v>
      </c>
      <c r="Q41" s="34">
        <v>11.5</v>
      </c>
      <c r="R41" s="3">
        <v>54</v>
      </c>
      <c r="S41" s="1">
        <f t="shared" si="5"/>
        <v>621</v>
      </c>
      <c r="V41" s="17">
        <v>39</v>
      </c>
      <c r="W41" s="2" t="s">
        <v>50</v>
      </c>
      <c r="Z41" s="3">
        <f t="shared" si="6"/>
        <v>0</v>
      </c>
    </row>
    <row r="42" spans="1:26" x14ac:dyDescent="0.3">
      <c r="A42" s="17">
        <v>40</v>
      </c>
      <c r="B42" s="2" t="s">
        <v>50</v>
      </c>
      <c r="C42" s="34"/>
      <c r="D42" s="3"/>
      <c r="E42" s="3">
        <f t="shared" si="0"/>
        <v>0</v>
      </c>
      <c r="H42" s="17">
        <v>40</v>
      </c>
      <c r="I42" s="2" t="s">
        <v>50</v>
      </c>
      <c r="J42" s="34"/>
      <c r="K42" s="3"/>
      <c r="L42" s="3">
        <f t="shared" si="4"/>
        <v>0</v>
      </c>
      <c r="O42" s="17">
        <v>40</v>
      </c>
      <c r="P42" s="2" t="s">
        <v>50</v>
      </c>
      <c r="S42" s="3">
        <f t="shared" si="5"/>
        <v>0</v>
      </c>
      <c r="V42" s="17">
        <v>40</v>
      </c>
      <c r="W42" s="2" t="s">
        <v>76</v>
      </c>
      <c r="X42" s="34">
        <v>5.5</v>
      </c>
      <c r="Y42" s="3">
        <v>26</v>
      </c>
      <c r="Z42" s="1">
        <f t="shared" si="6"/>
        <v>143</v>
      </c>
    </row>
    <row r="43" spans="1:26" x14ac:dyDescent="0.3">
      <c r="A43" s="17">
        <v>41</v>
      </c>
      <c r="B43" s="2" t="s">
        <v>103</v>
      </c>
      <c r="C43" s="34"/>
      <c r="D43" s="3"/>
      <c r="E43" s="1">
        <f t="shared" si="0"/>
        <v>0</v>
      </c>
      <c r="H43" s="17">
        <v>41</v>
      </c>
      <c r="I43" s="2" t="s">
        <v>103</v>
      </c>
      <c r="J43" s="34">
        <v>2.2999999999999998</v>
      </c>
      <c r="K43" s="3">
        <v>30</v>
      </c>
      <c r="L43" s="1">
        <f t="shared" si="4"/>
        <v>69</v>
      </c>
      <c r="O43" s="17">
        <v>41</v>
      </c>
      <c r="P43" s="2" t="s">
        <v>76</v>
      </c>
      <c r="Q43" s="34">
        <v>4</v>
      </c>
      <c r="R43" s="3">
        <v>26</v>
      </c>
      <c r="S43" s="1">
        <f t="shared" si="5"/>
        <v>104</v>
      </c>
      <c r="V43" s="17">
        <v>41</v>
      </c>
      <c r="W43" s="2" t="s">
        <v>55</v>
      </c>
      <c r="X43" s="34">
        <v>64</v>
      </c>
      <c r="Y43" s="3">
        <v>58</v>
      </c>
      <c r="Z43" s="1">
        <f t="shared" si="6"/>
        <v>3712</v>
      </c>
    </row>
    <row r="44" spans="1:26" x14ac:dyDescent="0.3">
      <c r="A44" s="17">
        <v>42</v>
      </c>
      <c r="B44" s="2" t="s">
        <v>55</v>
      </c>
      <c r="C44" s="34">
        <v>64</v>
      </c>
      <c r="D44" s="3">
        <v>58</v>
      </c>
      <c r="E44" s="1">
        <f t="shared" si="0"/>
        <v>3712</v>
      </c>
      <c r="H44" s="17">
        <v>42</v>
      </c>
      <c r="I44" s="2" t="s">
        <v>55</v>
      </c>
      <c r="J44" s="34">
        <v>64</v>
      </c>
      <c r="K44" s="3">
        <v>58</v>
      </c>
      <c r="L44" s="1">
        <f t="shared" si="4"/>
        <v>3712</v>
      </c>
      <c r="O44" s="17">
        <v>42</v>
      </c>
      <c r="P44" s="2" t="s">
        <v>55</v>
      </c>
      <c r="Q44" s="34">
        <v>64</v>
      </c>
      <c r="R44" s="3">
        <v>58</v>
      </c>
      <c r="S44" s="1">
        <f t="shared" si="5"/>
        <v>3712</v>
      </c>
      <c r="V44" s="17">
        <v>42</v>
      </c>
      <c r="W44" s="2" t="s">
        <v>57</v>
      </c>
      <c r="X44" s="34">
        <v>22.5</v>
      </c>
      <c r="Y44" s="3">
        <v>46</v>
      </c>
      <c r="Z44" s="1">
        <f t="shared" si="6"/>
        <v>1035</v>
      </c>
    </row>
    <row r="45" spans="1:26" x14ac:dyDescent="0.3">
      <c r="A45" s="17">
        <v>43</v>
      </c>
      <c r="B45" s="2" t="s">
        <v>57</v>
      </c>
      <c r="C45" s="34">
        <v>22.5</v>
      </c>
      <c r="D45" s="3">
        <v>46</v>
      </c>
      <c r="E45" s="1">
        <f t="shared" si="0"/>
        <v>1035</v>
      </c>
      <c r="H45" s="17">
        <v>43</v>
      </c>
      <c r="I45" s="2" t="s">
        <v>57</v>
      </c>
      <c r="J45" s="34">
        <v>22.5</v>
      </c>
      <c r="K45" s="3">
        <v>46</v>
      </c>
      <c r="L45" s="1">
        <f t="shared" si="4"/>
        <v>1035</v>
      </c>
      <c r="O45" s="17">
        <v>43</v>
      </c>
      <c r="P45" s="2" t="s">
        <v>57</v>
      </c>
      <c r="Q45" s="34">
        <v>22.5</v>
      </c>
      <c r="R45" s="3">
        <v>46</v>
      </c>
      <c r="S45" s="1">
        <f t="shared" si="5"/>
        <v>1035</v>
      </c>
      <c r="V45" s="17">
        <v>43</v>
      </c>
      <c r="W45" s="2" t="s">
        <v>5</v>
      </c>
      <c r="X45" s="34">
        <v>7.4</v>
      </c>
      <c r="Y45" s="3">
        <v>54</v>
      </c>
      <c r="Z45" s="1">
        <f t="shared" si="6"/>
        <v>399.6</v>
      </c>
    </row>
    <row r="46" spans="1:26" x14ac:dyDescent="0.3">
      <c r="A46" s="17">
        <v>44</v>
      </c>
      <c r="B46" s="2" t="s">
        <v>5</v>
      </c>
      <c r="C46" s="34"/>
      <c r="D46" s="3"/>
      <c r="E46" s="1">
        <f t="shared" si="0"/>
        <v>0</v>
      </c>
      <c r="H46" s="17">
        <v>44</v>
      </c>
      <c r="I46" s="2" t="s">
        <v>5</v>
      </c>
      <c r="J46" s="34">
        <v>22</v>
      </c>
      <c r="K46" s="3">
        <v>50</v>
      </c>
      <c r="L46" s="1">
        <f t="shared" si="4"/>
        <v>1100</v>
      </c>
      <c r="O46" s="17">
        <v>44</v>
      </c>
      <c r="P46" s="2" t="s">
        <v>5</v>
      </c>
      <c r="Q46" s="34">
        <v>4.3499999999999996</v>
      </c>
      <c r="R46" s="3">
        <v>56</v>
      </c>
      <c r="S46" s="1">
        <f t="shared" si="5"/>
        <v>243.59999999999997</v>
      </c>
      <c r="V46" s="17">
        <v>44</v>
      </c>
      <c r="W46" s="2" t="s">
        <v>24</v>
      </c>
      <c r="X46" s="34">
        <v>2.5</v>
      </c>
      <c r="Y46" s="3">
        <v>58</v>
      </c>
      <c r="Z46" s="1">
        <f t="shared" si="6"/>
        <v>145</v>
      </c>
    </row>
    <row r="47" spans="1:26" x14ac:dyDescent="0.3">
      <c r="A47" s="17">
        <v>45</v>
      </c>
      <c r="B47" s="2" t="s">
        <v>24</v>
      </c>
      <c r="C47" s="34">
        <v>4.5</v>
      </c>
      <c r="D47" s="3">
        <v>58</v>
      </c>
      <c r="E47" s="1">
        <f t="shared" si="0"/>
        <v>261</v>
      </c>
      <c r="H47" s="17">
        <v>45</v>
      </c>
      <c r="I47" s="2" t="s">
        <v>24</v>
      </c>
      <c r="J47" s="34">
        <v>45</v>
      </c>
      <c r="K47" s="3">
        <v>58</v>
      </c>
      <c r="L47" s="1">
        <f t="shared" si="4"/>
        <v>2610</v>
      </c>
      <c r="O47" s="17">
        <v>45</v>
      </c>
      <c r="P47" s="2" t="s">
        <v>24</v>
      </c>
      <c r="Q47" s="34">
        <v>3.5</v>
      </c>
      <c r="R47" s="3">
        <v>58</v>
      </c>
      <c r="S47" s="1">
        <f t="shared" si="5"/>
        <v>203</v>
      </c>
      <c r="V47" s="17">
        <v>45</v>
      </c>
      <c r="W47" s="2" t="s">
        <v>33</v>
      </c>
      <c r="Z47" s="1">
        <f t="shared" si="6"/>
        <v>0</v>
      </c>
    </row>
    <row r="48" spans="1:26" x14ac:dyDescent="0.3">
      <c r="A48" s="17">
        <v>46</v>
      </c>
      <c r="B48" s="2" t="s">
        <v>33</v>
      </c>
      <c r="C48" s="34">
        <f>601+132+80</f>
        <v>813</v>
      </c>
      <c r="D48" s="3">
        <v>34.5</v>
      </c>
      <c r="E48" s="1">
        <f t="shared" si="0"/>
        <v>28048.5</v>
      </c>
      <c r="H48" s="17">
        <v>46</v>
      </c>
      <c r="I48" s="2" t="s">
        <v>33</v>
      </c>
      <c r="J48" s="34">
        <f>53.5+12.8+512</f>
        <v>578.29999999999995</v>
      </c>
      <c r="K48" s="3">
        <v>34</v>
      </c>
      <c r="L48" s="1">
        <f t="shared" si="4"/>
        <v>19662.199999999997</v>
      </c>
      <c r="O48" s="17">
        <v>46</v>
      </c>
      <c r="P48" s="2" t="s">
        <v>33</v>
      </c>
      <c r="Q48" s="34">
        <v>489.5</v>
      </c>
      <c r="R48" s="3">
        <v>31</v>
      </c>
      <c r="S48" s="1">
        <f t="shared" si="5"/>
        <v>15174.5</v>
      </c>
      <c r="V48" s="17">
        <v>46</v>
      </c>
      <c r="W48" s="2" t="s">
        <v>33</v>
      </c>
      <c r="Z48" s="1">
        <f t="shared" si="6"/>
        <v>0</v>
      </c>
    </row>
    <row r="49" spans="1:26" x14ac:dyDescent="0.3">
      <c r="A49" s="17">
        <v>47</v>
      </c>
      <c r="B49" s="2" t="s">
        <v>33</v>
      </c>
      <c r="C49" s="34"/>
      <c r="D49" s="3"/>
      <c r="E49" s="1">
        <f t="shared" si="0"/>
        <v>0</v>
      </c>
      <c r="H49" s="17">
        <v>47</v>
      </c>
      <c r="I49" s="2" t="s">
        <v>33</v>
      </c>
      <c r="J49" s="34"/>
      <c r="K49" s="3"/>
      <c r="L49" s="1">
        <f t="shared" si="4"/>
        <v>0</v>
      </c>
      <c r="O49" s="17">
        <v>47</v>
      </c>
      <c r="P49" s="2" t="s">
        <v>33</v>
      </c>
      <c r="S49" s="1">
        <f t="shared" si="5"/>
        <v>0</v>
      </c>
      <c r="V49" s="17">
        <v>47</v>
      </c>
      <c r="W49" s="2" t="s">
        <v>84</v>
      </c>
      <c r="X49" s="34">
        <v>10</v>
      </c>
      <c r="Y49" s="3">
        <v>60</v>
      </c>
      <c r="Z49" s="1">
        <f t="shared" si="6"/>
        <v>600</v>
      </c>
    </row>
    <row r="50" spans="1:26" x14ac:dyDescent="0.3">
      <c r="A50" s="17">
        <v>48</v>
      </c>
      <c r="B50" s="2" t="s">
        <v>105</v>
      </c>
      <c r="C50" s="34">
        <v>4.2149999999999999</v>
      </c>
      <c r="D50" s="3">
        <v>60</v>
      </c>
      <c r="E50" s="1">
        <f t="shared" si="0"/>
        <v>252.89999999999998</v>
      </c>
      <c r="H50" s="17">
        <v>48</v>
      </c>
      <c r="I50" s="2" t="s">
        <v>84</v>
      </c>
      <c r="J50" s="34"/>
      <c r="K50" s="3"/>
      <c r="L50" s="1">
        <f t="shared" si="4"/>
        <v>0</v>
      </c>
      <c r="O50" s="17">
        <v>48</v>
      </c>
      <c r="P50" s="2" t="s">
        <v>84</v>
      </c>
      <c r="Q50" s="34">
        <v>6.4</v>
      </c>
      <c r="R50" s="3">
        <v>60</v>
      </c>
      <c r="S50" s="1">
        <f t="shared" si="5"/>
        <v>384</v>
      </c>
      <c r="V50" s="17">
        <v>48</v>
      </c>
      <c r="W50" s="2" t="s">
        <v>81</v>
      </c>
      <c r="X50" s="34">
        <v>41</v>
      </c>
      <c r="Y50" s="3">
        <v>105</v>
      </c>
      <c r="Z50" s="1">
        <f t="shared" si="6"/>
        <v>4305</v>
      </c>
    </row>
    <row r="51" spans="1:26" x14ac:dyDescent="0.3">
      <c r="A51" s="17">
        <v>49</v>
      </c>
      <c r="B51" s="2" t="s">
        <v>81</v>
      </c>
      <c r="C51" s="34"/>
      <c r="D51" s="3"/>
      <c r="E51" s="1">
        <f t="shared" si="0"/>
        <v>0</v>
      </c>
      <c r="H51" s="17">
        <v>49</v>
      </c>
      <c r="I51" s="2" t="s">
        <v>81</v>
      </c>
      <c r="J51" s="34"/>
      <c r="K51" s="3"/>
      <c r="L51" s="1">
        <f t="shared" si="4"/>
        <v>0</v>
      </c>
      <c r="O51" s="17">
        <v>49</v>
      </c>
      <c r="P51" s="2" t="s">
        <v>81</v>
      </c>
      <c r="S51" s="1">
        <f t="shared" si="5"/>
        <v>0</v>
      </c>
      <c r="V51" s="17">
        <v>49</v>
      </c>
      <c r="W51" s="2" t="s">
        <v>15</v>
      </c>
      <c r="X51" s="34">
        <v>42.5</v>
      </c>
      <c r="Y51" s="3">
        <v>70</v>
      </c>
      <c r="Z51" s="1">
        <f t="shared" si="6"/>
        <v>2975</v>
      </c>
    </row>
    <row r="52" spans="1:26" x14ac:dyDescent="0.3">
      <c r="A52" s="17">
        <v>50</v>
      </c>
      <c r="B52" s="2" t="s">
        <v>15</v>
      </c>
      <c r="C52" s="34">
        <v>17.5</v>
      </c>
      <c r="D52" s="3">
        <v>72</v>
      </c>
      <c r="E52" s="1">
        <f t="shared" si="0"/>
        <v>1260</v>
      </c>
      <c r="H52" s="17">
        <v>50</v>
      </c>
      <c r="I52" s="2" t="s">
        <v>15</v>
      </c>
      <c r="J52" s="34">
        <v>27</v>
      </c>
      <c r="K52" s="3">
        <v>72</v>
      </c>
      <c r="L52" s="1">
        <f t="shared" si="4"/>
        <v>1944</v>
      </c>
      <c r="O52" s="17">
        <v>50</v>
      </c>
      <c r="P52" s="2" t="s">
        <v>15</v>
      </c>
      <c r="Q52" s="34">
        <v>42</v>
      </c>
      <c r="R52" s="3">
        <v>70</v>
      </c>
      <c r="S52" s="1">
        <f t="shared" si="5"/>
        <v>2940</v>
      </c>
      <c r="V52" s="17">
        <v>50</v>
      </c>
      <c r="W52" s="2" t="s">
        <v>58</v>
      </c>
      <c r="X52" s="34">
        <v>6</v>
      </c>
      <c r="Y52" s="3">
        <v>14</v>
      </c>
      <c r="Z52" s="1">
        <f t="shared" si="6"/>
        <v>84</v>
      </c>
    </row>
    <row r="53" spans="1:26" x14ac:dyDescent="0.3">
      <c r="A53" s="17">
        <v>51</v>
      </c>
      <c r="B53" s="2" t="s">
        <v>58</v>
      </c>
      <c r="C53" s="34">
        <v>5</v>
      </c>
      <c r="D53" s="3">
        <v>14</v>
      </c>
      <c r="E53" s="1">
        <f t="shared" si="0"/>
        <v>70</v>
      </c>
      <c r="H53" s="17">
        <v>51</v>
      </c>
      <c r="I53" s="2" t="s">
        <v>58</v>
      </c>
      <c r="J53" s="34">
        <v>6</v>
      </c>
      <c r="K53" s="3">
        <v>14</v>
      </c>
      <c r="L53" s="1">
        <f t="shared" si="4"/>
        <v>84</v>
      </c>
      <c r="O53" s="17">
        <v>51</v>
      </c>
      <c r="P53" s="2" t="s">
        <v>58</v>
      </c>
      <c r="Q53" s="34">
        <v>6</v>
      </c>
      <c r="R53" s="3">
        <v>14</v>
      </c>
      <c r="S53" s="1">
        <f t="shared" si="5"/>
        <v>84</v>
      </c>
      <c r="V53" s="17">
        <v>51</v>
      </c>
      <c r="W53" s="2" t="s">
        <v>60</v>
      </c>
      <c r="X53" s="34">
        <v>2</v>
      </c>
      <c r="Y53" s="3">
        <v>8</v>
      </c>
      <c r="Z53" s="3">
        <f t="shared" si="6"/>
        <v>16</v>
      </c>
    </row>
    <row r="54" spans="1:26" x14ac:dyDescent="0.3">
      <c r="A54" s="17">
        <v>52</v>
      </c>
      <c r="B54" s="2" t="s">
        <v>60</v>
      </c>
      <c r="C54" s="34">
        <v>2</v>
      </c>
      <c r="D54" s="3">
        <v>8</v>
      </c>
      <c r="E54" s="3">
        <f t="shared" si="0"/>
        <v>16</v>
      </c>
      <c r="H54" s="17">
        <v>52</v>
      </c>
      <c r="I54" s="2" t="s">
        <v>60</v>
      </c>
      <c r="J54" s="34">
        <v>2</v>
      </c>
      <c r="K54" s="3">
        <v>8</v>
      </c>
      <c r="L54" s="3">
        <f t="shared" si="4"/>
        <v>16</v>
      </c>
      <c r="O54" s="17">
        <v>52</v>
      </c>
      <c r="P54" s="2" t="s">
        <v>60</v>
      </c>
      <c r="Q54" s="34">
        <v>6</v>
      </c>
      <c r="R54" s="3">
        <v>8</v>
      </c>
      <c r="S54" s="3">
        <f t="shared" si="5"/>
        <v>48</v>
      </c>
      <c r="V54" s="17">
        <v>52</v>
      </c>
      <c r="W54" s="2" t="s">
        <v>31</v>
      </c>
      <c r="Z54" s="1">
        <f t="shared" si="6"/>
        <v>0</v>
      </c>
    </row>
    <row r="55" spans="1:26" x14ac:dyDescent="0.3">
      <c r="A55" s="17">
        <v>53</v>
      </c>
      <c r="B55" s="2" t="s">
        <v>31</v>
      </c>
      <c r="C55" s="34"/>
      <c r="D55" s="3"/>
      <c r="E55" s="1">
        <f t="shared" si="0"/>
        <v>0</v>
      </c>
      <c r="H55" s="17">
        <v>53</v>
      </c>
      <c r="I55" s="2" t="s">
        <v>31</v>
      </c>
      <c r="J55" s="34"/>
      <c r="K55" s="3"/>
      <c r="L55" s="1">
        <f t="shared" si="4"/>
        <v>0</v>
      </c>
      <c r="O55" s="17">
        <v>53</v>
      </c>
      <c r="P55" s="2" t="s">
        <v>31</v>
      </c>
      <c r="S55" s="1">
        <f t="shared" si="5"/>
        <v>0</v>
      </c>
      <c r="V55" s="17">
        <v>53</v>
      </c>
      <c r="W55" s="2" t="s">
        <v>87</v>
      </c>
      <c r="X55" s="34">
        <v>11.5</v>
      </c>
      <c r="Y55" s="3">
        <v>76</v>
      </c>
      <c r="Z55" s="1">
        <f t="shared" si="6"/>
        <v>874</v>
      </c>
    </row>
    <row r="56" spans="1:26" x14ac:dyDescent="0.3">
      <c r="A56" s="17">
        <v>54</v>
      </c>
      <c r="B56" s="2" t="s">
        <v>87</v>
      </c>
      <c r="C56" s="34">
        <v>9.5</v>
      </c>
      <c r="D56" s="3">
        <v>76</v>
      </c>
      <c r="E56" s="1">
        <f t="shared" si="0"/>
        <v>722</v>
      </c>
      <c r="H56" s="17">
        <v>54</v>
      </c>
      <c r="I56" s="2" t="s">
        <v>87</v>
      </c>
      <c r="J56" s="34">
        <f>3.5+8</f>
        <v>11.5</v>
      </c>
      <c r="K56" s="3">
        <v>74</v>
      </c>
      <c r="L56" s="1">
        <f t="shared" si="4"/>
        <v>851</v>
      </c>
      <c r="O56" s="17">
        <v>54</v>
      </c>
      <c r="P56" s="2" t="s">
        <v>87</v>
      </c>
      <c r="Q56" s="34">
        <v>11.5</v>
      </c>
      <c r="R56" s="3">
        <v>76</v>
      </c>
      <c r="S56" s="1">
        <f t="shared" si="5"/>
        <v>874</v>
      </c>
      <c r="V56" s="17">
        <v>54</v>
      </c>
      <c r="W56" s="2" t="s">
        <v>63</v>
      </c>
      <c r="Z56" s="3">
        <f t="shared" si="6"/>
        <v>0</v>
      </c>
    </row>
    <row r="57" spans="1:26" x14ac:dyDescent="0.3">
      <c r="A57" s="17">
        <v>55</v>
      </c>
      <c r="B57" s="2" t="s">
        <v>63</v>
      </c>
      <c r="C57" s="34"/>
      <c r="D57" s="3"/>
      <c r="E57" s="3">
        <f t="shared" si="0"/>
        <v>0</v>
      </c>
      <c r="H57" s="17">
        <v>55</v>
      </c>
      <c r="I57" s="2" t="s">
        <v>63</v>
      </c>
      <c r="J57" s="34"/>
      <c r="K57" s="3"/>
      <c r="L57" s="3">
        <f t="shared" si="4"/>
        <v>0</v>
      </c>
      <c r="O57" s="17">
        <v>55</v>
      </c>
      <c r="P57" s="2" t="s">
        <v>63</v>
      </c>
      <c r="Q57" s="34">
        <v>1</v>
      </c>
      <c r="R57" s="3">
        <v>720</v>
      </c>
      <c r="S57" s="3">
        <f t="shared" si="5"/>
        <v>720</v>
      </c>
      <c r="V57" s="17">
        <v>55</v>
      </c>
      <c r="W57" s="2" t="s">
        <v>78</v>
      </c>
      <c r="X57" s="34">
        <v>32.5</v>
      </c>
      <c r="Y57" s="3">
        <v>20</v>
      </c>
      <c r="Z57" s="1">
        <f t="shared" si="6"/>
        <v>650</v>
      </c>
    </row>
    <row r="58" spans="1:26" x14ac:dyDescent="0.3">
      <c r="A58" s="17">
        <v>56</v>
      </c>
      <c r="B58" s="2" t="s">
        <v>78</v>
      </c>
      <c r="C58" s="34">
        <v>33</v>
      </c>
      <c r="D58" s="3">
        <v>20</v>
      </c>
      <c r="E58" s="1">
        <f t="shared" si="0"/>
        <v>660</v>
      </c>
      <c r="H58" s="17">
        <v>56</v>
      </c>
      <c r="I58" s="2" t="s">
        <v>78</v>
      </c>
      <c r="J58" s="34">
        <v>33</v>
      </c>
      <c r="K58" s="3">
        <v>20</v>
      </c>
      <c r="L58" s="1">
        <f t="shared" si="4"/>
        <v>660</v>
      </c>
      <c r="O58" s="17">
        <v>56</v>
      </c>
      <c r="P58" s="2" t="s">
        <v>78</v>
      </c>
      <c r="Q58" s="34">
        <v>33</v>
      </c>
      <c r="R58" s="3">
        <v>20</v>
      </c>
      <c r="S58" s="1">
        <f t="shared" si="5"/>
        <v>660</v>
      </c>
      <c r="V58" s="17">
        <v>56</v>
      </c>
      <c r="W58" s="2" t="s">
        <v>59</v>
      </c>
      <c r="X58" s="34">
        <v>2.96</v>
      </c>
      <c r="Y58" s="3">
        <v>70</v>
      </c>
      <c r="Z58" s="1">
        <f t="shared" si="6"/>
        <v>207.2</v>
      </c>
    </row>
    <row r="59" spans="1:26" ht="19.5" thickBot="1" x14ac:dyDescent="0.35">
      <c r="A59" s="17">
        <v>57</v>
      </c>
      <c r="B59" s="2" t="s">
        <v>59</v>
      </c>
      <c r="C59" s="34"/>
      <c r="D59" s="3"/>
      <c r="E59" s="1">
        <f t="shared" si="0"/>
        <v>0</v>
      </c>
      <c r="H59" s="17">
        <v>57</v>
      </c>
      <c r="I59" s="2" t="s">
        <v>59</v>
      </c>
      <c r="J59" s="34">
        <v>1.38</v>
      </c>
      <c r="K59" s="3">
        <v>70</v>
      </c>
      <c r="L59" s="1">
        <f t="shared" si="4"/>
        <v>96.6</v>
      </c>
      <c r="O59" s="17">
        <v>57</v>
      </c>
      <c r="P59" s="2" t="s">
        <v>59</v>
      </c>
      <c r="Q59" s="34">
        <v>2.665</v>
      </c>
      <c r="R59" s="3">
        <v>70</v>
      </c>
      <c r="S59" s="1">
        <f t="shared" si="5"/>
        <v>186.55</v>
      </c>
      <c r="V59" s="17">
        <v>57</v>
      </c>
      <c r="W59" s="2" t="s">
        <v>30</v>
      </c>
      <c r="X59" s="34">
        <v>34</v>
      </c>
      <c r="Y59" s="3">
        <v>25</v>
      </c>
      <c r="Z59" s="1">
        <f t="shared" si="6"/>
        <v>850</v>
      </c>
    </row>
    <row r="60" spans="1:26" ht="19.5" thickBot="1" x14ac:dyDescent="0.35">
      <c r="A60" s="17">
        <v>58</v>
      </c>
      <c r="B60" s="2" t="s">
        <v>30</v>
      </c>
      <c r="C60" s="34">
        <v>38</v>
      </c>
      <c r="D60" s="3">
        <v>25</v>
      </c>
      <c r="E60" s="1">
        <f t="shared" si="0"/>
        <v>950</v>
      </c>
      <c r="H60" s="17">
        <v>58</v>
      </c>
      <c r="I60" s="2" t="s">
        <v>30</v>
      </c>
      <c r="J60" s="34"/>
      <c r="K60" s="3"/>
      <c r="L60" s="1">
        <f t="shared" si="4"/>
        <v>0</v>
      </c>
      <c r="O60" s="17">
        <v>58</v>
      </c>
      <c r="P60" s="2" t="s">
        <v>30</v>
      </c>
      <c r="Q60" s="34">
        <v>15</v>
      </c>
      <c r="R60" s="3">
        <v>25</v>
      </c>
      <c r="S60" s="1">
        <f t="shared" si="5"/>
        <v>375</v>
      </c>
      <c r="W60" s="19"/>
      <c r="Y60" s="30" t="s">
        <v>40</v>
      </c>
      <c r="Z60" s="31">
        <f>SUM(Z3:Z52)</f>
        <v>116873.88</v>
      </c>
    </row>
    <row r="61" spans="1:26" ht="19.5" thickBot="1" x14ac:dyDescent="0.35">
      <c r="A61" s="17"/>
      <c r="B61" s="2"/>
      <c r="C61" s="34"/>
      <c r="D61" s="3"/>
      <c r="E61" s="1">
        <f t="shared" si="0"/>
        <v>0</v>
      </c>
      <c r="H61" s="17"/>
      <c r="I61" s="2"/>
      <c r="J61" s="34"/>
      <c r="K61" s="3"/>
      <c r="L61" s="1">
        <f t="shared" ref="L61" si="7">K61*J61</f>
        <v>0</v>
      </c>
      <c r="S61" s="1">
        <f t="shared" ref="S61" si="8">R61*Q61</f>
        <v>0</v>
      </c>
      <c r="Z61" s="28"/>
    </row>
    <row r="62" spans="1:26" ht="19.5" thickBot="1" x14ac:dyDescent="0.35">
      <c r="A62" s="17"/>
      <c r="B62" s="2"/>
      <c r="C62" s="34"/>
      <c r="D62" s="30" t="s">
        <v>40</v>
      </c>
      <c r="E62" s="31">
        <f>SUM(E3:E52)</f>
        <v>96548.239999999991</v>
      </c>
      <c r="H62" s="17"/>
      <c r="I62" s="2"/>
      <c r="J62" s="34"/>
      <c r="K62" s="30" t="s">
        <v>40</v>
      </c>
      <c r="L62" s="31">
        <f>SUM(L3:L52)</f>
        <v>112164.97499999999</v>
      </c>
      <c r="R62" s="30" t="s">
        <v>40</v>
      </c>
      <c r="S62" s="31">
        <f>SUM(S3:S52)</f>
        <v>129623.41</v>
      </c>
      <c r="Z62" s="16"/>
    </row>
    <row r="63" spans="1:26" x14ac:dyDescent="0.3">
      <c r="S63" s="29"/>
      <c r="Z63" s="29"/>
    </row>
  </sheetData>
  <sortState ref="B3:D60">
    <sortCondition ref="B3:B60"/>
  </sortState>
  <pageMargins left="0.70866141732283472" right="0.70866141732283472" top="0.15748031496062992" bottom="0.15748031496062992" header="0.31496062992125984" footer="0.31496062992125984"/>
  <pageSetup scale="6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W68"/>
  <sheetViews>
    <sheetView topLeftCell="A40" workbookViewId="0">
      <selection activeCell="I5" sqref="I5"/>
    </sheetView>
  </sheetViews>
  <sheetFormatPr baseColWidth="10" defaultRowHeight="15" x14ac:dyDescent="0.25"/>
  <cols>
    <col min="1" max="1" width="11.42578125" style="17"/>
    <col min="2" max="2" width="24.28515625" customWidth="1"/>
    <col min="3" max="3" width="12.7109375" bestFit="1" customWidth="1"/>
    <col min="4" max="4" width="12.28515625" bestFit="1" customWidth="1"/>
    <col min="5" max="5" width="17.42578125" bestFit="1" customWidth="1"/>
    <col min="7" max="7" width="11.42578125" style="17"/>
    <col min="8" max="8" width="24.28515625" customWidth="1"/>
    <col min="9" max="9" width="12.7109375" bestFit="1" customWidth="1"/>
    <col min="10" max="10" width="12.28515625" bestFit="1" customWidth="1"/>
    <col min="11" max="11" width="17.42578125" bestFit="1" customWidth="1"/>
    <col min="13" max="13" width="11.42578125" style="17"/>
    <col min="14" max="14" width="24.28515625" customWidth="1"/>
    <col min="15" max="15" width="12.7109375" bestFit="1" customWidth="1"/>
    <col min="16" max="16" width="12.28515625" bestFit="1" customWidth="1"/>
    <col min="17" max="17" width="17.42578125" bestFit="1" customWidth="1"/>
    <col min="19" max="19" width="10.28515625" customWidth="1"/>
    <col min="20" max="20" width="24.28515625" customWidth="1"/>
    <col min="21" max="21" width="12.7109375" bestFit="1" customWidth="1"/>
    <col min="22" max="22" width="12.28515625" bestFit="1" customWidth="1"/>
    <col min="23" max="23" width="17.42578125" bestFit="1" customWidth="1"/>
  </cols>
  <sheetData>
    <row r="1" spans="1:23" ht="18.75" x14ac:dyDescent="0.3">
      <c r="B1" s="2"/>
      <c r="C1" s="34"/>
      <c r="D1" s="3"/>
      <c r="E1" s="2"/>
      <c r="H1" s="2"/>
      <c r="I1" s="34"/>
      <c r="J1" s="3"/>
      <c r="K1" s="2"/>
      <c r="N1" s="2"/>
      <c r="O1" s="34"/>
      <c r="P1" s="3"/>
      <c r="Q1" s="2"/>
      <c r="S1" s="17"/>
      <c r="T1" s="2"/>
      <c r="U1" s="34"/>
      <c r="V1" s="3"/>
      <c r="W1" s="2"/>
    </row>
    <row r="2" spans="1:23" ht="19.5" thickBot="1" x14ac:dyDescent="0.35">
      <c r="B2" s="24" t="s">
        <v>121</v>
      </c>
      <c r="C2" s="32"/>
      <c r="D2" s="26"/>
      <c r="E2" s="27"/>
      <c r="H2" s="24" t="s">
        <v>120</v>
      </c>
      <c r="I2" s="32"/>
      <c r="J2" s="26"/>
      <c r="K2" s="27"/>
      <c r="N2" s="24" t="s">
        <v>119</v>
      </c>
      <c r="O2" s="32"/>
      <c r="P2" s="26"/>
      <c r="Q2" s="27"/>
      <c r="S2" s="17"/>
      <c r="T2" s="24" t="s">
        <v>107</v>
      </c>
      <c r="U2" s="32"/>
      <c r="V2" s="26"/>
      <c r="W2" s="27"/>
    </row>
    <row r="3" spans="1:23" ht="19.5" thickTop="1" x14ac:dyDescent="0.3">
      <c r="A3" s="17">
        <v>1</v>
      </c>
      <c r="B3" s="14" t="s">
        <v>51</v>
      </c>
      <c r="C3" s="33"/>
      <c r="D3" s="16"/>
      <c r="E3" s="1">
        <f t="shared" ref="E3:E66" si="0">D3*C3</f>
        <v>0</v>
      </c>
      <c r="G3" s="17">
        <v>1</v>
      </c>
      <c r="H3" s="14" t="s">
        <v>51</v>
      </c>
      <c r="I3" s="33"/>
      <c r="J3" s="16"/>
      <c r="K3" s="1">
        <f t="shared" ref="K3:K34" si="1">J3*I3</f>
        <v>0</v>
      </c>
      <c r="M3" s="17">
        <v>1</v>
      </c>
      <c r="N3" s="14" t="s">
        <v>51</v>
      </c>
      <c r="O3" s="33"/>
      <c r="P3" s="16"/>
      <c r="Q3" s="1">
        <f t="shared" ref="Q3:Q34" si="2">P3*O3</f>
        <v>0</v>
      </c>
      <c r="S3" s="17">
        <v>1</v>
      </c>
      <c r="T3" s="14" t="s">
        <v>51</v>
      </c>
      <c r="U3" s="33"/>
      <c r="V3" s="16"/>
      <c r="W3" s="1">
        <f t="shared" ref="W3:W34" si="3">V3*U3</f>
        <v>0</v>
      </c>
    </row>
    <row r="4" spans="1:23" ht="18.75" x14ac:dyDescent="0.3">
      <c r="A4" s="17">
        <v>2</v>
      </c>
      <c r="B4" s="2" t="s">
        <v>123</v>
      </c>
      <c r="C4" s="34">
        <v>5.5</v>
      </c>
      <c r="D4" s="3">
        <v>100</v>
      </c>
      <c r="E4" s="1">
        <f t="shared" si="0"/>
        <v>550</v>
      </c>
      <c r="G4" s="17">
        <v>2</v>
      </c>
      <c r="H4" s="2" t="s">
        <v>118</v>
      </c>
      <c r="I4" s="34"/>
      <c r="J4" s="3"/>
      <c r="K4" s="1">
        <f t="shared" si="1"/>
        <v>0</v>
      </c>
      <c r="M4" s="17">
        <v>2</v>
      </c>
      <c r="N4" s="2" t="s">
        <v>118</v>
      </c>
      <c r="O4" s="34">
        <f>0.68+1.08</f>
        <v>1.7600000000000002</v>
      </c>
      <c r="P4" s="3">
        <v>62</v>
      </c>
      <c r="Q4" s="1">
        <f t="shared" si="2"/>
        <v>109.12000000000002</v>
      </c>
      <c r="S4" s="17">
        <v>2</v>
      </c>
      <c r="T4" s="14" t="s">
        <v>22</v>
      </c>
      <c r="U4" s="37">
        <v>1</v>
      </c>
      <c r="V4" s="38">
        <v>54</v>
      </c>
      <c r="W4" s="1">
        <f t="shared" si="3"/>
        <v>54</v>
      </c>
    </row>
    <row r="5" spans="1:23" ht="18.75" x14ac:dyDescent="0.3">
      <c r="A5" s="17">
        <v>3</v>
      </c>
      <c r="B5" s="14" t="s">
        <v>22</v>
      </c>
      <c r="C5" s="37"/>
      <c r="D5" s="38"/>
      <c r="E5" s="1">
        <f t="shared" si="0"/>
        <v>0</v>
      </c>
      <c r="G5" s="17">
        <v>3</v>
      </c>
      <c r="H5" s="14" t="s">
        <v>22</v>
      </c>
      <c r="I5" s="37"/>
      <c r="J5" s="38"/>
      <c r="K5" s="1">
        <f t="shared" si="1"/>
        <v>0</v>
      </c>
      <c r="M5" s="17">
        <v>3</v>
      </c>
      <c r="N5" s="14" t="s">
        <v>22</v>
      </c>
      <c r="O5" s="37"/>
      <c r="P5" s="38"/>
      <c r="Q5" s="1">
        <f t="shared" si="2"/>
        <v>0</v>
      </c>
      <c r="S5" s="17">
        <v>3</v>
      </c>
      <c r="T5" s="2" t="s">
        <v>111</v>
      </c>
      <c r="U5" s="35">
        <f>17.6+20.77+19.6</f>
        <v>57.970000000000006</v>
      </c>
      <c r="V5" s="36">
        <v>21</v>
      </c>
      <c r="W5" s="1">
        <f t="shared" si="3"/>
        <v>1217.3700000000001</v>
      </c>
    </row>
    <row r="6" spans="1:23" ht="18.75" x14ac:dyDescent="0.3">
      <c r="A6" s="17">
        <v>4</v>
      </c>
      <c r="B6" s="2" t="s">
        <v>111</v>
      </c>
      <c r="C6" s="35"/>
      <c r="D6" s="36"/>
      <c r="E6" s="1">
        <f t="shared" si="0"/>
        <v>0</v>
      </c>
      <c r="G6" s="17">
        <v>4</v>
      </c>
      <c r="H6" s="2" t="s">
        <v>111</v>
      </c>
      <c r="I6" s="35"/>
      <c r="J6" s="36"/>
      <c r="K6" s="1">
        <f t="shared" si="1"/>
        <v>0</v>
      </c>
      <c r="M6" s="17">
        <v>4</v>
      </c>
      <c r="N6" s="2" t="s">
        <v>111</v>
      </c>
      <c r="O6" s="35"/>
      <c r="P6" s="36"/>
      <c r="Q6" s="1">
        <f t="shared" si="2"/>
        <v>0</v>
      </c>
      <c r="S6" s="17">
        <v>4</v>
      </c>
      <c r="T6" s="2" t="s">
        <v>44</v>
      </c>
      <c r="U6" s="35">
        <f>75.5-26+7.95</f>
        <v>57.45</v>
      </c>
      <c r="V6" s="36">
        <v>21</v>
      </c>
      <c r="W6" s="1">
        <f t="shared" si="3"/>
        <v>1206.45</v>
      </c>
    </row>
    <row r="7" spans="1:23" ht="18.75" x14ac:dyDescent="0.3">
      <c r="A7" s="17">
        <v>5</v>
      </c>
      <c r="B7" s="2" t="s">
        <v>44</v>
      </c>
      <c r="C7" s="35">
        <v>22.5</v>
      </c>
      <c r="D7" s="36">
        <v>21</v>
      </c>
      <c r="E7" s="1">
        <f t="shared" si="0"/>
        <v>472.5</v>
      </c>
      <c r="G7" s="17">
        <v>5</v>
      </c>
      <c r="H7" s="2" t="s">
        <v>44</v>
      </c>
      <c r="I7" s="35">
        <v>28.7</v>
      </c>
      <c r="J7" s="36">
        <v>24</v>
      </c>
      <c r="K7" s="1">
        <f t="shared" si="1"/>
        <v>688.8</v>
      </c>
      <c r="M7" s="17">
        <v>5</v>
      </c>
      <c r="N7" s="2" t="s">
        <v>44</v>
      </c>
      <c r="O7" s="35">
        <f>19.5+17.6+39+6+6.15</f>
        <v>88.25</v>
      </c>
      <c r="P7" s="36">
        <v>24</v>
      </c>
      <c r="Q7" s="1">
        <f t="shared" si="2"/>
        <v>2118</v>
      </c>
      <c r="S7" s="17">
        <v>5</v>
      </c>
      <c r="T7" s="2" t="s">
        <v>62</v>
      </c>
      <c r="U7" s="35">
        <v>35.5</v>
      </c>
      <c r="V7" s="36">
        <v>41</v>
      </c>
      <c r="W7" s="3">
        <f t="shared" si="3"/>
        <v>1455.5</v>
      </c>
    </row>
    <row r="8" spans="1:23" ht="18.75" x14ac:dyDescent="0.3">
      <c r="A8" s="17">
        <v>6</v>
      </c>
      <c r="B8" s="2" t="s">
        <v>62</v>
      </c>
      <c r="C8" s="35">
        <v>55.5</v>
      </c>
      <c r="D8" s="36">
        <v>42</v>
      </c>
      <c r="E8" s="3">
        <f t="shared" si="0"/>
        <v>2331</v>
      </c>
      <c r="G8" s="17">
        <v>6</v>
      </c>
      <c r="H8" s="2" t="s">
        <v>62</v>
      </c>
      <c r="I8" s="35">
        <v>57</v>
      </c>
      <c r="J8" s="36">
        <v>41</v>
      </c>
      <c r="K8" s="3">
        <f t="shared" si="1"/>
        <v>2337</v>
      </c>
      <c r="M8" s="17">
        <v>6</v>
      </c>
      <c r="N8" s="2" t="s">
        <v>62</v>
      </c>
      <c r="O8" s="35">
        <v>182.8</v>
      </c>
      <c r="P8" s="36">
        <v>41</v>
      </c>
      <c r="Q8" s="3">
        <f t="shared" si="2"/>
        <v>7494.8</v>
      </c>
      <c r="S8" s="17">
        <v>6</v>
      </c>
      <c r="T8" s="2" t="s">
        <v>20</v>
      </c>
      <c r="U8" s="35">
        <v>3.5</v>
      </c>
      <c r="V8" s="36">
        <v>92</v>
      </c>
      <c r="W8" s="1">
        <f t="shared" si="3"/>
        <v>322</v>
      </c>
    </row>
    <row r="9" spans="1:23" ht="18.75" x14ac:dyDescent="0.3">
      <c r="A9" s="17">
        <v>7</v>
      </c>
      <c r="B9" s="2" t="s">
        <v>116</v>
      </c>
      <c r="C9" s="35">
        <v>16.5</v>
      </c>
      <c r="D9" s="36">
        <v>84</v>
      </c>
      <c r="E9" s="1">
        <f t="shared" si="0"/>
        <v>1386</v>
      </c>
      <c r="G9" s="17">
        <v>7</v>
      </c>
      <c r="H9" s="2" t="s">
        <v>116</v>
      </c>
      <c r="I9" s="35">
        <v>23.45</v>
      </c>
      <c r="J9" s="36">
        <v>84</v>
      </c>
      <c r="K9" s="1">
        <f t="shared" si="1"/>
        <v>1969.8</v>
      </c>
      <c r="M9" s="17">
        <v>7</v>
      </c>
      <c r="N9" s="2" t="s">
        <v>116</v>
      </c>
      <c r="O9" s="35">
        <v>3.5</v>
      </c>
      <c r="P9" s="36">
        <v>92</v>
      </c>
      <c r="Q9" s="1">
        <f t="shared" si="2"/>
        <v>322</v>
      </c>
      <c r="S9" s="17">
        <v>7</v>
      </c>
      <c r="T9" s="2" t="s">
        <v>106</v>
      </c>
      <c r="U9" s="35"/>
      <c r="V9" s="36"/>
      <c r="W9" s="1">
        <f t="shared" si="3"/>
        <v>0</v>
      </c>
    </row>
    <row r="10" spans="1:23" ht="18.75" x14ac:dyDescent="0.3">
      <c r="A10" s="17">
        <v>8</v>
      </c>
      <c r="B10" s="2" t="s">
        <v>115</v>
      </c>
      <c r="C10" s="35"/>
      <c r="D10" s="36"/>
      <c r="E10" s="1">
        <f t="shared" si="0"/>
        <v>0</v>
      </c>
      <c r="G10" s="17">
        <v>8</v>
      </c>
      <c r="H10" s="2" t="s">
        <v>115</v>
      </c>
      <c r="I10" s="35"/>
      <c r="J10" s="36"/>
      <c r="K10" s="1">
        <f t="shared" si="1"/>
        <v>0</v>
      </c>
      <c r="M10" s="17">
        <v>8</v>
      </c>
      <c r="N10" s="2" t="s">
        <v>115</v>
      </c>
      <c r="O10" s="35">
        <v>22.39</v>
      </c>
      <c r="P10" s="36">
        <v>82</v>
      </c>
      <c r="Q10" s="1">
        <f t="shared" si="2"/>
        <v>1835.98</v>
      </c>
      <c r="S10" s="17">
        <v>8</v>
      </c>
      <c r="T10" s="2" t="s">
        <v>96</v>
      </c>
      <c r="U10" s="35">
        <v>3.5</v>
      </c>
      <c r="V10" s="36">
        <v>74</v>
      </c>
      <c r="W10" s="1">
        <f t="shared" si="3"/>
        <v>259</v>
      </c>
    </row>
    <row r="11" spans="1:23" ht="18.75" x14ac:dyDescent="0.3">
      <c r="A11" s="17">
        <v>9</v>
      </c>
      <c r="B11" s="2" t="s">
        <v>96</v>
      </c>
      <c r="C11" s="35">
        <v>3</v>
      </c>
      <c r="D11" s="36">
        <v>64</v>
      </c>
      <c r="E11" s="1">
        <f t="shared" si="0"/>
        <v>192</v>
      </c>
      <c r="G11" s="17">
        <v>9</v>
      </c>
      <c r="H11" s="2" t="s">
        <v>96</v>
      </c>
      <c r="I11" s="35">
        <v>3.5</v>
      </c>
      <c r="J11" s="36">
        <v>64</v>
      </c>
      <c r="K11" s="1">
        <f t="shared" si="1"/>
        <v>224</v>
      </c>
      <c r="M11" s="17">
        <v>9</v>
      </c>
      <c r="N11" s="2" t="s">
        <v>96</v>
      </c>
      <c r="O11" s="35">
        <v>3.5</v>
      </c>
      <c r="P11" s="36">
        <v>74</v>
      </c>
      <c r="Q11" s="1">
        <f t="shared" si="2"/>
        <v>259</v>
      </c>
      <c r="S11" s="17">
        <v>9</v>
      </c>
      <c r="T11" s="2" t="s">
        <v>109</v>
      </c>
      <c r="U11" s="35">
        <v>16</v>
      </c>
      <c r="V11" s="36">
        <v>49</v>
      </c>
      <c r="W11" s="1">
        <f t="shared" si="3"/>
        <v>784</v>
      </c>
    </row>
    <row r="12" spans="1:23" ht="18.75" x14ac:dyDescent="0.3">
      <c r="A12" s="17">
        <v>10</v>
      </c>
      <c r="B12" s="2" t="s">
        <v>109</v>
      </c>
      <c r="C12" s="35">
        <v>5.13</v>
      </c>
      <c r="D12" s="36">
        <v>49</v>
      </c>
      <c r="E12" s="1">
        <f t="shared" si="0"/>
        <v>251.37</v>
      </c>
      <c r="G12" s="17">
        <v>10</v>
      </c>
      <c r="H12" s="2" t="s">
        <v>109</v>
      </c>
      <c r="I12" s="35"/>
      <c r="J12" s="36"/>
      <c r="K12" s="1">
        <f t="shared" si="1"/>
        <v>0</v>
      </c>
      <c r="M12" s="17">
        <v>10</v>
      </c>
      <c r="N12" s="2" t="s">
        <v>109</v>
      </c>
      <c r="O12" s="35">
        <v>6.4</v>
      </c>
      <c r="P12" s="36">
        <v>49</v>
      </c>
      <c r="Q12" s="1">
        <f t="shared" si="2"/>
        <v>313.60000000000002</v>
      </c>
      <c r="S12" s="17">
        <v>10</v>
      </c>
      <c r="T12" s="2" t="s">
        <v>9</v>
      </c>
      <c r="U12" s="35">
        <v>98</v>
      </c>
      <c r="V12" s="36">
        <v>22</v>
      </c>
      <c r="W12" s="1">
        <f t="shared" si="3"/>
        <v>2156</v>
      </c>
    </row>
    <row r="13" spans="1:23" ht="18.75" x14ac:dyDescent="0.3">
      <c r="A13" s="17">
        <v>11</v>
      </c>
      <c r="B13" s="2" t="s">
        <v>9</v>
      </c>
      <c r="C13" s="35">
        <v>149</v>
      </c>
      <c r="D13" s="36">
        <v>20</v>
      </c>
      <c r="E13" s="1">
        <f t="shared" si="0"/>
        <v>2980</v>
      </c>
      <c r="G13" s="17">
        <v>11</v>
      </c>
      <c r="H13" s="2" t="s">
        <v>9</v>
      </c>
      <c r="I13" s="35">
        <v>129.19999999999999</v>
      </c>
      <c r="J13" s="36">
        <v>22</v>
      </c>
      <c r="K13" s="1">
        <f t="shared" si="1"/>
        <v>2842.3999999999996</v>
      </c>
      <c r="M13" s="17">
        <v>11</v>
      </c>
      <c r="N13" s="2" t="s">
        <v>9</v>
      </c>
      <c r="O13" s="35">
        <f>103-6+10.46+5.1</f>
        <v>112.56</v>
      </c>
      <c r="P13" s="36">
        <v>22</v>
      </c>
      <c r="Q13" s="1">
        <f t="shared" si="2"/>
        <v>2476.3200000000002</v>
      </c>
      <c r="S13" s="17">
        <v>11</v>
      </c>
      <c r="T13" s="2" t="s">
        <v>4</v>
      </c>
      <c r="U13" s="35">
        <f>902.6+954.65</f>
        <v>1857.25</v>
      </c>
      <c r="V13" s="36">
        <v>32.5</v>
      </c>
      <c r="W13" s="1">
        <f t="shared" si="3"/>
        <v>60360.625</v>
      </c>
    </row>
    <row r="14" spans="1:23" ht="18.75" x14ac:dyDescent="0.3">
      <c r="A14" s="17">
        <v>12</v>
      </c>
      <c r="B14" s="2" t="s">
        <v>4</v>
      </c>
      <c r="C14" s="35">
        <v>919.4</v>
      </c>
      <c r="D14" s="36">
        <v>30</v>
      </c>
      <c r="E14" s="1">
        <f t="shared" si="0"/>
        <v>27582</v>
      </c>
      <c r="G14" s="17">
        <v>12</v>
      </c>
      <c r="H14" s="2" t="s">
        <v>4</v>
      </c>
      <c r="I14" s="35">
        <v>918.5</v>
      </c>
      <c r="J14" s="36">
        <v>29.5</v>
      </c>
      <c r="K14" s="1">
        <f t="shared" si="1"/>
        <v>27095.75</v>
      </c>
      <c r="M14" s="17">
        <v>12</v>
      </c>
      <c r="N14" s="2" t="s">
        <v>4</v>
      </c>
      <c r="O14" s="35">
        <f>843.22+860.46</f>
        <v>1703.68</v>
      </c>
      <c r="P14" s="36">
        <v>32.5</v>
      </c>
      <c r="Q14" s="1">
        <f t="shared" si="2"/>
        <v>55369.599999999999</v>
      </c>
      <c r="S14" s="17">
        <v>12</v>
      </c>
      <c r="T14" s="2" t="s">
        <v>35</v>
      </c>
      <c r="U14" s="35">
        <v>1</v>
      </c>
      <c r="V14" s="36">
        <v>14</v>
      </c>
      <c r="W14" s="1">
        <f t="shared" si="3"/>
        <v>14</v>
      </c>
    </row>
    <row r="15" spans="1:23" ht="18.75" x14ac:dyDescent="0.3">
      <c r="A15" s="17">
        <v>13</v>
      </c>
      <c r="B15" s="2" t="s">
        <v>35</v>
      </c>
      <c r="C15" s="35">
        <v>1</v>
      </c>
      <c r="D15" s="36">
        <v>14</v>
      </c>
      <c r="E15" s="1">
        <f t="shared" si="0"/>
        <v>14</v>
      </c>
      <c r="G15" s="17">
        <v>13</v>
      </c>
      <c r="H15" s="2" t="s">
        <v>35</v>
      </c>
      <c r="I15" s="35">
        <v>5</v>
      </c>
      <c r="J15" s="36">
        <v>14</v>
      </c>
      <c r="K15" s="1">
        <f t="shared" si="1"/>
        <v>70</v>
      </c>
      <c r="M15" s="17">
        <v>13</v>
      </c>
      <c r="N15" s="2" t="s">
        <v>35</v>
      </c>
      <c r="O15" s="35">
        <v>1</v>
      </c>
      <c r="P15" s="36">
        <v>14</v>
      </c>
      <c r="Q15" s="1">
        <f t="shared" si="2"/>
        <v>14</v>
      </c>
      <c r="S15" s="17">
        <v>13</v>
      </c>
      <c r="T15" s="2" t="s">
        <v>1</v>
      </c>
      <c r="U15" s="35"/>
      <c r="V15" s="36"/>
      <c r="W15" s="1">
        <f t="shared" si="3"/>
        <v>0</v>
      </c>
    </row>
    <row r="16" spans="1:23" ht="18.75" x14ac:dyDescent="0.3">
      <c r="A16" s="17">
        <v>14</v>
      </c>
      <c r="B16" s="2" t="s">
        <v>1</v>
      </c>
      <c r="C16" s="35">
        <v>14.5</v>
      </c>
      <c r="D16" s="36">
        <v>100</v>
      </c>
      <c r="E16" s="1">
        <f t="shared" si="0"/>
        <v>1450</v>
      </c>
      <c r="G16" s="17">
        <v>14</v>
      </c>
      <c r="H16" s="2" t="s">
        <v>1</v>
      </c>
      <c r="I16" s="35">
        <v>14.6</v>
      </c>
      <c r="J16" s="36">
        <v>100</v>
      </c>
      <c r="K16" s="1">
        <f t="shared" si="1"/>
        <v>1460</v>
      </c>
      <c r="M16" s="17">
        <v>14</v>
      </c>
      <c r="N16" s="2" t="s">
        <v>1</v>
      </c>
      <c r="O16" s="35">
        <v>78.3</v>
      </c>
      <c r="P16" s="36">
        <v>100</v>
      </c>
      <c r="Q16" s="1">
        <f t="shared" si="2"/>
        <v>7830</v>
      </c>
      <c r="S16" s="17">
        <v>14</v>
      </c>
      <c r="T16" s="2" t="s">
        <v>95</v>
      </c>
      <c r="U16" s="35"/>
      <c r="V16" s="36"/>
      <c r="W16" s="1">
        <f t="shared" si="3"/>
        <v>0</v>
      </c>
    </row>
    <row r="17" spans="1:23" ht="18.75" x14ac:dyDescent="0.3">
      <c r="A17" s="17">
        <v>15</v>
      </c>
      <c r="B17" s="2" t="s">
        <v>95</v>
      </c>
      <c r="C17" s="35"/>
      <c r="D17" s="36"/>
      <c r="E17" s="1">
        <f t="shared" si="0"/>
        <v>0</v>
      </c>
      <c r="G17" s="17">
        <v>15</v>
      </c>
      <c r="H17" s="2" t="s">
        <v>95</v>
      </c>
      <c r="I17" s="35"/>
      <c r="J17" s="36"/>
      <c r="K17" s="1">
        <f t="shared" si="1"/>
        <v>0</v>
      </c>
      <c r="M17" s="17">
        <v>15</v>
      </c>
      <c r="N17" s="2" t="s">
        <v>95</v>
      </c>
      <c r="O17" s="35"/>
      <c r="P17" s="36"/>
      <c r="Q17" s="1">
        <f t="shared" si="2"/>
        <v>0</v>
      </c>
      <c r="S17" s="17">
        <v>15</v>
      </c>
      <c r="T17" s="2" t="s">
        <v>66</v>
      </c>
      <c r="U17" s="35">
        <v>2</v>
      </c>
      <c r="V17" s="36">
        <v>60</v>
      </c>
      <c r="W17" s="1">
        <f t="shared" si="3"/>
        <v>120</v>
      </c>
    </row>
    <row r="18" spans="1:23" ht="18.75" x14ac:dyDescent="0.3">
      <c r="A18" s="17">
        <v>16</v>
      </c>
      <c r="B18" s="2" t="s">
        <v>66</v>
      </c>
      <c r="C18" s="35">
        <v>2</v>
      </c>
      <c r="D18" s="36">
        <v>60</v>
      </c>
      <c r="E18" s="1">
        <f t="shared" si="0"/>
        <v>120</v>
      </c>
      <c r="G18" s="17">
        <v>16</v>
      </c>
      <c r="H18" s="2" t="s">
        <v>66</v>
      </c>
      <c r="I18" s="35"/>
      <c r="J18" s="36"/>
      <c r="K18" s="1">
        <f t="shared" si="1"/>
        <v>0</v>
      </c>
      <c r="M18" s="17">
        <v>16</v>
      </c>
      <c r="N18" s="2" t="s">
        <v>66</v>
      </c>
      <c r="O18" s="35">
        <v>1.3</v>
      </c>
      <c r="P18" s="36">
        <v>60</v>
      </c>
      <c r="Q18" s="1">
        <f t="shared" si="2"/>
        <v>78</v>
      </c>
      <c r="S18" s="17">
        <v>16</v>
      </c>
      <c r="T18" s="2" t="s">
        <v>98</v>
      </c>
      <c r="U18" s="35"/>
      <c r="V18" s="36"/>
      <c r="W18" s="1">
        <f t="shared" si="3"/>
        <v>0</v>
      </c>
    </row>
    <row r="19" spans="1:23" ht="18.75" x14ac:dyDescent="0.3">
      <c r="A19" s="17">
        <v>17</v>
      </c>
      <c r="B19" s="2" t="s">
        <v>98</v>
      </c>
      <c r="C19" s="35"/>
      <c r="D19" s="36"/>
      <c r="E19" s="1">
        <f t="shared" si="0"/>
        <v>0</v>
      </c>
      <c r="G19" s="17">
        <v>17</v>
      </c>
      <c r="H19" s="2" t="s">
        <v>98</v>
      </c>
      <c r="I19" s="35"/>
      <c r="J19" s="36"/>
      <c r="K19" s="1">
        <f t="shared" si="1"/>
        <v>0</v>
      </c>
      <c r="M19" s="17">
        <v>17</v>
      </c>
      <c r="N19" s="2" t="s">
        <v>98</v>
      </c>
      <c r="O19" s="35"/>
      <c r="P19" s="36"/>
      <c r="Q19" s="1">
        <f t="shared" si="2"/>
        <v>0</v>
      </c>
      <c r="S19" s="17">
        <v>17</v>
      </c>
      <c r="T19" s="2" t="s">
        <v>86</v>
      </c>
      <c r="U19" s="35"/>
      <c r="V19" s="36"/>
      <c r="W19" s="1">
        <f t="shared" si="3"/>
        <v>0</v>
      </c>
    </row>
    <row r="20" spans="1:23" ht="18.75" x14ac:dyDescent="0.3">
      <c r="A20" s="17">
        <v>18</v>
      </c>
      <c r="B20" s="2" t="s">
        <v>86</v>
      </c>
      <c r="C20" s="35"/>
      <c r="D20" s="36"/>
      <c r="E20" s="1">
        <f t="shared" si="0"/>
        <v>0</v>
      </c>
      <c r="G20" s="17">
        <v>18</v>
      </c>
      <c r="H20" s="2" t="s">
        <v>86</v>
      </c>
      <c r="I20" s="35"/>
      <c r="J20" s="36"/>
      <c r="K20" s="1">
        <f t="shared" si="1"/>
        <v>0</v>
      </c>
      <c r="M20" s="17">
        <v>18</v>
      </c>
      <c r="N20" s="2" t="s">
        <v>86</v>
      </c>
      <c r="O20" s="35"/>
      <c r="P20" s="36"/>
      <c r="Q20" s="1">
        <f t="shared" si="2"/>
        <v>0</v>
      </c>
      <c r="S20" s="17">
        <v>18</v>
      </c>
      <c r="T20" s="2" t="s">
        <v>92</v>
      </c>
      <c r="U20" s="35"/>
      <c r="V20" s="36"/>
      <c r="W20" s="3">
        <f t="shared" si="3"/>
        <v>0</v>
      </c>
    </row>
    <row r="21" spans="1:23" ht="18.75" x14ac:dyDescent="0.3">
      <c r="A21" s="17">
        <v>19</v>
      </c>
      <c r="B21" s="2" t="s">
        <v>92</v>
      </c>
      <c r="C21" s="35"/>
      <c r="D21" s="36"/>
      <c r="E21" s="3">
        <f t="shared" si="0"/>
        <v>0</v>
      </c>
      <c r="G21" s="17">
        <v>19</v>
      </c>
      <c r="H21" s="2" t="s">
        <v>92</v>
      </c>
      <c r="I21" s="35"/>
      <c r="J21" s="36"/>
      <c r="K21" s="3">
        <f t="shared" si="1"/>
        <v>0</v>
      </c>
      <c r="M21" s="17">
        <v>19</v>
      </c>
      <c r="N21" s="2" t="s">
        <v>92</v>
      </c>
      <c r="O21" s="35"/>
      <c r="P21" s="36"/>
      <c r="Q21" s="3">
        <f t="shared" si="2"/>
        <v>0</v>
      </c>
      <c r="S21" s="17">
        <v>19</v>
      </c>
      <c r="T21" s="2" t="s">
        <v>2</v>
      </c>
      <c r="U21" s="35">
        <f>40-2.5</f>
        <v>37.5</v>
      </c>
      <c r="V21" s="36">
        <v>24</v>
      </c>
      <c r="W21" s="1">
        <f t="shared" si="3"/>
        <v>900</v>
      </c>
    </row>
    <row r="22" spans="1:23" ht="18.75" x14ac:dyDescent="0.3">
      <c r="A22" s="17">
        <v>20</v>
      </c>
      <c r="B22" s="2" t="s">
        <v>2</v>
      </c>
      <c r="C22" s="35">
        <v>59.5</v>
      </c>
      <c r="D22" s="36">
        <v>24</v>
      </c>
      <c r="E22" s="1">
        <f t="shared" si="0"/>
        <v>1428</v>
      </c>
      <c r="G22" s="17">
        <v>20</v>
      </c>
      <c r="H22" s="2" t="s">
        <v>2</v>
      </c>
      <c r="I22" s="35">
        <v>49.7</v>
      </c>
      <c r="J22" s="36">
        <v>29</v>
      </c>
      <c r="K22" s="1">
        <f t="shared" si="1"/>
        <v>1441.3000000000002</v>
      </c>
      <c r="M22" s="17">
        <v>20</v>
      </c>
      <c r="N22" s="2" t="s">
        <v>2</v>
      </c>
      <c r="O22" s="35">
        <f>6+2.9+1+44</f>
        <v>53.9</v>
      </c>
      <c r="P22" s="36">
        <v>25</v>
      </c>
      <c r="Q22" s="1">
        <f t="shared" si="2"/>
        <v>1347.5</v>
      </c>
      <c r="S22" s="17">
        <v>20</v>
      </c>
      <c r="T22" s="2" t="s">
        <v>88</v>
      </c>
      <c r="U22" s="35">
        <f>27.22+21.4</f>
        <v>48.62</v>
      </c>
      <c r="V22" s="36">
        <v>25</v>
      </c>
      <c r="W22" s="1">
        <f t="shared" si="3"/>
        <v>1215.5</v>
      </c>
    </row>
    <row r="23" spans="1:23" ht="18.75" x14ac:dyDescent="0.3">
      <c r="A23" s="17">
        <v>21</v>
      </c>
      <c r="B23" s="2" t="s">
        <v>88</v>
      </c>
      <c r="C23" s="35"/>
      <c r="D23" s="36"/>
      <c r="E23" s="1">
        <f t="shared" si="0"/>
        <v>0</v>
      </c>
      <c r="G23" s="17">
        <v>21</v>
      </c>
      <c r="H23" s="2" t="s">
        <v>88</v>
      </c>
      <c r="I23" s="35"/>
      <c r="J23" s="36"/>
      <c r="K23" s="1">
        <f t="shared" si="1"/>
        <v>0</v>
      </c>
      <c r="M23" s="17">
        <v>21</v>
      </c>
      <c r="N23" s="2" t="s">
        <v>88</v>
      </c>
      <c r="O23" s="35"/>
      <c r="P23" s="36"/>
      <c r="Q23" s="1">
        <f t="shared" si="2"/>
        <v>0</v>
      </c>
      <c r="S23" s="17">
        <v>21</v>
      </c>
      <c r="T23" s="2" t="s">
        <v>10</v>
      </c>
      <c r="U23" s="35">
        <f>425.5-48.5+131.5</f>
        <v>508.5</v>
      </c>
      <c r="V23" s="36">
        <v>14</v>
      </c>
      <c r="W23" s="1">
        <f t="shared" si="3"/>
        <v>7119</v>
      </c>
    </row>
    <row r="24" spans="1:23" ht="18.75" x14ac:dyDescent="0.3">
      <c r="A24" s="17">
        <v>22</v>
      </c>
      <c r="B24" s="2" t="s">
        <v>10</v>
      </c>
      <c r="C24" s="35">
        <f>242.5+377</f>
        <v>619.5</v>
      </c>
      <c r="D24" s="36">
        <v>13</v>
      </c>
      <c r="E24" s="1">
        <f t="shared" si="0"/>
        <v>8053.5</v>
      </c>
      <c r="G24" s="17">
        <v>22</v>
      </c>
      <c r="H24" s="2" t="s">
        <v>10</v>
      </c>
      <c r="I24" s="35">
        <f>103.9+377</f>
        <v>480.9</v>
      </c>
      <c r="J24" s="36">
        <v>13</v>
      </c>
      <c r="K24" s="1">
        <f t="shared" si="1"/>
        <v>6251.7</v>
      </c>
      <c r="M24" s="17">
        <v>22</v>
      </c>
      <c r="N24" s="2" t="s">
        <v>10</v>
      </c>
      <c r="O24" s="35">
        <f>317+3.77</f>
        <v>320.77</v>
      </c>
      <c r="P24" s="36">
        <v>13</v>
      </c>
      <c r="Q24" s="1">
        <f t="shared" si="2"/>
        <v>4170.01</v>
      </c>
      <c r="S24" s="17">
        <v>22</v>
      </c>
      <c r="T24" s="2" t="s">
        <v>80</v>
      </c>
      <c r="U24" s="35">
        <v>5.5</v>
      </c>
      <c r="V24" s="36">
        <v>26</v>
      </c>
      <c r="W24" s="3">
        <f t="shared" si="3"/>
        <v>143</v>
      </c>
    </row>
    <row r="25" spans="1:23" ht="18.75" x14ac:dyDescent="0.3">
      <c r="A25" s="17">
        <v>23</v>
      </c>
      <c r="B25" s="2" t="s">
        <v>80</v>
      </c>
      <c r="C25" s="35">
        <v>3.5</v>
      </c>
      <c r="D25" s="36">
        <v>26</v>
      </c>
      <c r="E25" s="3">
        <f t="shared" si="0"/>
        <v>91</v>
      </c>
      <c r="G25" s="17">
        <v>23</v>
      </c>
      <c r="H25" s="2" t="s">
        <v>80</v>
      </c>
      <c r="I25" s="35">
        <v>26</v>
      </c>
      <c r="J25" s="36">
        <v>26</v>
      </c>
      <c r="K25" s="3">
        <f t="shared" si="1"/>
        <v>676</v>
      </c>
      <c r="M25" s="17">
        <v>23</v>
      </c>
      <c r="N25" s="2" t="s">
        <v>80</v>
      </c>
      <c r="O25" s="35">
        <v>6.5</v>
      </c>
      <c r="P25" s="36">
        <v>26</v>
      </c>
      <c r="Q25" s="3">
        <f t="shared" si="2"/>
        <v>169</v>
      </c>
      <c r="S25" s="17">
        <v>23</v>
      </c>
      <c r="T25" s="2" t="s">
        <v>75</v>
      </c>
      <c r="U25" s="35"/>
      <c r="V25" s="36"/>
      <c r="W25" s="3">
        <f t="shared" si="3"/>
        <v>0</v>
      </c>
    </row>
    <row r="26" spans="1:23" ht="18.75" x14ac:dyDescent="0.3">
      <c r="A26" s="17">
        <v>24</v>
      </c>
      <c r="B26" s="2" t="s">
        <v>75</v>
      </c>
      <c r="C26" s="35">
        <v>8.4</v>
      </c>
      <c r="D26" s="36">
        <v>65</v>
      </c>
      <c r="E26" s="3">
        <f t="shared" si="0"/>
        <v>546</v>
      </c>
      <c r="G26" s="17">
        <v>24</v>
      </c>
      <c r="H26" s="2" t="s">
        <v>75</v>
      </c>
      <c r="I26" s="35">
        <v>2.14</v>
      </c>
      <c r="J26" s="36">
        <v>65</v>
      </c>
      <c r="K26" s="3">
        <f t="shared" si="1"/>
        <v>139.1</v>
      </c>
      <c r="M26" s="17">
        <v>24</v>
      </c>
      <c r="N26" s="2" t="s">
        <v>75</v>
      </c>
      <c r="O26" s="35">
        <v>4.08</v>
      </c>
      <c r="P26" s="36">
        <v>65</v>
      </c>
      <c r="Q26" s="3">
        <f t="shared" si="2"/>
        <v>265.2</v>
      </c>
      <c r="S26" s="17">
        <v>24</v>
      </c>
      <c r="T26" s="2" t="s">
        <v>25</v>
      </c>
      <c r="U26" s="35"/>
      <c r="V26" s="36"/>
      <c r="W26" s="1">
        <f t="shared" si="3"/>
        <v>0</v>
      </c>
    </row>
    <row r="27" spans="1:23" ht="18.75" x14ac:dyDescent="0.3">
      <c r="A27" s="17">
        <v>25</v>
      </c>
      <c r="B27" s="2" t="s">
        <v>25</v>
      </c>
      <c r="C27" s="35">
        <v>31.5</v>
      </c>
      <c r="D27" s="36">
        <v>42</v>
      </c>
      <c r="E27" s="1">
        <f t="shared" si="0"/>
        <v>1323</v>
      </c>
      <c r="G27" s="17">
        <v>25</v>
      </c>
      <c r="H27" s="2" t="s">
        <v>25</v>
      </c>
      <c r="I27" s="35"/>
      <c r="J27" s="36"/>
      <c r="K27" s="1">
        <f t="shared" si="1"/>
        <v>0</v>
      </c>
      <c r="M27" s="17">
        <v>25</v>
      </c>
      <c r="N27" s="2" t="s">
        <v>25</v>
      </c>
      <c r="O27" s="35"/>
      <c r="P27" s="36"/>
      <c r="Q27" s="1">
        <f t="shared" si="2"/>
        <v>0</v>
      </c>
      <c r="S27" s="17">
        <v>25</v>
      </c>
      <c r="T27" s="2" t="s">
        <v>7</v>
      </c>
      <c r="U27" s="35">
        <f>43.5-25</f>
        <v>18.5</v>
      </c>
      <c r="V27" s="36">
        <v>36</v>
      </c>
      <c r="W27" s="1">
        <f t="shared" si="3"/>
        <v>666</v>
      </c>
    </row>
    <row r="28" spans="1:23" ht="18.75" x14ac:dyDescent="0.3">
      <c r="A28" s="17">
        <v>26</v>
      </c>
      <c r="B28" s="2" t="s">
        <v>7</v>
      </c>
      <c r="C28" s="35">
        <v>3</v>
      </c>
      <c r="D28" s="36">
        <v>50</v>
      </c>
      <c r="E28" s="1">
        <f t="shared" si="0"/>
        <v>150</v>
      </c>
      <c r="G28" s="17">
        <v>26</v>
      </c>
      <c r="H28" s="2" t="s">
        <v>7</v>
      </c>
      <c r="I28" s="35">
        <v>22.7</v>
      </c>
      <c r="J28" s="36">
        <v>42</v>
      </c>
      <c r="K28" s="1">
        <f t="shared" si="1"/>
        <v>953.4</v>
      </c>
      <c r="M28" s="17">
        <v>26</v>
      </c>
      <c r="N28" s="2" t="s">
        <v>7</v>
      </c>
      <c r="O28" s="35">
        <f>20+25.5+0.77</f>
        <v>46.27</v>
      </c>
      <c r="P28" s="36">
        <v>42</v>
      </c>
      <c r="Q28" s="1">
        <f t="shared" si="2"/>
        <v>1943.3400000000001</v>
      </c>
      <c r="S28" s="17">
        <v>26</v>
      </c>
      <c r="T28" s="2" t="s">
        <v>108</v>
      </c>
      <c r="U28" s="35">
        <v>8</v>
      </c>
      <c r="V28" s="36">
        <v>42</v>
      </c>
      <c r="W28" s="1">
        <f t="shared" si="3"/>
        <v>336</v>
      </c>
    </row>
    <row r="29" spans="1:23" ht="18.75" hidden="1" x14ac:dyDescent="0.3">
      <c r="A29" s="17">
        <v>27</v>
      </c>
      <c r="B29" s="2" t="s">
        <v>67</v>
      </c>
      <c r="C29" s="35"/>
      <c r="D29" s="36"/>
      <c r="E29" s="3">
        <f t="shared" si="0"/>
        <v>0</v>
      </c>
      <c r="G29" s="17">
        <v>27</v>
      </c>
      <c r="H29" s="2" t="s">
        <v>67</v>
      </c>
      <c r="I29" s="35"/>
      <c r="J29" s="36"/>
      <c r="K29" s="3">
        <f t="shared" si="1"/>
        <v>0</v>
      </c>
      <c r="M29" s="17">
        <v>27</v>
      </c>
      <c r="N29" s="2" t="s">
        <v>67</v>
      </c>
      <c r="O29" s="35"/>
      <c r="P29" s="36"/>
      <c r="Q29" s="3">
        <f t="shared" si="2"/>
        <v>0</v>
      </c>
      <c r="S29" s="17">
        <v>27</v>
      </c>
      <c r="T29" s="2" t="s">
        <v>67</v>
      </c>
      <c r="U29" s="35"/>
      <c r="V29" s="36"/>
      <c r="W29" s="3">
        <f t="shared" si="3"/>
        <v>0</v>
      </c>
    </row>
    <row r="30" spans="1:23" ht="18.75" x14ac:dyDescent="0.3">
      <c r="A30" s="17">
        <v>28</v>
      </c>
      <c r="B30" s="2" t="s">
        <v>108</v>
      </c>
      <c r="C30" s="35"/>
      <c r="D30" s="36"/>
      <c r="E30" s="1">
        <f t="shared" si="0"/>
        <v>0</v>
      </c>
      <c r="G30" s="17">
        <v>28</v>
      </c>
      <c r="H30" s="2" t="s">
        <v>108</v>
      </c>
      <c r="I30" s="35"/>
      <c r="J30" s="36"/>
      <c r="K30" s="1">
        <f t="shared" si="1"/>
        <v>0</v>
      </c>
      <c r="M30" s="17">
        <v>28</v>
      </c>
      <c r="N30" s="2" t="s">
        <v>108</v>
      </c>
      <c r="O30" s="35"/>
      <c r="P30" s="36"/>
      <c r="Q30" s="1">
        <f t="shared" si="2"/>
        <v>0</v>
      </c>
      <c r="S30" s="17">
        <v>28</v>
      </c>
      <c r="T30" s="2" t="s">
        <v>27</v>
      </c>
      <c r="U30" s="35">
        <v>7.5</v>
      </c>
      <c r="V30" s="36">
        <v>16</v>
      </c>
      <c r="W30" s="1">
        <f t="shared" si="3"/>
        <v>120</v>
      </c>
    </row>
    <row r="31" spans="1:23" ht="18.75" x14ac:dyDescent="0.3">
      <c r="A31" s="17">
        <v>29</v>
      </c>
      <c r="B31" s="2" t="s">
        <v>27</v>
      </c>
      <c r="C31" s="35"/>
      <c r="D31" s="36"/>
      <c r="E31" s="1">
        <f t="shared" si="0"/>
        <v>0</v>
      </c>
      <c r="G31" s="17">
        <v>29</v>
      </c>
      <c r="H31" s="2" t="s">
        <v>27</v>
      </c>
      <c r="I31" s="35">
        <v>20.149999999999999</v>
      </c>
      <c r="J31" s="36">
        <v>16</v>
      </c>
      <c r="K31" s="1">
        <f t="shared" si="1"/>
        <v>322.39999999999998</v>
      </c>
      <c r="M31" s="17">
        <v>29</v>
      </c>
      <c r="N31" s="2" t="s">
        <v>27</v>
      </c>
      <c r="O31" s="35">
        <v>3</v>
      </c>
      <c r="P31" s="36">
        <v>16</v>
      </c>
      <c r="Q31" s="1">
        <f t="shared" si="2"/>
        <v>48</v>
      </c>
      <c r="S31" s="17">
        <v>29</v>
      </c>
      <c r="T31" s="2" t="s">
        <v>13</v>
      </c>
      <c r="U31" s="35">
        <v>130</v>
      </c>
      <c r="V31" s="36">
        <v>41</v>
      </c>
      <c r="W31" s="1">
        <f t="shared" si="3"/>
        <v>5330</v>
      </c>
    </row>
    <row r="32" spans="1:23" ht="18.75" x14ac:dyDescent="0.3">
      <c r="A32" s="17">
        <v>30</v>
      </c>
      <c r="B32" s="2" t="s">
        <v>13</v>
      </c>
      <c r="C32" s="35">
        <f>151+18.3</f>
        <v>169.3</v>
      </c>
      <c r="D32" s="36">
        <v>39</v>
      </c>
      <c r="E32" s="1">
        <f t="shared" si="0"/>
        <v>6602.7000000000007</v>
      </c>
      <c r="G32" s="17">
        <v>30</v>
      </c>
      <c r="H32" s="2" t="s">
        <v>13</v>
      </c>
      <c r="I32" s="35"/>
      <c r="J32" s="36"/>
      <c r="K32" s="1">
        <f t="shared" si="1"/>
        <v>0</v>
      </c>
      <c r="M32" s="17">
        <v>30</v>
      </c>
      <c r="N32" s="2" t="s">
        <v>13</v>
      </c>
      <c r="O32" s="35">
        <f>188.5+15.4</f>
        <v>203.9</v>
      </c>
      <c r="P32" s="36">
        <v>40</v>
      </c>
      <c r="Q32" s="1">
        <f t="shared" si="2"/>
        <v>8156</v>
      </c>
      <c r="S32" s="17">
        <v>30</v>
      </c>
      <c r="T32" s="2" t="s">
        <v>38</v>
      </c>
      <c r="U32" s="35">
        <f>8.5+17</f>
        <v>25.5</v>
      </c>
      <c r="V32" s="36">
        <v>58</v>
      </c>
      <c r="W32" s="3">
        <f t="shared" si="3"/>
        <v>1479</v>
      </c>
    </row>
    <row r="33" spans="1:23" ht="18.75" x14ac:dyDescent="0.3">
      <c r="A33" s="17">
        <v>31</v>
      </c>
      <c r="B33" s="2" t="s">
        <v>38</v>
      </c>
      <c r="C33" s="35">
        <f>8.5+17</f>
        <v>25.5</v>
      </c>
      <c r="D33" s="36">
        <v>58</v>
      </c>
      <c r="E33" s="3">
        <f t="shared" si="0"/>
        <v>1479</v>
      </c>
      <c r="G33" s="17">
        <v>31</v>
      </c>
      <c r="H33" s="2" t="s">
        <v>38</v>
      </c>
      <c r="I33" s="35">
        <f>8.5+17</f>
        <v>25.5</v>
      </c>
      <c r="J33" s="36">
        <v>58</v>
      </c>
      <c r="K33" s="3">
        <f t="shared" si="1"/>
        <v>1479</v>
      </c>
      <c r="M33" s="17">
        <v>31</v>
      </c>
      <c r="N33" s="2" t="s">
        <v>38</v>
      </c>
      <c r="O33" s="35">
        <f>8.5+17</f>
        <v>25.5</v>
      </c>
      <c r="P33" s="36">
        <v>58</v>
      </c>
      <c r="Q33" s="3">
        <f t="shared" si="2"/>
        <v>1479</v>
      </c>
      <c r="S33" s="17">
        <v>31</v>
      </c>
      <c r="T33" s="2" t="s">
        <v>77</v>
      </c>
      <c r="U33" s="35">
        <f>220+180+40+40+7+7+16.75+5.1</f>
        <v>515.85</v>
      </c>
      <c r="V33" s="36">
        <v>43</v>
      </c>
      <c r="W33" s="1">
        <f t="shared" si="3"/>
        <v>22181.55</v>
      </c>
    </row>
    <row r="34" spans="1:23" ht="18.75" x14ac:dyDescent="0.3">
      <c r="A34" s="17">
        <v>32</v>
      </c>
      <c r="B34" s="2" t="s">
        <v>77</v>
      </c>
      <c r="C34" s="35"/>
      <c r="D34" s="36"/>
      <c r="E34" s="1">
        <f t="shared" si="0"/>
        <v>0</v>
      </c>
      <c r="G34" s="17">
        <v>32</v>
      </c>
      <c r="H34" s="2" t="s">
        <v>77</v>
      </c>
      <c r="I34" s="35">
        <v>214.5</v>
      </c>
      <c r="J34" s="36">
        <v>39</v>
      </c>
      <c r="K34" s="1">
        <f t="shared" si="1"/>
        <v>8365.5</v>
      </c>
      <c r="M34" s="17">
        <v>32</v>
      </c>
      <c r="N34" s="2" t="s">
        <v>77</v>
      </c>
      <c r="O34" s="35">
        <f>270+50</f>
        <v>320</v>
      </c>
      <c r="P34" s="36">
        <v>41</v>
      </c>
      <c r="Q34" s="1">
        <f t="shared" si="2"/>
        <v>13120</v>
      </c>
      <c r="S34" s="17">
        <v>32</v>
      </c>
      <c r="T34" s="2" t="s">
        <v>11</v>
      </c>
      <c r="U34" s="35">
        <f>163+8.2</f>
        <v>171.2</v>
      </c>
      <c r="V34" s="36">
        <v>44</v>
      </c>
      <c r="W34" s="1">
        <f t="shared" si="3"/>
        <v>7532.7999999999993</v>
      </c>
    </row>
    <row r="35" spans="1:23" ht="18.75" x14ac:dyDescent="0.3">
      <c r="A35" s="17">
        <v>33</v>
      </c>
      <c r="B35" s="2" t="s">
        <v>11</v>
      </c>
      <c r="C35" s="35">
        <v>85.5</v>
      </c>
      <c r="D35" s="36">
        <v>40</v>
      </c>
      <c r="E35" s="1">
        <f t="shared" si="0"/>
        <v>3420</v>
      </c>
      <c r="G35" s="17">
        <v>33</v>
      </c>
      <c r="H35" s="2" t="s">
        <v>11</v>
      </c>
      <c r="I35" s="35">
        <v>151.75</v>
      </c>
      <c r="J35" s="36">
        <v>40</v>
      </c>
      <c r="K35" s="1">
        <f t="shared" ref="K35:K65" si="4">J35*I35</f>
        <v>6070</v>
      </c>
      <c r="M35" s="17">
        <v>33</v>
      </c>
      <c r="N35" s="2" t="s">
        <v>11</v>
      </c>
      <c r="O35" s="35">
        <f>150+8.1+8.05+8.6</f>
        <v>174.75</v>
      </c>
      <c r="P35" s="36">
        <v>42</v>
      </c>
      <c r="Q35" s="1">
        <f t="shared" ref="Q35:Q65" si="5">P35*O35</f>
        <v>7339.5</v>
      </c>
      <c r="S35" s="17">
        <v>33</v>
      </c>
      <c r="T35" s="2" t="s">
        <v>56</v>
      </c>
      <c r="U35" s="35">
        <v>23</v>
      </c>
      <c r="V35" s="36">
        <v>60</v>
      </c>
      <c r="W35" s="1">
        <f t="shared" ref="W35:W62" si="6">V35*U35</f>
        <v>1380</v>
      </c>
    </row>
    <row r="36" spans="1:23" ht="18.75" x14ac:dyDescent="0.3">
      <c r="A36" s="17">
        <v>34</v>
      </c>
      <c r="B36" s="2" t="s">
        <v>56</v>
      </c>
      <c r="C36" s="35">
        <v>23</v>
      </c>
      <c r="D36" s="36">
        <v>60</v>
      </c>
      <c r="E36" s="1">
        <f t="shared" si="0"/>
        <v>1380</v>
      </c>
      <c r="G36" s="17">
        <v>34</v>
      </c>
      <c r="H36" s="2" t="s">
        <v>56</v>
      </c>
      <c r="I36" s="35">
        <v>23</v>
      </c>
      <c r="J36" s="36">
        <v>60</v>
      </c>
      <c r="K36" s="1">
        <f t="shared" si="4"/>
        <v>1380</v>
      </c>
      <c r="M36" s="17">
        <v>34</v>
      </c>
      <c r="N36" s="2" t="s">
        <v>56</v>
      </c>
      <c r="O36" s="35">
        <v>23</v>
      </c>
      <c r="P36" s="36">
        <v>60</v>
      </c>
      <c r="Q36" s="1">
        <f t="shared" si="5"/>
        <v>1380</v>
      </c>
      <c r="S36" s="17">
        <v>34</v>
      </c>
      <c r="T36" s="2" t="s">
        <v>48</v>
      </c>
      <c r="U36" s="35">
        <f>7.9+3.5</f>
        <v>11.4</v>
      </c>
      <c r="V36" s="36">
        <v>32</v>
      </c>
      <c r="W36" s="1">
        <f t="shared" si="6"/>
        <v>364.8</v>
      </c>
    </row>
    <row r="37" spans="1:23" ht="18.75" x14ac:dyDescent="0.3">
      <c r="A37" s="17">
        <v>35</v>
      </c>
      <c r="B37" s="2" t="s">
        <v>122</v>
      </c>
      <c r="C37" s="34">
        <v>13</v>
      </c>
      <c r="D37" s="3">
        <v>65</v>
      </c>
      <c r="E37" s="1">
        <f t="shared" si="0"/>
        <v>845</v>
      </c>
      <c r="G37" s="17">
        <v>35</v>
      </c>
      <c r="H37" s="2" t="s">
        <v>48</v>
      </c>
      <c r="I37" s="35">
        <f>3.78+11.77</f>
        <v>15.549999999999999</v>
      </c>
      <c r="J37" s="36">
        <v>34</v>
      </c>
      <c r="K37" s="1">
        <f t="shared" si="4"/>
        <v>528.69999999999993</v>
      </c>
      <c r="M37" s="17">
        <v>35</v>
      </c>
      <c r="N37" s="2" t="s">
        <v>48</v>
      </c>
      <c r="O37" s="35">
        <v>20</v>
      </c>
      <c r="P37" s="36">
        <v>34</v>
      </c>
      <c r="Q37" s="1">
        <f t="shared" si="5"/>
        <v>680</v>
      </c>
      <c r="S37" s="17">
        <v>35</v>
      </c>
      <c r="T37" s="2" t="s">
        <v>48</v>
      </c>
      <c r="U37" s="35"/>
      <c r="V37" s="36"/>
      <c r="W37" s="1">
        <f t="shared" si="6"/>
        <v>0</v>
      </c>
    </row>
    <row r="38" spans="1:23" ht="18.75" x14ac:dyDescent="0.3">
      <c r="A38" s="17">
        <v>36</v>
      </c>
      <c r="B38" s="2" t="s">
        <v>48</v>
      </c>
      <c r="C38" s="35">
        <v>20.5</v>
      </c>
      <c r="D38" s="36">
        <v>34</v>
      </c>
      <c r="E38" s="1">
        <f t="shared" si="0"/>
        <v>697</v>
      </c>
      <c r="G38" s="17">
        <v>36</v>
      </c>
      <c r="H38" s="2" t="s">
        <v>48</v>
      </c>
      <c r="I38" s="35"/>
      <c r="J38" s="36"/>
      <c r="K38" s="1">
        <f t="shared" si="4"/>
        <v>0</v>
      </c>
      <c r="M38" s="17">
        <v>36</v>
      </c>
      <c r="N38" s="2" t="s">
        <v>48</v>
      </c>
      <c r="O38" s="35"/>
      <c r="P38" s="36"/>
      <c r="Q38" s="1">
        <f t="shared" si="5"/>
        <v>0</v>
      </c>
      <c r="S38" s="17">
        <v>36</v>
      </c>
      <c r="T38" s="2" t="s">
        <v>8</v>
      </c>
      <c r="U38" s="35">
        <v>10</v>
      </c>
      <c r="V38" s="36">
        <v>22</v>
      </c>
      <c r="W38" s="1">
        <f t="shared" si="6"/>
        <v>220</v>
      </c>
    </row>
    <row r="39" spans="1:23" ht="18.75" hidden="1" x14ac:dyDescent="0.3">
      <c r="A39" s="17">
        <v>37</v>
      </c>
      <c r="B39" s="2" t="s">
        <v>65</v>
      </c>
      <c r="C39" s="35"/>
      <c r="D39" s="36"/>
      <c r="E39" s="3">
        <f t="shared" si="0"/>
        <v>0</v>
      </c>
      <c r="G39" s="17">
        <v>37</v>
      </c>
      <c r="H39" s="2" t="s">
        <v>65</v>
      </c>
      <c r="I39" s="35"/>
      <c r="J39" s="36"/>
      <c r="K39" s="3">
        <f t="shared" si="4"/>
        <v>0</v>
      </c>
      <c r="M39" s="17">
        <v>37</v>
      </c>
      <c r="N39" s="2" t="s">
        <v>65</v>
      </c>
      <c r="O39" s="35"/>
      <c r="P39" s="36"/>
      <c r="Q39" s="3">
        <f t="shared" si="5"/>
        <v>0</v>
      </c>
      <c r="S39" s="17">
        <v>37</v>
      </c>
      <c r="T39" s="2" t="s">
        <v>65</v>
      </c>
      <c r="U39" s="35"/>
      <c r="V39" s="36"/>
      <c r="W39" s="3">
        <f t="shared" si="6"/>
        <v>0</v>
      </c>
    </row>
    <row r="40" spans="1:23" ht="18.75" x14ac:dyDescent="0.3">
      <c r="A40" s="17">
        <v>38</v>
      </c>
      <c r="B40" s="2" t="s">
        <v>48</v>
      </c>
      <c r="C40" s="35"/>
      <c r="D40" s="36"/>
      <c r="E40" s="1">
        <f t="shared" si="0"/>
        <v>0</v>
      </c>
      <c r="G40" s="17">
        <v>38</v>
      </c>
      <c r="H40" s="2" t="s">
        <v>8</v>
      </c>
      <c r="I40" s="35">
        <v>3.8</v>
      </c>
      <c r="J40" s="36">
        <v>24</v>
      </c>
      <c r="K40" s="1">
        <f t="shared" si="4"/>
        <v>91.199999999999989</v>
      </c>
      <c r="M40" s="17">
        <v>38</v>
      </c>
      <c r="N40" s="2" t="s">
        <v>8</v>
      </c>
      <c r="O40" s="35">
        <v>4</v>
      </c>
      <c r="P40" s="36">
        <v>22</v>
      </c>
      <c r="Q40" s="1">
        <f t="shared" si="5"/>
        <v>88</v>
      </c>
      <c r="S40" s="17">
        <v>38</v>
      </c>
      <c r="T40" s="2" t="s">
        <v>93</v>
      </c>
      <c r="U40" s="35"/>
      <c r="V40" s="36"/>
      <c r="W40" s="3">
        <f t="shared" si="6"/>
        <v>0</v>
      </c>
    </row>
    <row r="41" spans="1:23" ht="18.75" x14ac:dyDescent="0.3">
      <c r="A41" s="17">
        <v>39</v>
      </c>
      <c r="B41" s="2" t="s">
        <v>8</v>
      </c>
      <c r="C41" s="35">
        <v>2</v>
      </c>
      <c r="D41" s="36">
        <v>24</v>
      </c>
      <c r="E41" s="3">
        <f t="shared" si="0"/>
        <v>48</v>
      </c>
      <c r="G41" s="17">
        <v>39</v>
      </c>
      <c r="H41" s="2" t="s">
        <v>93</v>
      </c>
      <c r="I41" s="35"/>
      <c r="J41" s="36"/>
      <c r="K41" s="3">
        <f t="shared" si="4"/>
        <v>0</v>
      </c>
      <c r="M41" s="17">
        <v>39</v>
      </c>
      <c r="N41" s="2" t="s">
        <v>93</v>
      </c>
      <c r="O41" s="35">
        <f>1+4.035+0.98</f>
        <v>6.0150000000000006</v>
      </c>
      <c r="P41" s="36">
        <v>40</v>
      </c>
      <c r="Q41" s="3">
        <f t="shared" si="5"/>
        <v>240.60000000000002</v>
      </c>
      <c r="S41" s="17">
        <v>39</v>
      </c>
      <c r="T41" s="2" t="s">
        <v>21</v>
      </c>
      <c r="U41" s="35">
        <f>2.5+3</f>
        <v>5.5</v>
      </c>
      <c r="V41" s="36">
        <v>125</v>
      </c>
      <c r="W41" s="1">
        <f t="shared" si="6"/>
        <v>687.5</v>
      </c>
    </row>
    <row r="42" spans="1:23" ht="18.75" x14ac:dyDescent="0.3">
      <c r="A42" s="17">
        <v>40</v>
      </c>
      <c r="B42" s="2" t="s">
        <v>93</v>
      </c>
      <c r="C42" s="35"/>
      <c r="D42" s="36"/>
      <c r="E42" s="1">
        <f t="shared" si="0"/>
        <v>0</v>
      </c>
      <c r="G42" s="17">
        <v>40</v>
      </c>
      <c r="H42" s="2" t="s">
        <v>21</v>
      </c>
      <c r="I42" s="35"/>
      <c r="J42" s="36"/>
      <c r="K42" s="1">
        <f t="shared" si="4"/>
        <v>0</v>
      </c>
      <c r="M42" s="17">
        <v>40</v>
      </c>
      <c r="N42" s="2" t="s">
        <v>21</v>
      </c>
      <c r="O42" s="35">
        <v>0.24</v>
      </c>
      <c r="P42" s="36">
        <v>125</v>
      </c>
      <c r="Q42" s="1">
        <f t="shared" si="5"/>
        <v>30</v>
      </c>
      <c r="S42" s="17">
        <v>40</v>
      </c>
      <c r="T42" s="2" t="s">
        <v>17</v>
      </c>
      <c r="U42" s="35">
        <v>27</v>
      </c>
      <c r="V42" s="36">
        <v>52</v>
      </c>
      <c r="W42" s="1">
        <f t="shared" si="6"/>
        <v>1404</v>
      </c>
    </row>
    <row r="43" spans="1:23" ht="18.75" x14ac:dyDescent="0.3">
      <c r="A43" s="17">
        <v>41</v>
      </c>
      <c r="B43" s="2" t="s">
        <v>21</v>
      </c>
      <c r="C43" s="35">
        <v>8.8000000000000007</v>
      </c>
      <c r="D43" s="36">
        <v>120</v>
      </c>
      <c r="E43" s="1">
        <f t="shared" si="0"/>
        <v>1056</v>
      </c>
      <c r="G43" s="17">
        <v>41</v>
      </c>
      <c r="H43" s="2" t="s">
        <v>17</v>
      </c>
      <c r="I43" s="35">
        <v>16.5</v>
      </c>
      <c r="J43" s="36">
        <v>56</v>
      </c>
      <c r="K43" s="1">
        <f t="shared" si="4"/>
        <v>924</v>
      </c>
      <c r="M43" s="17">
        <v>41</v>
      </c>
      <c r="N43" s="2" t="s">
        <v>17</v>
      </c>
      <c r="O43" s="35">
        <v>3.5</v>
      </c>
      <c r="P43" s="36">
        <v>54</v>
      </c>
      <c r="Q43" s="1">
        <f t="shared" si="5"/>
        <v>189</v>
      </c>
      <c r="S43" s="17">
        <v>41</v>
      </c>
      <c r="T43" s="2" t="s">
        <v>50</v>
      </c>
      <c r="U43" s="35"/>
      <c r="V43" s="36"/>
      <c r="W43" s="3">
        <f t="shared" si="6"/>
        <v>0</v>
      </c>
    </row>
    <row r="44" spans="1:23" ht="18.75" x14ac:dyDescent="0.3">
      <c r="A44" s="17">
        <v>42</v>
      </c>
      <c r="B44" s="2" t="s">
        <v>17</v>
      </c>
      <c r="C44" s="35">
        <v>8</v>
      </c>
      <c r="D44" s="36">
        <v>54</v>
      </c>
      <c r="E44" s="3">
        <f t="shared" si="0"/>
        <v>432</v>
      </c>
      <c r="G44" s="17">
        <v>42</v>
      </c>
      <c r="H44" s="2" t="s">
        <v>50</v>
      </c>
      <c r="I44" s="35"/>
      <c r="J44" s="36"/>
      <c r="K44" s="3">
        <f t="shared" si="4"/>
        <v>0</v>
      </c>
      <c r="M44" s="17">
        <v>42</v>
      </c>
      <c r="N44" s="2" t="s">
        <v>50</v>
      </c>
      <c r="O44" s="35"/>
      <c r="P44" s="36"/>
      <c r="Q44" s="3">
        <f t="shared" si="5"/>
        <v>0</v>
      </c>
      <c r="S44" s="17">
        <v>42</v>
      </c>
      <c r="T44" s="2" t="s">
        <v>55</v>
      </c>
      <c r="U44" s="35">
        <v>64</v>
      </c>
      <c r="V44" s="36">
        <v>58</v>
      </c>
      <c r="W44" s="1">
        <f t="shared" si="6"/>
        <v>3712</v>
      </c>
    </row>
    <row r="45" spans="1:23" ht="18.75" x14ac:dyDescent="0.3">
      <c r="A45" s="17">
        <v>43</v>
      </c>
      <c r="B45" s="2" t="s">
        <v>50</v>
      </c>
      <c r="C45" s="35"/>
      <c r="D45" s="36"/>
      <c r="E45" s="1">
        <f t="shared" si="0"/>
        <v>0</v>
      </c>
      <c r="G45" s="17">
        <v>43</v>
      </c>
      <c r="H45" s="2" t="s">
        <v>55</v>
      </c>
      <c r="I45" s="35">
        <v>64</v>
      </c>
      <c r="J45" s="36">
        <v>58</v>
      </c>
      <c r="K45" s="1">
        <f t="shared" si="4"/>
        <v>3712</v>
      </c>
      <c r="M45" s="17">
        <v>43</v>
      </c>
      <c r="N45" s="2" t="s">
        <v>55</v>
      </c>
      <c r="O45" s="35">
        <v>64</v>
      </c>
      <c r="P45" s="36">
        <v>58</v>
      </c>
      <c r="Q45" s="1">
        <f t="shared" si="5"/>
        <v>3712</v>
      </c>
      <c r="S45" s="17">
        <v>43</v>
      </c>
      <c r="T45" s="2" t="s">
        <v>57</v>
      </c>
      <c r="U45" s="35">
        <v>22.5</v>
      </c>
      <c r="V45" s="36">
        <v>46</v>
      </c>
      <c r="W45" s="1">
        <f t="shared" si="6"/>
        <v>1035</v>
      </c>
    </row>
    <row r="46" spans="1:23" ht="18.75" x14ac:dyDescent="0.3">
      <c r="A46" s="17">
        <v>44</v>
      </c>
      <c r="B46" s="2" t="s">
        <v>55</v>
      </c>
      <c r="C46" s="35">
        <v>64</v>
      </c>
      <c r="D46" s="36">
        <v>58</v>
      </c>
      <c r="E46" s="1">
        <f t="shared" si="0"/>
        <v>3712</v>
      </c>
      <c r="G46" s="17">
        <v>44</v>
      </c>
      <c r="H46" s="2" t="s">
        <v>57</v>
      </c>
      <c r="I46" s="35">
        <v>22.5</v>
      </c>
      <c r="J46" s="36">
        <v>46</v>
      </c>
      <c r="K46" s="1">
        <f t="shared" si="4"/>
        <v>1035</v>
      </c>
      <c r="M46" s="17">
        <v>44</v>
      </c>
      <c r="N46" s="2" t="s">
        <v>57</v>
      </c>
      <c r="O46" s="35">
        <v>22.5</v>
      </c>
      <c r="P46" s="36">
        <v>46</v>
      </c>
      <c r="Q46" s="1">
        <f t="shared" si="5"/>
        <v>1035</v>
      </c>
      <c r="S46" s="17">
        <v>44</v>
      </c>
      <c r="T46" s="2" t="s">
        <v>5</v>
      </c>
      <c r="U46" s="35"/>
      <c r="V46" s="36"/>
      <c r="W46" s="1">
        <f t="shared" si="6"/>
        <v>0</v>
      </c>
    </row>
    <row r="47" spans="1:23" ht="18.75" x14ac:dyDescent="0.3">
      <c r="A47" s="17">
        <v>45</v>
      </c>
      <c r="B47" s="2" t="s">
        <v>57</v>
      </c>
      <c r="C47" s="35">
        <v>22.5</v>
      </c>
      <c r="D47" s="36">
        <v>46</v>
      </c>
      <c r="E47" s="1">
        <f t="shared" si="0"/>
        <v>1035</v>
      </c>
      <c r="G47" s="17">
        <v>45</v>
      </c>
      <c r="H47" s="2" t="s">
        <v>5</v>
      </c>
      <c r="I47" s="35">
        <f>3.725+3.5</f>
        <v>7.2249999999999996</v>
      </c>
      <c r="J47" s="36">
        <v>50</v>
      </c>
      <c r="K47" s="1">
        <f t="shared" si="4"/>
        <v>361.25</v>
      </c>
      <c r="M47" s="17">
        <v>45</v>
      </c>
      <c r="N47" s="2" t="s">
        <v>5</v>
      </c>
      <c r="O47" s="35">
        <v>25.3</v>
      </c>
      <c r="P47" s="36">
        <v>50</v>
      </c>
      <c r="Q47" s="1">
        <f t="shared" si="5"/>
        <v>1265</v>
      </c>
      <c r="S47" s="17">
        <v>45</v>
      </c>
      <c r="T47" s="2" t="s">
        <v>112</v>
      </c>
      <c r="U47" s="35">
        <f>206+33.1</f>
        <v>239.1</v>
      </c>
      <c r="V47" s="36">
        <v>33</v>
      </c>
      <c r="W47" s="1">
        <f t="shared" si="6"/>
        <v>7890.3</v>
      </c>
    </row>
    <row r="48" spans="1:23" ht="18.75" x14ac:dyDescent="0.3">
      <c r="A48" s="17">
        <v>46</v>
      </c>
      <c r="B48" s="2" t="s">
        <v>5</v>
      </c>
      <c r="C48" s="35">
        <v>16.03</v>
      </c>
      <c r="D48" s="36">
        <v>51</v>
      </c>
      <c r="E48" s="1">
        <f t="shared" si="0"/>
        <v>817.53000000000009</v>
      </c>
      <c r="G48" s="17">
        <v>46</v>
      </c>
      <c r="H48" s="2" t="s">
        <v>112</v>
      </c>
      <c r="I48" s="35"/>
      <c r="J48" s="36"/>
      <c r="K48" s="1">
        <f t="shared" si="4"/>
        <v>0</v>
      </c>
      <c r="M48" s="17">
        <v>46</v>
      </c>
      <c r="N48" s="2" t="s">
        <v>112</v>
      </c>
      <c r="O48" s="35"/>
      <c r="P48" s="36"/>
      <c r="Q48" s="1">
        <f t="shared" si="5"/>
        <v>0</v>
      </c>
      <c r="S48" s="17">
        <v>46</v>
      </c>
      <c r="T48" s="2" t="s">
        <v>33</v>
      </c>
      <c r="U48" s="35"/>
      <c r="V48" s="36"/>
      <c r="W48" s="1">
        <f t="shared" si="6"/>
        <v>0</v>
      </c>
    </row>
    <row r="49" spans="1:23" ht="18.75" x14ac:dyDescent="0.3">
      <c r="A49" s="17">
        <v>47</v>
      </c>
      <c r="B49" s="2" t="s">
        <v>112</v>
      </c>
      <c r="C49" s="35"/>
      <c r="D49" s="36"/>
      <c r="E49" s="1">
        <f t="shared" si="0"/>
        <v>0</v>
      </c>
      <c r="G49" s="17">
        <v>47</v>
      </c>
      <c r="H49" s="2" t="s">
        <v>24</v>
      </c>
      <c r="I49" s="35">
        <v>6.35</v>
      </c>
      <c r="J49" s="36">
        <v>58</v>
      </c>
      <c r="K49" s="1">
        <f t="shared" si="4"/>
        <v>368.29999999999995</v>
      </c>
      <c r="M49" s="17">
        <v>47</v>
      </c>
      <c r="N49" s="2" t="s">
        <v>24</v>
      </c>
      <c r="O49" s="35">
        <v>4.5</v>
      </c>
      <c r="P49" s="36">
        <v>58</v>
      </c>
      <c r="Q49" s="1">
        <f t="shared" si="5"/>
        <v>261</v>
      </c>
      <c r="S49" s="17">
        <v>47</v>
      </c>
      <c r="T49" s="2" t="s">
        <v>33</v>
      </c>
      <c r="U49" s="35"/>
      <c r="V49" s="36"/>
      <c r="W49" s="1">
        <f t="shared" si="6"/>
        <v>0</v>
      </c>
    </row>
    <row r="50" spans="1:23" ht="18.75" x14ac:dyDescent="0.3">
      <c r="A50" s="17">
        <v>48</v>
      </c>
      <c r="B50" s="2" t="s">
        <v>24</v>
      </c>
      <c r="C50" s="35"/>
      <c r="D50" s="36"/>
      <c r="E50" s="1">
        <f t="shared" si="0"/>
        <v>0</v>
      </c>
      <c r="G50" s="17">
        <v>48</v>
      </c>
      <c r="H50" s="2" t="s">
        <v>33</v>
      </c>
      <c r="I50" s="35">
        <v>729.18</v>
      </c>
      <c r="J50" s="36">
        <v>29.5</v>
      </c>
      <c r="K50" s="1">
        <f t="shared" si="4"/>
        <v>21510.809999999998</v>
      </c>
      <c r="M50" s="17">
        <v>48</v>
      </c>
      <c r="N50" s="2" t="s">
        <v>33</v>
      </c>
      <c r="O50" s="35">
        <f>176.23+10.7+31+11.03+11.5+70+432.5-22.68</f>
        <v>720.28000000000009</v>
      </c>
      <c r="P50" s="36">
        <v>32.5</v>
      </c>
      <c r="Q50" s="1">
        <f t="shared" si="5"/>
        <v>23409.100000000002</v>
      </c>
      <c r="S50" s="17">
        <v>48</v>
      </c>
      <c r="T50" s="2" t="s">
        <v>113</v>
      </c>
      <c r="U50" s="35">
        <v>10.6</v>
      </c>
      <c r="V50" s="36">
        <v>56</v>
      </c>
      <c r="W50" s="1">
        <f t="shared" si="6"/>
        <v>593.6</v>
      </c>
    </row>
    <row r="51" spans="1:23" ht="18.75" x14ac:dyDescent="0.3">
      <c r="A51" s="17">
        <v>49</v>
      </c>
      <c r="B51" s="2" t="s">
        <v>33</v>
      </c>
      <c r="C51" s="35">
        <f>810+139</f>
        <v>949</v>
      </c>
      <c r="D51" s="36">
        <v>30.5</v>
      </c>
      <c r="E51" s="1">
        <f t="shared" si="0"/>
        <v>28944.5</v>
      </c>
      <c r="G51" s="17">
        <v>49</v>
      </c>
      <c r="H51" s="2" t="s">
        <v>113</v>
      </c>
      <c r="I51" s="35"/>
      <c r="J51" s="36"/>
      <c r="K51" s="1">
        <f t="shared" si="4"/>
        <v>0</v>
      </c>
      <c r="M51" s="17">
        <v>49</v>
      </c>
      <c r="N51" s="2" t="s">
        <v>113</v>
      </c>
      <c r="O51" s="35">
        <v>11.84</v>
      </c>
      <c r="P51" s="36">
        <v>54</v>
      </c>
      <c r="Q51" s="1">
        <f t="shared" si="5"/>
        <v>639.36</v>
      </c>
      <c r="S51" s="17">
        <v>49</v>
      </c>
      <c r="T51" s="2" t="s">
        <v>105</v>
      </c>
      <c r="U51" s="35">
        <v>6.5</v>
      </c>
      <c r="V51" s="36">
        <v>60</v>
      </c>
      <c r="W51" s="1">
        <f t="shared" si="6"/>
        <v>390</v>
      </c>
    </row>
    <row r="52" spans="1:23" ht="18.75" x14ac:dyDescent="0.3">
      <c r="A52" s="17">
        <v>50</v>
      </c>
      <c r="B52" s="2" t="s">
        <v>113</v>
      </c>
      <c r="C52" s="35"/>
      <c r="D52" s="36"/>
      <c r="E52" s="1">
        <f t="shared" si="0"/>
        <v>0</v>
      </c>
      <c r="G52" s="17">
        <v>50</v>
      </c>
      <c r="H52" s="2" t="s">
        <v>81</v>
      </c>
      <c r="I52" s="35">
        <v>6.7</v>
      </c>
      <c r="J52" s="36">
        <v>100</v>
      </c>
      <c r="K52" s="1">
        <f t="shared" si="4"/>
        <v>670</v>
      </c>
      <c r="M52" s="17">
        <v>50</v>
      </c>
      <c r="N52" s="2" t="s">
        <v>81</v>
      </c>
      <c r="O52" s="35">
        <v>10.5</v>
      </c>
      <c r="P52" s="36">
        <v>100</v>
      </c>
      <c r="Q52" s="1">
        <f t="shared" si="5"/>
        <v>1050</v>
      </c>
      <c r="S52" s="17">
        <v>50</v>
      </c>
      <c r="T52" s="2" t="s">
        <v>81</v>
      </c>
      <c r="U52" s="35"/>
      <c r="V52" s="36"/>
      <c r="W52" s="1">
        <f t="shared" si="6"/>
        <v>0</v>
      </c>
    </row>
    <row r="53" spans="1:23" ht="18.75" x14ac:dyDescent="0.3">
      <c r="A53" s="17">
        <v>51</v>
      </c>
      <c r="B53" s="2" t="s">
        <v>81</v>
      </c>
      <c r="C53" s="35"/>
      <c r="D53" s="36"/>
      <c r="E53" s="1">
        <f t="shared" si="0"/>
        <v>0</v>
      </c>
      <c r="G53" s="17">
        <v>51</v>
      </c>
      <c r="H53" s="2" t="s">
        <v>12</v>
      </c>
      <c r="I53" s="35"/>
      <c r="J53" s="36"/>
      <c r="K53" s="1">
        <f t="shared" si="4"/>
        <v>0</v>
      </c>
      <c r="M53" s="17">
        <v>51</v>
      </c>
      <c r="N53" s="2" t="s">
        <v>12</v>
      </c>
      <c r="O53" s="35">
        <v>10.5</v>
      </c>
      <c r="P53" s="36">
        <v>42</v>
      </c>
      <c r="Q53" s="1">
        <f t="shared" si="5"/>
        <v>441</v>
      </c>
      <c r="S53" s="17">
        <v>51</v>
      </c>
      <c r="T53" s="2" t="s">
        <v>110</v>
      </c>
      <c r="U53" s="35">
        <v>4.5</v>
      </c>
      <c r="V53" s="36">
        <v>58</v>
      </c>
      <c r="W53" s="1">
        <f t="shared" si="6"/>
        <v>261</v>
      </c>
    </row>
    <row r="54" spans="1:23" ht="18.75" x14ac:dyDescent="0.3">
      <c r="A54" s="17">
        <v>52</v>
      </c>
      <c r="B54" s="2" t="s">
        <v>12</v>
      </c>
      <c r="C54" s="35"/>
      <c r="D54" s="36"/>
      <c r="E54" s="1">
        <f t="shared" si="0"/>
        <v>0</v>
      </c>
      <c r="G54" s="17">
        <v>52</v>
      </c>
      <c r="H54" s="2" t="s">
        <v>54</v>
      </c>
      <c r="I54" s="34">
        <v>2.4</v>
      </c>
      <c r="J54" s="3">
        <v>60</v>
      </c>
      <c r="K54" s="1">
        <f t="shared" si="4"/>
        <v>144</v>
      </c>
      <c r="M54" s="17">
        <v>52</v>
      </c>
      <c r="N54" s="2" t="s">
        <v>114</v>
      </c>
      <c r="O54" s="34">
        <v>3</v>
      </c>
      <c r="P54" s="3">
        <v>60</v>
      </c>
      <c r="Q54" s="1">
        <f t="shared" si="5"/>
        <v>180</v>
      </c>
      <c r="S54" s="17">
        <v>52</v>
      </c>
      <c r="T54" s="2" t="s">
        <v>15</v>
      </c>
      <c r="U54" s="35">
        <v>11</v>
      </c>
      <c r="V54" s="36">
        <v>72</v>
      </c>
      <c r="W54" s="1">
        <f t="shared" si="6"/>
        <v>792</v>
      </c>
    </row>
    <row r="55" spans="1:23" ht="18.75" x14ac:dyDescent="0.3">
      <c r="A55" s="17">
        <v>53</v>
      </c>
      <c r="B55" s="2" t="s">
        <v>54</v>
      </c>
      <c r="C55" s="34"/>
      <c r="D55" s="3"/>
      <c r="E55" s="1">
        <f t="shared" si="0"/>
        <v>0</v>
      </c>
      <c r="G55" s="17">
        <v>53</v>
      </c>
      <c r="H55" s="2" t="s">
        <v>110</v>
      </c>
      <c r="I55" s="35"/>
      <c r="J55" s="36"/>
      <c r="K55" s="1">
        <f t="shared" si="4"/>
        <v>0</v>
      </c>
      <c r="M55" s="17">
        <v>53</v>
      </c>
      <c r="N55" s="2" t="s">
        <v>110</v>
      </c>
      <c r="O55" s="35"/>
      <c r="P55" s="36"/>
      <c r="Q55" s="1">
        <f t="shared" si="5"/>
        <v>0</v>
      </c>
      <c r="S55" s="17">
        <v>53</v>
      </c>
      <c r="T55" s="2" t="s">
        <v>58</v>
      </c>
      <c r="U55" s="35">
        <v>6</v>
      </c>
      <c r="V55" s="36">
        <v>14</v>
      </c>
      <c r="W55" s="1">
        <f t="shared" si="6"/>
        <v>84</v>
      </c>
    </row>
    <row r="56" spans="1:23" ht="18.75" x14ac:dyDescent="0.3">
      <c r="A56" s="17">
        <v>54</v>
      </c>
      <c r="B56" s="2" t="s">
        <v>110</v>
      </c>
      <c r="C56" s="35">
        <v>6</v>
      </c>
      <c r="D56" s="36">
        <v>58</v>
      </c>
      <c r="E56" s="1">
        <f t="shared" si="0"/>
        <v>348</v>
      </c>
      <c r="G56" s="17">
        <v>54</v>
      </c>
      <c r="H56" s="2" t="s">
        <v>15</v>
      </c>
      <c r="I56" s="35">
        <v>16.100000000000001</v>
      </c>
      <c r="J56" s="36">
        <v>20</v>
      </c>
      <c r="K56" s="1">
        <f t="shared" si="4"/>
        <v>322</v>
      </c>
      <c r="M56" s="17">
        <v>54</v>
      </c>
      <c r="N56" s="2" t="s">
        <v>15</v>
      </c>
      <c r="O56" s="35">
        <f>1.5+25.5</f>
        <v>27</v>
      </c>
      <c r="P56" s="36">
        <v>70</v>
      </c>
      <c r="Q56" s="1">
        <f t="shared" si="5"/>
        <v>1890</v>
      </c>
      <c r="S56" s="17">
        <v>54</v>
      </c>
      <c r="T56" s="2" t="s">
        <v>60</v>
      </c>
      <c r="U56" s="35">
        <v>2</v>
      </c>
      <c r="V56" s="36">
        <v>8</v>
      </c>
      <c r="W56" s="3">
        <f t="shared" si="6"/>
        <v>16</v>
      </c>
    </row>
    <row r="57" spans="1:23" ht="18.75" hidden="1" x14ac:dyDescent="0.3">
      <c r="A57" s="17">
        <v>55</v>
      </c>
      <c r="B57" s="2" t="s">
        <v>31</v>
      </c>
      <c r="C57" s="35"/>
      <c r="D57" s="36"/>
      <c r="E57" s="1">
        <f t="shared" si="0"/>
        <v>0</v>
      </c>
      <c r="G57" s="17">
        <v>55</v>
      </c>
      <c r="H57" s="2" t="s">
        <v>31</v>
      </c>
      <c r="I57" s="35"/>
      <c r="J57" s="36"/>
      <c r="K57" s="1">
        <f t="shared" si="4"/>
        <v>0</v>
      </c>
      <c r="M57" s="17">
        <v>55</v>
      </c>
      <c r="N57" s="2" t="s">
        <v>31</v>
      </c>
      <c r="O57" s="35"/>
      <c r="P57" s="36"/>
      <c r="Q57" s="1">
        <f t="shared" si="5"/>
        <v>0</v>
      </c>
      <c r="S57" s="17">
        <v>55</v>
      </c>
      <c r="T57" s="2" t="s">
        <v>31</v>
      </c>
      <c r="U57" s="35"/>
      <c r="V57" s="36"/>
      <c r="W57" s="1">
        <f t="shared" si="6"/>
        <v>0</v>
      </c>
    </row>
    <row r="58" spans="1:23" ht="18.75" x14ac:dyDescent="0.3">
      <c r="A58" s="17">
        <v>56</v>
      </c>
      <c r="B58" s="2" t="s">
        <v>15</v>
      </c>
      <c r="C58" s="35"/>
      <c r="D58" s="36"/>
      <c r="E58" s="1">
        <f t="shared" si="0"/>
        <v>0</v>
      </c>
      <c r="G58" s="17">
        <v>56</v>
      </c>
      <c r="H58" s="2" t="s">
        <v>58</v>
      </c>
      <c r="I58" s="35">
        <v>1</v>
      </c>
      <c r="J58" s="36">
        <v>14</v>
      </c>
      <c r="K58" s="1">
        <f t="shared" si="4"/>
        <v>14</v>
      </c>
      <c r="M58" s="17">
        <v>56</v>
      </c>
      <c r="N58" s="2" t="s">
        <v>58</v>
      </c>
      <c r="O58" s="35">
        <v>6</v>
      </c>
      <c r="P58" s="36">
        <v>14</v>
      </c>
      <c r="Q58" s="1">
        <f t="shared" si="5"/>
        <v>84</v>
      </c>
      <c r="S58" s="17">
        <v>56</v>
      </c>
      <c r="T58" s="2" t="s">
        <v>87</v>
      </c>
      <c r="U58" s="35">
        <v>8.5</v>
      </c>
      <c r="V58" s="36">
        <v>74</v>
      </c>
      <c r="W58" s="1">
        <f t="shared" si="6"/>
        <v>629</v>
      </c>
    </row>
    <row r="59" spans="1:23" ht="18.75" x14ac:dyDescent="0.3">
      <c r="A59" s="17">
        <v>57</v>
      </c>
      <c r="B59" s="2" t="s">
        <v>58</v>
      </c>
      <c r="C59" s="35">
        <v>5</v>
      </c>
      <c r="D59" s="36">
        <v>14</v>
      </c>
      <c r="E59" s="3">
        <f t="shared" si="0"/>
        <v>70</v>
      </c>
      <c r="G59" s="17">
        <v>57</v>
      </c>
      <c r="H59" s="2" t="s">
        <v>60</v>
      </c>
      <c r="I59" s="35"/>
      <c r="J59" s="36"/>
      <c r="K59" s="3">
        <f t="shared" si="4"/>
        <v>0</v>
      </c>
      <c r="M59" s="17">
        <v>57</v>
      </c>
      <c r="N59" s="2" t="s">
        <v>60</v>
      </c>
      <c r="O59" s="35"/>
      <c r="P59" s="36"/>
      <c r="Q59" s="3">
        <f t="shared" si="5"/>
        <v>0</v>
      </c>
      <c r="S59" s="17">
        <v>57</v>
      </c>
      <c r="T59" s="2" t="s">
        <v>63</v>
      </c>
      <c r="U59" s="35"/>
      <c r="V59" s="36"/>
      <c r="W59" s="3">
        <f t="shared" si="6"/>
        <v>0</v>
      </c>
    </row>
    <row r="60" spans="1:23" ht="18.75" x14ac:dyDescent="0.3">
      <c r="A60" s="17">
        <v>58</v>
      </c>
      <c r="B60" s="2" t="s">
        <v>60</v>
      </c>
      <c r="C60" s="35"/>
      <c r="D60" s="36"/>
      <c r="E60" s="1">
        <f t="shared" si="0"/>
        <v>0</v>
      </c>
      <c r="G60" s="17">
        <v>58</v>
      </c>
      <c r="H60" s="2" t="s">
        <v>87</v>
      </c>
      <c r="I60" s="35">
        <v>10</v>
      </c>
      <c r="J60" s="36">
        <v>76</v>
      </c>
      <c r="K60" s="1">
        <f t="shared" si="4"/>
        <v>760</v>
      </c>
      <c r="M60" s="17">
        <v>58</v>
      </c>
      <c r="N60" s="2" t="s">
        <v>87</v>
      </c>
      <c r="O60" s="35">
        <v>2</v>
      </c>
      <c r="P60" s="36">
        <v>740</v>
      </c>
      <c r="Q60" s="1">
        <f t="shared" si="5"/>
        <v>1480</v>
      </c>
      <c r="S60" s="17">
        <v>58</v>
      </c>
      <c r="T60" s="2" t="s">
        <v>78</v>
      </c>
      <c r="U60" s="35">
        <v>33</v>
      </c>
      <c r="V60" s="36">
        <v>20</v>
      </c>
      <c r="W60" s="1">
        <f t="shared" si="6"/>
        <v>660</v>
      </c>
    </row>
    <row r="61" spans="1:23" ht="18.75" x14ac:dyDescent="0.3">
      <c r="A61" s="17">
        <v>59</v>
      </c>
      <c r="B61" s="2" t="s">
        <v>87</v>
      </c>
      <c r="C61" s="35">
        <f>6.5+3.5</f>
        <v>10</v>
      </c>
      <c r="D61" s="36">
        <v>76</v>
      </c>
      <c r="E61" s="3">
        <f t="shared" si="0"/>
        <v>760</v>
      </c>
      <c r="G61" s="17">
        <v>59</v>
      </c>
      <c r="H61" s="2" t="s">
        <v>63</v>
      </c>
      <c r="I61" s="35">
        <v>1</v>
      </c>
      <c r="J61" s="36">
        <v>740</v>
      </c>
      <c r="K61" s="3">
        <f t="shared" si="4"/>
        <v>740</v>
      </c>
      <c r="M61" s="17">
        <v>59</v>
      </c>
      <c r="N61" s="2" t="s">
        <v>63</v>
      </c>
      <c r="O61" s="35"/>
      <c r="P61" s="36"/>
      <c r="Q61" s="3">
        <f t="shared" si="5"/>
        <v>0</v>
      </c>
      <c r="S61" s="17">
        <v>59</v>
      </c>
      <c r="T61" s="2" t="s">
        <v>59</v>
      </c>
      <c r="U61" s="35"/>
      <c r="V61" s="36"/>
      <c r="W61" s="1">
        <f t="shared" si="6"/>
        <v>0</v>
      </c>
    </row>
    <row r="62" spans="1:23" ht="18.75" x14ac:dyDescent="0.3">
      <c r="A62" s="17">
        <v>60</v>
      </c>
      <c r="B62" s="2" t="s">
        <v>63</v>
      </c>
      <c r="C62" s="35">
        <v>1</v>
      </c>
      <c r="D62" s="36">
        <v>740</v>
      </c>
      <c r="E62" s="1">
        <f t="shared" si="0"/>
        <v>740</v>
      </c>
      <c r="G62" s="17">
        <v>60</v>
      </c>
      <c r="H62" s="2" t="s">
        <v>78</v>
      </c>
      <c r="I62" s="35">
        <v>1</v>
      </c>
      <c r="J62" s="36">
        <v>6</v>
      </c>
      <c r="K62" s="1">
        <f t="shared" si="4"/>
        <v>6</v>
      </c>
      <c r="M62" s="17">
        <v>60</v>
      </c>
      <c r="N62" s="2" t="s">
        <v>78</v>
      </c>
      <c r="O62" s="35">
        <v>33</v>
      </c>
      <c r="P62" s="36">
        <v>20</v>
      </c>
      <c r="Q62" s="1">
        <f t="shared" si="5"/>
        <v>660</v>
      </c>
      <c r="S62" s="17">
        <v>60</v>
      </c>
      <c r="T62" s="2" t="s">
        <v>30</v>
      </c>
      <c r="U62" s="35">
        <v>27</v>
      </c>
      <c r="V62" s="36">
        <v>25</v>
      </c>
      <c r="W62" s="1">
        <f t="shared" si="6"/>
        <v>675</v>
      </c>
    </row>
    <row r="63" spans="1:23" ht="18.75" x14ac:dyDescent="0.3">
      <c r="A63" s="17">
        <v>61</v>
      </c>
      <c r="B63" s="2" t="s">
        <v>78</v>
      </c>
      <c r="C63" s="35"/>
      <c r="D63" s="36"/>
      <c r="E63" s="1">
        <f t="shared" si="0"/>
        <v>0</v>
      </c>
      <c r="G63" s="17">
        <v>61</v>
      </c>
      <c r="H63" s="2" t="s">
        <v>59</v>
      </c>
      <c r="I63" s="35">
        <v>1.68</v>
      </c>
      <c r="J63" s="36">
        <v>72</v>
      </c>
      <c r="K63" s="1">
        <f t="shared" si="4"/>
        <v>120.96</v>
      </c>
      <c r="M63" s="17">
        <v>61</v>
      </c>
      <c r="N63" s="2" t="s">
        <v>59</v>
      </c>
      <c r="O63" s="35">
        <v>2.08</v>
      </c>
      <c r="P63" s="36">
        <v>72</v>
      </c>
      <c r="Q63" s="1">
        <f t="shared" si="5"/>
        <v>149.76</v>
      </c>
      <c r="S63" s="17"/>
      <c r="T63" s="2"/>
      <c r="U63" s="34"/>
      <c r="V63" s="3"/>
      <c r="W63" s="1">
        <f t="shared" ref="W63" si="7">V63*U63</f>
        <v>0</v>
      </c>
    </row>
    <row r="64" spans="1:23" ht="18.75" x14ac:dyDescent="0.3">
      <c r="A64" s="17">
        <v>62</v>
      </c>
      <c r="B64" s="2" t="s">
        <v>59</v>
      </c>
      <c r="C64" s="35"/>
      <c r="D64" s="36"/>
      <c r="E64" s="1">
        <f t="shared" si="0"/>
        <v>0</v>
      </c>
      <c r="G64" s="17">
        <v>62</v>
      </c>
      <c r="H64" s="2" t="s">
        <v>30</v>
      </c>
      <c r="I64" s="35">
        <v>35</v>
      </c>
      <c r="J64" s="36">
        <v>25</v>
      </c>
      <c r="K64" s="1">
        <f t="shared" si="4"/>
        <v>875</v>
      </c>
      <c r="M64" s="17">
        <v>62</v>
      </c>
      <c r="N64" s="2" t="s">
        <v>30</v>
      </c>
      <c r="O64" s="35">
        <v>13</v>
      </c>
      <c r="P64" s="36">
        <v>25</v>
      </c>
      <c r="Q64" s="1">
        <f t="shared" si="5"/>
        <v>325</v>
      </c>
      <c r="S64" s="17"/>
      <c r="T64" s="2"/>
      <c r="U64" s="34"/>
      <c r="V64" s="3"/>
      <c r="W64" s="1"/>
    </row>
    <row r="65" spans="1:23" ht="18.75" x14ac:dyDescent="0.3">
      <c r="A65" s="17">
        <v>63</v>
      </c>
      <c r="B65" s="2" t="s">
        <v>30</v>
      </c>
      <c r="C65" s="35">
        <v>27</v>
      </c>
      <c r="D65" s="36">
        <v>25</v>
      </c>
      <c r="E65" s="1">
        <f t="shared" si="0"/>
        <v>675</v>
      </c>
      <c r="G65" s="17">
        <v>63</v>
      </c>
      <c r="H65" s="2" t="s">
        <v>117</v>
      </c>
      <c r="I65" s="34"/>
      <c r="J65" s="3"/>
      <c r="K65" s="1">
        <f t="shared" si="4"/>
        <v>0</v>
      </c>
      <c r="M65" s="17">
        <v>63</v>
      </c>
      <c r="N65" s="2" t="s">
        <v>117</v>
      </c>
      <c r="O65" s="34">
        <v>2.2999999999999998</v>
      </c>
      <c r="P65" s="3">
        <v>40</v>
      </c>
      <c r="Q65" s="1">
        <f t="shared" si="5"/>
        <v>92</v>
      </c>
      <c r="S65" s="17"/>
      <c r="T65" s="2"/>
      <c r="U65" s="34"/>
      <c r="V65" s="3"/>
      <c r="W65" s="1"/>
    </row>
    <row r="66" spans="1:23" ht="18.75" x14ac:dyDescent="0.3">
      <c r="A66" s="17">
        <v>64</v>
      </c>
      <c r="B66" s="2" t="s">
        <v>117</v>
      </c>
      <c r="C66" s="34"/>
      <c r="D66" s="3"/>
      <c r="E66" s="1">
        <f t="shared" si="0"/>
        <v>0</v>
      </c>
      <c r="H66" s="2"/>
      <c r="I66" s="34"/>
      <c r="J66" s="3"/>
      <c r="K66" s="1">
        <f t="shared" ref="K66:K67" si="8">J66*I66</f>
        <v>0</v>
      </c>
      <c r="N66" s="2"/>
      <c r="O66" s="34"/>
      <c r="P66" s="3"/>
      <c r="Q66" s="1">
        <f t="shared" ref="Q66" si="9">P66*O66</f>
        <v>0</v>
      </c>
      <c r="S66" s="17"/>
      <c r="T66" s="2"/>
      <c r="U66" s="34"/>
      <c r="V66" s="3"/>
      <c r="W66" s="1"/>
    </row>
    <row r="67" spans="1:23" ht="19.5" thickBot="1" x14ac:dyDescent="0.35">
      <c r="B67" s="2"/>
      <c r="C67" s="34"/>
      <c r="D67" s="3"/>
      <c r="E67" s="1">
        <f t="shared" ref="E67" si="10">D67*C67</f>
        <v>0</v>
      </c>
      <c r="H67" s="2"/>
      <c r="I67" s="34"/>
      <c r="J67" s="3"/>
      <c r="K67" s="1">
        <f t="shared" si="8"/>
        <v>0</v>
      </c>
      <c r="N67" s="2"/>
      <c r="O67" s="34"/>
      <c r="P67" s="3"/>
      <c r="Q67" s="1">
        <f t="shared" ref="Q67" si="11">P67*O67</f>
        <v>0</v>
      </c>
      <c r="S67" s="17"/>
      <c r="T67" s="2"/>
      <c r="U67" s="34"/>
      <c r="V67" s="3"/>
      <c r="W67" s="1"/>
    </row>
    <row r="68" spans="1:23" ht="19.5" thickBot="1" x14ac:dyDescent="0.35">
      <c r="B68" s="2"/>
      <c r="C68" s="34"/>
      <c r="D68" s="30" t="s">
        <v>40</v>
      </c>
      <c r="E68" s="31">
        <f>SUM(E3:E67)</f>
        <v>101982.1</v>
      </c>
      <c r="H68" s="2"/>
      <c r="I68" s="34"/>
      <c r="J68" s="30" t="s">
        <v>40</v>
      </c>
      <c r="K68" s="31">
        <f>SUM(K3:K67)</f>
        <v>95949.37</v>
      </c>
      <c r="N68" s="2"/>
      <c r="O68" s="34"/>
      <c r="P68" s="30" t="s">
        <v>40</v>
      </c>
      <c r="Q68" s="31">
        <f>SUM(Q3:Q67)</f>
        <v>155538.78999999998</v>
      </c>
      <c r="S68" s="17"/>
      <c r="T68" s="2"/>
      <c r="U68" s="34"/>
      <c r="V68" s="30" t="s">
        <v>40</v>
      </c>
      <c r="W68" s="31">
        <f>SUM(W3:W67)</f>
        <v>135765.99500000002</v>
      </c>
    </row>
  </sheetData>
  <sortState ref="B3:D66">
    <sortCondition ref="B3:B66"/>
  </sortState>
  <pageMargins left="0.70866141732283472" right="0.70866141732283472" top="0.35433070866141736" bottom="0.35433070866141736" header="0.31496062992125984" footer="0.31496062992125984"/>
  <pageSetup scale="9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G69"/>
  <sheetViews>
    <sheetView workbookViewId="0">
      <selection activeCell="G22" sqref="G22"/>
    </sheetView>
  </sheetViews>
  <sheetFormatPr baseColWidth="10" defaultRowHeight="15" x14ac:dyDescent="0.25"/>
  <cols>
    <col min="1" max="1" width="11.42578125" style="17"/>
    <col min="2" max="2" width="24.28515625" customWidth="1"/>
    <col min="3" max="3" width="14.140625" bestFit="1" customWidth="1"/>
    <col min="4" max="4" width="12.28515625" bestFit="1" customWidth="1"/>
    <col min="5" max="5" width="17.42578125" bestFit="1" customWidth="1"/>
    <col min="8" max="8" width="11.42578125" style="17"/>
    <col min="9" max="9" width="24.28515625" customWidth="1"/>
    <col min="10" max="10" width="14.140625" bestFit="1" customWidth="1"/>
    <col min="11" max="11" width="12.28515625" bestFit="1" customWidth="1"/>
    <col min="12" max="12" width="17.42578125" bestFit="1" customWidth="1"/>
    <col min="15" max="15" width="11.42578125" style="17"/>
    <col min="16" max="16" width="24.28515625" customWidth="1"/>
    <col min="17" max="17" width="14.140625" bestFit="1" customWidth="1"/>
    <col min="18" max="18" width="12.28515625" bestFit="1" customWidth="1"/>
    <col min="19" max="19" width="17.42578125" bestFit="1" customWidth="1"/>
    <col min="22" max="22" width="11.42578125" style="17"/>
    <col min="23" max="23" width="24.28515625" customWidth="1"/>
    <col min="24" max="24" width="12.7109375" bestFit="1" customWidth="1"/>
    <col min="25" max="25" width="12.28515625" bestFit="1" customWidth="1"/>
    <col min="26" max="26" width="17.42578125" bestFit="1" customWidth="1"/>
    <col min="29" max="29" width="11.42578125" style="17"/>
    <col min="30" max="30" width="24.28515625" customWidth="1"/>
    <col min="31" max="31" width="12.7109375" bestFit="1" customWidth="1"/>
    <col min="32" max="32" width="12.28515625" bestFit="1" customWidth="1"/>
    <col min="33" max="33" width="17.42578125" bestFit="1" customWidth="1"/>
  </cols>
  <sheetData>
    <row r="1" spans="1:33" ht="18.75" x14ac:dyDescent="0.3">
      <c r="B1" s="2"/>
      <c r="C1" s="34"/>
      <c r="D1" s="3"/>
      <c r="E1" s="2"/>
      <c r="I1" s="2"/>
      <c r="J1" s="34"/>
      <c r="K1" s="3"/>
      <c r="L1" s="2"/>
      <c r="P1" s="2"/>
      <c r="Q1" s="34"/>
      <c r="R1" s="3"/>
      <c r="S1" s="2"/>
      <c r="W1" s="2"/>
      <c r="X1" s="34"/>
      <c r="Y1" s="3"/>
      <c r="Z1" s="2"/>
      <c r="AD1" s="2"/>
      <c r="AE1" s="34"/>
      <c r="AF1" s="3"/>
      <c r="AG1" s="2"/>
    </row>
    <row r="2" spans="1:33" ht="19.5" thickBot="1" x14ac:dyDescent="0.35">
      <c r="B2" s="24" t="s">
        <v>143</v>
      </c>
      <c r="C2" s="32"/>
      <c r="D2" s="26"/>
      <c r="E2" s="27"/>
      <c r="I2" s="24" t="s">
        <v>140</v>
      </c>
      <c r="J2" s="32"/>
      <c r="K2" s="26"/>
      <c r="L2" s="27"/>
      <c r="P2" s="24" t="s">
        <v>133</v>
      </c>
      <c r="Q2" s="32"/>
      <c r="R2" s="26"/>
      <c r="S2" s="27"/>
      <c r="W2" s="24" t="s">
        <v>128</v>
      </c>
      <c r="X2" s="32"/>
      <c r="Y2" s="26"/>
      <c r="Z2" s="27"/>
      <c r="AD2" s="24" t="s">
        <v>124</v>
      </c>
      <c r="AE2" s="32"/>
      <c r="AF2" s="26"/>
      <c r="AG2" s="27"/>
    </row>
    <row r="3" spans="1:33" ht="19.5" thickTop="1" x14ac:dyDescent="0.3">
      <c r="A3" s="17">
        <v>1</v>
      </c>
      <c r="B3" s="44" t="s">
        <v>145</v>
      </c>
      <c r="C3" s="37">
        <v>7.5</v>
      </c>
      <c r="D3" s="38">
        <v>48</v>
      </c>
      <c r="E3" s="1">
        <f t="shared" ref="E3:E67" si="0">D3*C3</f>
        <v>360</v>
      </c>
      <c r="I3" s="39"/>
      <c r="J3" s="40"/>
      <c r="K3" s="41"/>
      <c r="L3" s="42"/>
      <c r="P3" s="39"/>
      <c r="Q3" s="40"/>
      <c r="R3" s="41"/>
      <c r="S3" s="42"/>
      <c r="W3" s="39"/>
      <c r="X3" s="40"/>
      <c r="Y3" s="41"/>
      <c r="Z3" s="42"/>
      <c r="AD3" s="39"/>
      <c r="AE3" s="40"/>
      <c r="AF3" s="41"/>
      <c r="AG3" s="42"/>
    </row>
    <row r="4" spans="1:33" ht="18.75" x14ac:dyDescent="0.3">
      <c r="A4" s="17">
        <v>2</v>
      </c>
      <c r="B4" s="14" t="s">
        <v>131</v>
      </c>
      <c r="C4" s="33">
        <v>8</v>
      </c>
      <c r="D4" s="16">
        <v>38</v>
      </c>
      <c r="E4" s="1">
        <f t="shared" si="0"/>
        <v>304</v>
      </c>
      <c r="H4" s="17">
        <v>1</v>
      </c>
      <c r="I4" s="14" t="s">
        <v>131</v>
      </c>
      <c r="J4" s="33">
        <v>9.5</v>
      </c>
      <c r="K4" s="16">
        <v>38</v>
      </c>
      <c r="L4" s="1">
        <f t="shared" ref="L4:L67" si="1">K4*J4</f>
        <v>361</v>
      </c>
      <c r="O4" s="17">
        <v>1</v>
      </c>
      <c r="P4" s="14" t="s">
        <v>131</v>
      </c>
      <c r="Q4" s="33">
        <v>9.3000000000000007</v>
      </c>
      <c r="R4" s="16">
        <v>38</v>
      </c>
      <c r="S4" s="1">
        <f t="shared" ref="S4:S67" si="2">R4*Q4</f>
        <v>353.40000000000003</v>
      </c>
      <c r="V4" s="17">
        <v>1</v>
      </c>
      <c r="W4" s="14" t="s">
        <v>131</v>
      </c>
      <c r="X4" s="33">
        <f>1.15+8.25</f>
        <v>9.4</v>
      </c>
      <c r="Y4" s="16">
        <v>38</v>
      </c>
      <c r="Z4" s="1">
        <f t="shared" ref="Z4:Z67" si="3">Y4*X4</f>
        <v>357.2</v>
      </c>
      <c r="AC4" s="17">
        <v>1</v>
      </c>
      <c r="AD4" s="14" t="s">
        <v>127</v>
      </c>
      <c r="AE4" s="33">
        <v>21.25</v>
      </c>
      <c r="AF4" s="16">
        <v>76</v>
      </c>
      <c r="AG4" s="1">
        <f t="shared" ref="AG4:AG67" si="4">AF4*AE4</f>
        <v>1615</v>
      </c>
    </row>
    <row r="5" spans="1:33" ht="18.75" x14ac:dyDescent="0.3">
      <c r="A5" s="17">
        <v>3</v>
      </c>
      <c r="B5" s="14" t="s">
        <v>129</v>
      </c>
      <c r="C5" s="37"/>
      <c r="D5" s="38"/>
      <c r="E5" s="1">
        <f t="shared" si="0"/>
        <v>0</v>
      </c>
      <c r="H5" s="17">
        <v>2</v>
      </c>
      <c r="I5" s="14" t="s">
        <v>129</v>
      </c>
      <c r="J5" s="37"/>
      <c r="K5" s="38"/>
      <c r="L5" s="1">
        <f t="shared" si="1"/>
        <v>0</v>
      </c>
      <c r="O5" s="17">
        <v>2</v>
      </c>
      <c r="P5" s="14" t="s">
        <v>129</v>
      </c>
      <c r="Q5" s="37"/>
      <c r="R5" s="38"/>
      <c r="S5" s="1">
        <f t="shared" si="2"/>
        <v>0</v>
      </c>
      <c r="V5" s="17">
        <v>2</v>
      </c>
      <c r="W5" s="14" t="s">
        <v>129</v>
      </c>
      <c r="X5" s="37">
        <f>3.5+0.3</f>
        <v>3.8</v>
      </c>
      <c r="Y5" s="38">
        <v>62</v>
      </c>
      <c r="Z5" s="1">
        <f t="shared" si="3"/>
        <v>235.6</v>
      </c>
      <c r="AC5" s="17">
        <v>2</v>
      </c>
      <c r="AD5" s="14" t="s">
        <v>125</v>
      </c>
      <c r="AE5" s="37">
        <v>34.35</v>
      </c>
      <c r="AF5" s="38">
        <v>60</v>
      </c>
      <c r="AG5" s="1">
        <f t="shared" si="4"/>
        <v>2061</v>
      </c>
    </row>
    <row r="6" spans="1:33" ht="18.75" x14ac:dyDescent="0.3">
      <c r="A6" s="17">
        <v>4</v>
      </c>
      <c r="B6" s="2" t="s">
        <v>123</v>
      </c>
      <c r="C6" s="34"/>
      <c r="D6" s="3"/>
      <c r="E6" s="1">
        <f t="shared" si="0"/>
        <v>0</v>
      </c>
      <c r="H6" s="17">
        <v>3</v>
      </c>
      <c r="I6" s="2" t="s">
        <v>123</v>
      </c>
      <c r="J6" s="34"/>
      <c r="K6" s="3"/>
      <c r="L6" s="1">
        <f t="shared" si="1"/>
        <v>0</v>
      </c>
      <c r="O6" s="17">
        <v>3</v>
      </c>
      <c r="P6" s="2" t="s">
        <v>123</v>
      </c>
      <c r="Q6" s="34"/>
      <c r="R6" s="3"/>
      <c r="S6" s="1">
        <f t="shared" si="2"/>
        <v>0</v>
      </c>
      <c r="V6" s="17">
        <v>3</v>
      </c>
      <c r="W6" s="2" t="s">
        <v>123</v>
      </c>
      <c r="X6" s="34"/>
      <c r="Y6" s="3"/>
      <c r="Z6" s="1">
        <f t="shared" si="3"/>
        <v>0</v>
      </c>
      <c r="AC6" s="17">
        <v>3</v>
      </c>
      <c r="AD6" s="2" t="s">
        <v>123</v>
      </c>
      <c r="AE6" s="34">
        <v>5.55</v>
      </c>
      <c r="AF6" s="3">
        <v>100</v>
      </c>
      <c r="AG6" s="1">
        <f t="shared" si="4"/>
        <v>555</v>
      </c>
    </row>
    <row r="7" spans="1:33" ht="18.75" x14ac:dyDescent="0.3">
      <c r="A7" s="17">
        <v>5</v>
      </c>
      <c r="B7" s="2" t="s">
        <v>111</v>
      </c>
      <c r="C7" s="35"/>
      <c r="D7" s="36"/>
      <c r="E7" s="1">
        <f t="shared" si="0"/>
        <v>0</v>
      </c>
      <c r="H7" s="17">
        <v>4</v>
      </c>
      <c r="I7" s="2" t="s">
        <v>111</v>
      </c>
      <c r="J7" s="35"/>
      <c r="K7" s="36"/>
      <c r="L7" s="1">
        <f t="shared" si="1"/>
        <v>0</v>
      </c>
      <c r="O7" s="17">
        <v>4</v>
      </c>
      <c r="P7" s="2" t="s">
        <v>111</v>
      </c>
      <c r="Q7" s="35"/>
      <c r="R7" s="36"/>
      <c r="S7" s="1">
        <f t="shared" si="2"/>
        <v>0</v>
      </c>
      <c r="V7" s="17">
        <v>4</v>
      </c>
      <c r="W7" s="2" t="s">
        <v>111</v>
      </c>
      <c r="X7" s="35"/>
      <c r="Y7" s="36"/>
      <c r="Z7" s="1">
        <f t="shared" si="3"/>
        <v>0</v>
      </c>
      <c r="AC7" s="17">
        <v>4</v>
      </c>
      <c r="AD7" s="2" t="s">
        <v>111</v>
      </c>
      <c r="AE7" s="35"/>
      <c r="AF7" s="36"/>
      <c r="AG7" s="1">
        <f t="shared" si="4"/>
        <v>0</v>
      </c>
    </row>
    <row r="8" spans="1:33" ht="18.75" x14ac:dyDescent="0.3">
      <c r="A8" s="17">
        <v>6</v>
      </c>
      <c r="B8" s="2" t="s">
        <v>44</v>
      </c>
      <c r="C8" s="35">
        <v>3.18</v>
      </c>
      <c r="D8" s="36">
        <v>20</v>
      </c>
      <c r="E8" s="1">
        <f t="shared" si="0"/>
        <v>63.6</v>
      </c>
      <c r="H8" s="17">
        <v>5</v>
      </c>
      <c r="I8" s="2" t="s">
        <v>44</v>
      </c>
      <c r="J8" s="35">
        <v>3.1850000000000001</v>
      </c>
      <c r="K8" s="36">
        <v>21</v>
      </c>
      <c r="L8" s="1">
        <f t="shared" si="1"/>
        <v>66.885000000000005</v>
      </c>
      <c r="O8" s="17">
        <v>5</v>
      </c>
      <c r="P8" s="2" t="s">
        <v>44</v>
      </c>
      <c r="Q8" s="35">
        <v>6.5</v>
      </c>
      <c r="R8" s="36">
        <v>21</v>
      </c>
      <c r="S8" s="1">
        <f t="shared" si="2"/>
        <v>136.5</v>
      </c>
      <c r="V8" s="17">
        <v>5</v>
      </c>
      <c r="W8" s="2" t="s">
        <v>44</v>
      </c>
      <c r="X8" s="35">
        <v>31.4</v>
      </c>
      <c r="Y8" s="36">
        <v>20</v>
      </c>
      <c r="Z8" s="1">
        <f t="shared" si="3"/>
        <v>628</v>
      </c>
      <c r="AC8" s="17">
        <v>5</v>
      </c>
      <c r="AD8" s="2" t="s">
        <v>44</v>
      </c>
      <c r="AE8" s="35">
        <v>10.1</v>
      </c>
      <c r="AF8" s="36">
        <v>21</v>
      </c>
      <c r="AG8" s="1">
        <f t="shared" si="4"/>
        <v>212.1</v>
      </c>
    </row>
    <row r="9" spans="1:33" ht="18.75" x14ac:dyDescent="0.3">
      <c r="A9" s="17">
        <v>7</v>
      </c>
      <c r="B9" s="2" t="s">
        <v>62</v>
      </c>
      <c r="C9" s="35">
        <v>915</v>
      </c>
      <c r="D9" s="36">
        <v>40</v>
      </c>
      <c r="E9" s="3">
        <f t="shared" si="0"/>
        <v>36600</v>
      </c>
      <c r="H9" s="17">
        <v>6</v>
      </c>
      <c r="I9" s="2" t="s">
        <v>62</v>
      </c>
      <c r="J9" s="35">
        <v>181.6</v>
      </c>
      <c r="K9" s="36">
        <v>41</v>
      </c>
      <c r="L9" s="3">
        <f t="shared" si="1"/>
        <v>7445.5999999999995</v>
      </c>
      <c r="O9" s="17">
        <v>6</v>
      </c>
      <c r="P9" s="2" t="s">
        <v>62</v>
      </c>
      <c r="Q9" s="35">
        <v>251.6</v>
      </c>
      <c r="R9" s="36">
        <v>42</v>
      </c>
      <c r="S9" s="3">
        <f t="shared" si="2"/>
        <v>10567.199999999999</v>
      </c>
      <c r="V9" s="17">
        <v>6</v>
      </c>
      <c r="W9" s="2" t="s">
        <v>62</v>
      </c>
      <c r="X9" s="35">
        <v>233</v>
      </c>
      <c r="Y9" s="36">
        <v>42</v>
      </c>
      <c r="Z9" s="3">
        <f t="shared" si="3"/>
        <v>9786</v>
      </c>
      <c r="AC9" s="17">
        <v>6</v>
      </c>
      <c r="AD9" s="2" t="s">
        <v>62</v>
      </c>
      <c r="AE9" s="35">
        <f>75.5+127.6</f>
        <v>203.1</v>
      </c>
      <c r="AF9" s="36">
        <v>42</v>
      </c>
      <c r="AG9" s="3">
        <f t="shared" si="4"/>
        <v>8530.1999999999989</v>
      </c>
    </row>
    <row r="10" spans="1:33" ht="18.75" x14ac:dyDescent="0.3">
      <c r="A10" s="17">
        <v>8</v>
      </c>
      <c r="B10" s="2" t="s">
        <v>116</v>
      </c>
      <c r="C10" s="35">
        <v>6.5</v>
      </c>
      <c r="D10" s="36">
        <v>78</v>
      </c>
      <c r="E10" s="1">
        <f t="shared" si="0"/>
        <v>507</v>
      </c>
      <c r="H10" s="17">
        <v>7</v>
      </c>
      <c r="I10" s="2" t="s">
        <v>116</v>
      </c>
      <c r="J10" s="35">
        <v>9.5</v>
      </c>
      <c r="K10" s="36">
        <v>78</v>
      </c>
      <c r="L10" s="1">
        <f t="shared" si="1"/>
        <v>741</v>
      </c>
      <c r="O10" s="17">
        <v>7</v>
      </c>
      <c r="P10" s="2" t="s">
        <v>116</v>
      </c>
      <c r="Q10" s="35">
        <v>3.7</v>
      </c>
      <c r="R10" s="36">
        <v>80</v>
      </c>
      <c r="S10" s="1">
        <f t="shared" si="2"/>
        <v>296</v>
      </c>
      <c r="V10" s="17">
        <v>7</v>
      </c>
      <c r="W10" s="2" t="s">
        <v>116</v>
      </c>
      <c r="X10" s="35">
        <f>22.77+7.8</f>
        <v>30.57</v>
      </c>
      <c r="Y10" s="36">
        <v>74</v>
      </c>
      <c r="Z10" s="1">
        <f t="shared" si="3"/>
        <v>2262.1799999999998</v>
      </c>
      <c r="AC10" s="17">
        <v>7</v>
      </c>
      <c r="AD10" s="2" t="s">
        <v>116</v>
      </c>
      <c r="AE10" s="35"/>
      <c r="AF10" s="36"/>
      <c r="AG10" s="1">
        <f t="shared" si="4"/>
        <v>0</v>
      </c>
    </row>
    <row r="11" spans="1:33" ht="18.75" x14ac:dyDescent="0.3">
      <c r="A11" s="17">
        <v>9</v>
      </c>
      <c r="B11" s="2" t="s">
        <v>115</v>
      </c>
      <c r="C11" s="35"/>
      <c r="D11" s="36"/>
      <c r="E11" s="1">
        <f t="shared" si="0"/>
        <v>0</v>
      </c>
      <c r="H11" s="17">
        <v>8</v>
      </c>
      <c r="I11" s="2" t="s">
        <v>115</v>
      </c>
      <c r="J11" s="35"/>
      <c r="K11" s="36"/>
      <c r="L11" s="1">
        <f t="shared" si="1"/>
        <v>0</v>
      </c>
      <c r="O11" s="17">
        <v>8</v>
      </c>
      <c r="P11" s="2" t="s">
        <v>115</v>
      </c>
      <c r="Q11" s="35">
        <v>22.77</v>
      </c>
      <c r="R11" s="36">
        <v>76</v>
      </c>
      <c r="S11" s="1">
        <f t="shared" si="2"/>
        <v>1730.52</v>
      </c>
      <c r="V11" s="17">
        <v>8</v>
      </c>
      <c r="W11" s="2" t="s">
        <v>115</v>
      </c>
      <c r="X11" s="35"/>
      <c r="Y11" s="36"/>
      <c r="Z11" s="1">
        <f t="shared" si="3"/>
        <v>0</v>
      </c>
      <c r="AC11" s="17">
        <v>8</v>
      </c>
      <c r="AD11" s="2" t="s">
        <v>115</v>
      </c>
      <c r="AE11" s="35">
        <v>13.15</v>
      </c>
      <c r="AF11" s="36">
        <v>84</v>
      </c>
      <c r="AG11" s="1">
        <f t="shared" si="4"/>
        <v>1104.6000000000001</v>
      </c>
    </row>
    <row r="12" spans="1:33" ht="18.75" x14ac:dyDescent="0.3">
      <c r="A12" s="17">
        <v>10</v>
      </c>
      <c r="B12" s="2" t="s">
        <v>96</v>
      </c>
      <c r="C12" s="35">
        <v>3.45</v>
      </c>
      <c r="D12" s="36">
        <v>32</v>
      </c>
      <c r="E12" s="1">
        <f t="shared" si="0"/>
        <v>110.4</v>
      </c>
      <c r="H12" s="17">
        <v>9</v>
      </c>
      <c r="I12" s="2" t="s">
        <v>96</v>
      </c>
      <c r="J12" s="35">
        <v>5.5</v>
      </c>
      <c r="K12" s="36">
        <v>32</v>
      </c>
      <c r="L12" s="1">
        <f t="shared" si="1"/>
        <v>176</v>
      </c>
      <c r="O12" s="17">
        <v>9</v>
      </c>
      <c r="P12" s="2" t="s">
        <v>100</v>
      </c>
      <c r="Q12" s="35"/>
      <c r="R12" s="36"/>
      <c r="S12" s="1">
        <f t="shared" si="2"/>
        <v>0</v>
      </c>
      <c r="V12" s="17">
        <v>9</v>
      </c>
      <c r="W12" s="2" t="s">
        <v>100</v>
      </c>
      <c r="X12" s="35">
        <v>11.1</v>
      </c>
      <c r="Y12" s="36">
        <v>49</v>
      </c>
      <c r="Z12" s="1">
        <f t="shared" si="3"/>
        <v>543.9</v>
      </c>
      <c r="AC12" s="17">
        <v>9</v>
      </c>
      <c r="AD12" s="2" t="s">
        <v>100</v>
      </c>
      <c r="AE12" s="35">
        <v>6.25</v>
      </c>
      <c r="AF12" s="36">
        <v>58</v>
      </c>
      <c r="AG12" s="1">
        <f t="shared" si="4"/>
        <v>362.5</v>
      </c>
    </row>
    <row r="13" spans="1:33" ht="18.75" x14ac:dyDescent="0.3">
      <c r="A13" s="17">
        <v>11</v>
      </c>
      <c r="B13" s="2" t="s">
        <v>109</v>
      </c>
      <c r="C13" s="35">
        <v>1.7</v>
      </c>
      <c r="D13" s="36">
        <v>49</v>
      </c>
      <c r="E13" s="1">
        <f t="shared" si="0"/>
        <v>83.3</v>
      </c>
      <c r="H13" s="17">
        <v>10</v>
      </c>
      <c r="I13" s="2" t="s">
        <v>109</v>
      </c>
      <c r="J13" s="35">
        <v>8.9</v>
      </c>
      <c r="K13" s="36">
        <v>48</v>
      </c>
      <c r="L13" s="1">
        <f t="shared" si="1"/>
        <v>427.20000000000005</v>
      </c>
      <c r="O13" s="17">
        <v>10</v>
      </c>
      <c r="P13" s="2" t="s">
        <v>109</v>
      </c>
      <c r="Q13" s="35">
        <f>12.1+2.5</f>
        <v>14.6</v>
      </c>
      <c r="R13" s="36">
        <v>49</v>
      </c>
      <c r="S13" s="1">
        <f t="shared" si="2"/>
        <v>715.4</v>
      </c>
      <c r="V13" s="17">
        <v>10</v>
      </c>
      <c r="W13" s="2" t="s">
        <v>109</v>
      </c>
      <c r="X13" s="35">
        <v>6.3</v>
      </c>
      <c r="Y13" s="36">
        <v>58</v>
      </c>
      <c r="Z13" s="1">
        <f t="shared" si="3"/>
        <v>365.4</v>
      </c>
      <c r="AC13" s="17">
        <v>10</v>
      </c>
      <c r="AD13" s="2" t="s">
        <v>109</v>
      </c>
      <c r="AE13" s="35">
        <v>13</v>
      </c>
      <c r="AF13" s="36">
        <v>49</v>
      </c>
      <c r="AG13" s="1">
        <f t="shared" si="4"/>
        <v>637</v>
      </c>
    </row>
    <row r="14" spans="1:33" ht="18.75" x14ac:dyDescent="0.3">
      <c r="A14" s="17">
        <v>12</v>
      </c>
      <c r="B14" s="2" t="s">
        <v>9</v>
      </c>
      <c r="C14" s="35">
        <f>148.4+135</f>
        <v>283.39999999999998</v>
      </c>
      <c r="D14" s="36">
        <v>22</v>
      </c>
      <c r="E14" s="1">
        <f t="shared" si="0"/>
        <v>6234.7999999999993</v>
      </c>
      <c r="H14" s="17">
        <v>11</v>
      </c>
      <c r="I14" s="2" t="s">
        <v>9</v>
      </c>
      <c r="J14" s="35">
        <f>176.5+180.5</f>
        <v>357</v>
      </c>
      <c r="K14" s="36">
        <v>22</v>
      </c>
      <c r="L14" s="1">
        <f t="shared" si="1"/>
        <v>7854</v>
      </c>
      <c r="O14" s="17">
        <v>11</v>
      </c>
      <c r="P14" s="2" t="s">
        <v>9</v>
      </c>
      <c r="Q14" s="35">
        <v>265.39999999999998</v>
      </c>
      <c r="R14" s="36">
        <v>20</v>
      </c>
      <c r="S14" s="1">
        <f t="shared" si="2"/>
        <v>5308</v>
      </c>
      <c r="V14" s="17">
        <v>11</v>
      </c>
      <c r="W14" s="2" t="s">
        <v>9</v>
      </c>
      <c r="X14" s="35">
        <v>194.3</v>
      </c>
      <c r="Y14" s="36">
        <v>20</v>
      </c>
      <c r="Z14" s="1">
        <f t="shared" si="3"/>
        <v>3886</v>
      </c>
      <c r="AC14" s="17">
        <v>11</v>
      </c>
      <c r="AD14" s="2" t="s">
        <v>9</v>
      </c>
      <c r="AE14" s="35">
        <v>258</v>
      </c>
      <c r="AF14" s="36">
        <v>20</v>
      </c>
      <c r="AG14" s="1">
        <f t="shared" si="4"/>
        <v>5160</v>
      </c>
    </row>
    <row r="15" spans="1:33" ht="18.75" x14ac:dyDescent="0.3">
      <c r="A15" s="17">
        <v>13</v>
      </c>
      <c r="B15" s="2" t="s">
        <v>4</v>
      </c>
      <c r="C15" s="35">
        <f>919.9+917.6+909.9</f>
        <v>2747.4</v>
      </c>
      <c r="D15" s="36">
        <v>30</v>
      </c>
      <c r="E15" s="1">
        <f t="shared" si="0"/>
        <v>82422</v>
      </c>
      <c r="H15" s="17">
        <v>12</v>
      </c>
      <c r="I15" s="2" t="s">
        <v>4</v>
      </c>
      <c r="J15" s="35">
        <f>928+919.9</f>
        <v>1847.9</v>
      </c>
      <c r="K15" s="36">
        <v>33.5</v>
      </c>
      <c r="L15" s="1">
        <f t="shared" si="1"/>
        <v>61904.65</v>
      </c>
      <c r="O15" s="17">
        <v>12</v>
      </c>
      <c r="P15" s="2" t="s">
        <v>4</v>
      </c>
      <c r="Q15" s="35">
        <f>908.5+968</f>
        <v>1876.5</v>
      </c>
      <c r="R15" s="36">
        <v>33</v>
      </c>
      <c r="S15" s="1">
        <f t="shared" si="2"/>
        <v>61924.5</v>
      </c>
      <c r="V15" s="17">
        <v>12</v>
      </c>
      <c r="W15" s="2" t="s">
        <v>4</v>
      </c>
      <c r="X15" s="35">
        <f>915.8+1017</f>
        <v>1932.8</v>
      </c>
      <c r="Y15" s="36">
        <v>32</v>
      </c>
      <c r="Z15" s="1">
        <f t="shared" si="3"/>
        <v>61849.599999999999</v>
      </c>
      <c r="AC15" s="17">
        <v>12</v>
      </c>
      <c r="AD15" s="2" t="s">
        <v>4</v>
      </c>
      <c r="AE15" s="35">
        <f>920.8+910.8+911.7</f>
        <v>2743.3</v>
      </c>
      <c r="AF15" s="36">
        <v>31</v>
      </c>
      <c r="AG15" s="1">
        <f t="shared" si="4"/>
        <v>85042.3</v>
      </c>
    </row>
    <row r="16" spans="1:33" ht="18.75" x14ac:dyDescent="0.3">
      <c r="A16" s="17">
        <v>14</v>
      </c>
      <c r="B16" s="2" t="s">
        <v>35</v>
      </c>
      <c r="C16" s="35">
        <v>3</v>
      </c>
      <c r="D16" s="36">
        <v>14</v>
      </c>
      <c r="E16" s="1">
        <f t="shared" si="0"/>
        <v>42</v>
      </c>
      <c r="H16" s="17">
        <v>13</v>
      </c>
      <c r="I16" s="2" t="s">
        <v>35</v>
      </c>
      <c r="J16" s="35"/>
      <c r="K16" s="36"/>
      <c r="L16" s="1">
        <f t="shared" si="1"/>
        <v>0</v>
      </c>
      <c r="O16" s="17">
        <v>13</v>
      </c>
      <c r="P16" s="2" t="s">
        <v>35</v>
      </c>
      <c r="Q16" s="35"/>
      <c r="R16" s="36"/>
      <c r="S16" s="1">
        <f t="shared" si="2"/>
        <v>0</v>
      </c>
      <c r="V16" s="17">
        <v>13</v>
      </c>
      <c r="W16" s="2" t="s">
        <v>35</v>
      </c>
      <c r="X16" s="35">
        <v>5</v>
      </c>
      <c r="Y16" s="36">
        <v>14</v>
      </c>
      <c r="Z16" s="1">
        <f t="shared" si="3"/>
        <v>70</v>
      </c>
      <c r="AC16" s="17">
        <v>13</v>
      </c>
      <c r="AD16" s="2" t="s">
        <v>35</v>
      </c>
      <c r="AE16" s="35">
        <v>1</v>
      </c>
      <c r="AF16" s="36">
        <v>14</v>
      </c>
      <c r="AG16" s="1">
        <f t="shared" si="4"/>
        <v>14</v>
      </c>
    </row>
    <row r="17" spans="1:33" ht="18.75" x14ac:dyDescent="0.3">
      <c r="A17" s="17">
        <v>15</v>
      </c>
      <c r="B17" s="2" t="s">
        <v>1</v>
      </c>
      <c r="C17" s="35"/>
      <c r="D17" s="36"/>
      <c r="E17" s="1">
        <f t="shared" si="0"/>
        <v>0</v>
      </c>
      <c r="H17" s="17">
        <v>14</v>
      </c>
      <c r="I17" s="2" t="s">
        <v>1</v>
      </c>
      <c r="J17" s="35">
        <f>16.5+30.8</f>
        <v>47.3</v>
      </c>
      <c r="K17" s="36">
        <v>98</v>
      </c>
      <c r="L17" s="1">
        <f t="shared" si="1"/>
        <v>4635.3999999999996</v>
      </c>
      <c r="O17" s="17">
        <v>14</v>
      </c>
      <c r="P17" s="2" t="s">
        <v>1</v>
      </c>
      <c r="Q17" s="35">
        <v>15</v>
      </c>
      <c r="R17" s="36">
        <v>100</v>
      </c>
      <c r="S17" s="1">
        <f t="shared" si="2"/>
        <v>1500</v>
      </c>
      <c r="V17" s="17">
        <v>14</v>
      </c>
      <c r="W17" s="2" t="s">
        <v>1</v>
      </c>
      <c r="X17" s="35">
        <v>15.5</v>
      </c>
      <c r="Y17" s="36">
        <v>100</v>
      </c>
      <c r="Z17" s="1">
        <f t="shared" si="3"/>
        <v>1550</v>
      </c>
      <c r="AC17" s="17">
        <v>14</v>
      </c>
      <c r="AD17" s="2" t="s">
        <v>1</v>
      </c>
      <c r="AE17" s="35"/>
      <c r="AF17" s="36"/>
      <c r="AG17" s="1">
        <f t="shared" si="4"/>
        <v>0</v>
      </c>
    </row>
    <row r="18" spans="1:33" ht="18.75" x14ac:dyDescent="0.3">
      <c r="A18" s="17">
        <v>16</v>
      </c>
      <c r="B18" s="2" t="s">
        <v>95</v>
      </c>
      <c r="C18" s="35">
        <f>32.2+31.7</f>
        <v>63.900000000000006</v>
      </c>
      <c r="D18" s="36">
        <v>98</v>
      </c>
      <c r="E18" s="1">
        <f t="shared" si="0"/>
        <v>6262.2000000000007</v>
      </c>
      <c r="H18" s="17">
        <v>15</v>
      </c>
      <c r="I18" s="2" t="s">
        <v>95</v>
      </c>
      <c r="J18" s="35"/>
      <c r="K18" s="36"/>
      <c r="L18" s="1">
        <f t="shared" si="1"/>
        <v>0</v>
      </c>
      <c r="O18" s="17">
        <v>15</v>
      </c>
      <c r="P18" s="2" t="s">
        <v>95</v>
      </c>
      <c r="Q18" s="35"/>
      <c r="R18" s="36"/>
      <c r="S18" s="1">
        <f t="shared" si="2"/>
        <v>0</v>
      </c>
      <c r="V18" s="17">
        <v>15</v>
      </c>
      <c r="W18" s="2" t="s">
        <v>95</v>
      </c>
      <c r="X18" s="35"/>
      <c r="Y18" s="36"/>
      <c r="Z18" s="1">
        <f t="shared" si="3"/>
        <v>0</v>
      </c>
      <c r="AC18" s="17">
        <v>15</v>
      </c>
      <c r="AD18" s="2" t="s">
        <v>95</v>
      </c>
      <c r="AE18" s="35"/>
      <c r="AF18" s="36"/>
      <c r="AG18" s="1">
        <f t="shared" si="4"/>
        <v>0</v>
      </c>
    </row>
    <row r="19" spans="1:33" ht="18.75" x14ac:dyDescent="0.3">
      <c r="A19" s="17">
        <v>17</v>
      </c>
      <c r="B19" s="2" t="s">
        <v>66</v>
      </c>
      <c r="C19" s="35">
        <v>2</v>
      </c>
      <c r="D19" s="36">
        <v>60</v>
      </c>
      <c r="E19" s="1">
        <f t="shared" si="0"/>
        <v>120</v>
      </c>
      <c r="H19" s="17">
        <v>16</v>
      </c>
      <c r="I19" s="2" t="s">
        <v>66</v>
      </c>
      <c r="J19" s="35"/>
      <c r="K19" s="36"/>
      <c r="L19" s="1">
        <f t="shared" si="1"/>
        <v>0</v>
      </c>
      <c r="O19" s="17">
        <v>16</v>
      </c>
      <c r="P19" s="2" t="s">
        <v>66</v>
      </c>
      <c r="Q19" s="35">
        <v>0.85</v>
      </c>
      <c r="R19" s="36">
        <v>53</v>
      </c>
      <c r="S19" s="1">
        <f t="shared" si="2"/>
        <v>45.05</v>
      </c>
      <c r="V19" s="17">
        <v>16</v>
      </c>
      <c r="W19" s="2" t="s">
        <v>66</v>
      </c>
      <c r="X19" s="35">
        <v>2.2999999999999998</v>
      </c>
      <c r="Y19" s="36">
        <v>52</v>
      </c>
      <c r="Z19" s="1">
        <f t="shared" si="3"/>
        <v>119.6</v>
      </c>
      <c r="AC19" s="17">
        <v>16</v>
      </c>
      <c r="AD19" s="2" t="s">
        <v>66</v>
      </c>
      <c r="AE19" s="35"/>
      <c r="AF19" s="36"/>
      <c r="AG19" s="1">
        <f t="shared" si="4"/>
        <v>0</v>
      </c>
    </row>
    <row r="20" spans="1:33" ht="18.75" x14ac:dyDescent="0.3">
      <c r="A20" s="17">
        <v>18</v>
      </c>
      <c r="B20" s="2" t="s">
        <v>98</v>
      </c>
      <c r="C20" s="35"/>
      <c r="D20" s="36"/>
      <c r="E20" s="1">
        <f t="shared" si="0"/>
        <v>0</v>
      </c>
      <c r="H20" s="17">
        <v>17</v>
      </c>
      <c r="I20" s="2" t="s">
        <v>98</v>
      </c>
      <c r="J20" s="35"/>
      <c r="K20" s="36"/>
      <c r="L20" s="1">
        <f t="shared" si="1"/>
        <v>0</v>
      </c>
      <c r="O20" s="17">
        <v>17</v>
      </c>
      <c r="P20" s="2" t="s">
        <v>98</v>
      </c>
      <c r="Q20" s="35"/>
      <c r="R20" s="36"/>
      <c r="S20" s="1">
        <f t="shared" si="2"/>
        <v>0</v>
      </c>
      <c r="V20" s="17">
        <v>17</v>
      </c>
      <c r="W20" s="2" t="s">
        <v>98</v>
      </c>
      <c r="X20" s="35"/>
      <c r="Y20" s="36"/>
      <c r="Z20" s="1">
        <f t="shared" si="3"/>
        <v>0</v>
      </c>
      <c r="AC20" s="17">
        <v>17</v>
      </c>
      <c r="AD20" s="2" t="s">
        <v>98</v>
      </c>
      <c r="AE20" s="35"/>
      <c r="AF20" s="36"/>
      <c r="AG20" s="1">
        <f t="shared" si="4"/>
        <v>0</v>
      </c>
    </row>
    <row r="21" spans="1:33" ht="18.75" x14ac:dyDescent="0.3">
      <c r="A21" s="17">
        <v>19</v>
      </c>
      <c r="B21" s="2" t="s">
        <v>86</v>
      </c>
      <c r="C21" s="35"/>
      <c r="D21" s="36"/>
      <c r="E21" s="1">
        <f t="shared" si="0"/>
        <v>0</v>
      </c>
      <c r="H21" s="17">
        <v>18</v>
      </c>
      <c r="I21" s="2" t="s">
        <v>86</v>
      </c>
      <c r="J21" s="35"/>
      <c r="K21" s="36"/>
      <c r="L21" s="1">
        <f t="shared" si="1"/>
        <v>0</v>
      </c>
      <c r="O21" s="17">
        <v>18</v>
      </c>
      <c r="P21" s="2" t="s">
        <v>86</v>
      </c>
      <c r="Q21" s="35"/>
      <c r="R21" s="36"/>
      <c r="S21" s="1">
        <f t="shared" si="2"/>
        <v>0</v>
      </c>
      <c r="V21" s="17">
        <v>18</v>
      </c>
      <c r="W21" s="2" t="s">
        <v>86</v>
      </c>
      <c r="X21" s="35"/>
      <c r="Y21" s="36"/>
      <c r="Z21" s="1">
        <f t="shared" si="3"/>
        <v>0</v>
      </c>
      <c r="AC21" s="17">
        <v>18</v>
      </c>
      <c r="AD21" s="2" t="s">
        <v>86</v>
      </c>
      <c r="AE21" s="35"/>
      <c r="AF21" s="36"/>
      <c r="AG21" s="1">
        <f t="shared" si="4"/>
        <v>0</v>
      </c>
    </row>
    <row r="22" spans="1:33" ht="18.75" x14ac:dyDescent="0.3">
      <c r="A22" s="17">
        <v>20</v>
      </c>
      <c r="B22" s="2" t="s">
        <v>92</v>
      </c>
      <c r="C22" s="35"/>
      <c r="D22" s="36"/>
      <c r="E22" s="3">
        <f t="shared" si="0"/>
        <v>0</v>
      </c>
      <c r="H22" s="17">
        <v>19</v>
      </c>
      <c r="I22" s="2" t="s">
        <v>92</v>
      </c>
      <c r="J22" s="35"/>
      <c r="K22" s="36"/>
      <c r="L22" s="3">
        <f t="shared" si="1"/>
        <v>0</v>
      </c>
      <c r="O22" s="17">
        <v>19</v>
      </c>
      <c r="P22" s="2" t="s">
        <v>92</v>
      </c>
      <c r="Q22" s="35"/>
      <c r="R22" s="36"/>
      <c r="S22" s="3">
        <f t="shared" si="2"/>
        <v>0</v>
      </c>
      <c r="V22" s="17">
        <v>19</v>
      </c>
      <c r="W22" s="2" t="s">
        <v>92</v>
      </c>
      <c r="X22" s="35"/>
      <c r="Y22" s="36"/>
      <c r="Z22" s="3">
        <f t="shared" si="3"/>
        <v>0</v>
      </c>
      <c r="AC22" s="17">
        <v>19</v>
      </c>
      <c r="AD22" s="2" t="s">
        <v>92</v>
      </c>
      <c r="AE22" s="35"/>
      <c r="AF22" s="36"/>
      <c r="AG22" s="3">
        <f t="shared" si="4"/>
        <v>0</v>
      </c>
    </row>
    <row r="23" spans="1:33" ht="18.75" x14ac:dyDescent="0.3">
      <c r="A23" s="17">
        <v>21</v>
      </c>
      <c r="B23" s="2" t="s">
        <v>2</v>
      </c>
      <c r="C23" s="35">
        <v>67.3</v>
      </c>
      <c r="D23" s="36">
        <v>24</v>
      </c>
      <c r="E23" s="1">
        <f t="shared" si="0"/>
        <v>1615.1999999999998</v>
      </c>
      <c r="H23" s="17">
        <v>20</v>
      </c>
      <c r="I23" s="2" t="s">
        <v>2</v>
      </c>
      <c r="J23" s="35">
        <v>19.5</v>
      </c>
      <c r="K23" s="36">
        <v>24</v>
      </c>
      <c r="L23" s="1">
        <f t="shared" si="1"/>
        <v>468</v>
      </c>
      <c r="O23" s="17">
        <v>20</v>
      </c>
      <c r="P23" s="2" t="s">
        <v>2</v>
      </c>
      <c r="Q23" s="35">
        <v>38.299999999999997</v>
      </c>
      <c r="R23" s="36">
        <v>24</v>
      </c>
      <c r="S23" s="1">
        <f t="shared" si="2"/>
        <v>919.19999999999993</v>
      </c>
      <c r="V23" s="17">
        <v>20</v>
      </c>
      <c r="W23" s="2" t="s">
        <v>2</v>
      </c>
      <c r="X23" s="35">
        <v>28.15</v>
      </c>
      <c r="Y23" s="36">
        <v>24</v>
      </c>
      <c r="Z23" s="1">
        <f t="shared" si="3"/>
        <v>675.59999999999991</v>
      </c>
      <c r="AC23" s="17">
        <v>20</v>
      </c>
      <c r="AD23" s="2" t="s">
        <v>2</v>
      </c>
      <c r="AE23" s="35">
        <v>25.3</v>
      </c>
      <c r="AF23" s="36">
        <v>24</v>
      </c>
      <c r="AG23" s="1">
        <f t="shared" si="4"/>
        <v>607.20000000000005</v>
      </c>
    </row>
    <row r="24" spans="1:33" ht="18.75" x14ac:dyDescent="0.3">
      <c r="A24" s="17">
        <v>22</v>
      </c>
      <c r="B24" s="2" t="s">
        <v>88</v>
      </c>
      <c r="C24" s="35"/>
      <c r="D24" s="36"/>
      <c r="E24" s="1">
        <f t="shared" si="0"/>
        <v>0</v>
      </c>
      <c r="H24" s="17">
        <v>21</v>
      </c>
      <c r="I24" s="2" t="s">
        <v>88</v>
      </c>
      <c r="J24" s="35"/>
      <c r="K24" s="36"/>
      <c r="L24" s="1">
        <f t="shared" si="1"/>
        <v>0</v>
      </c>
      <c r="O24" s="17">
        <v>21</v>
      </c>
      <c r="P24" s="2" t="s">
        <v>88</v>
      </c>
      <c r="Q24" s="35"/>
      <c r="R24" s="36"/>
      <c r="S24" s="1">
        <f t="shared" si="2"/>
        <v>0</v>
      </c>
      <c r="V24" s="17">
        <v>21</v>
      </c>
      <c r="W24" s="2" t="s">
        <v>88</v>
      </c>
      <c r="X24" s="35"/>
      <c r="Y24" s="36"/>
      <c r="Z24" s="1">
        <f t="shared" si="3"/>
        <v>0</v>
      </c>
      <c r="AC24" s="17">
        <v>21</v>
      </c>
      <c r="AD24" s="2" t="s">
        <v>88</v>
      </c>
      <c r="AE24" s="35">
        <v>27.22</v>
      </c>
      <c r="AF24" s="36">
        <v>25</v>
      </c>
      <c r="AG24" s="1">
        <f t="shared" si="4"/>
        <v>680.5</v>
      </c>
    </row>
    <row r="25" spans="1:33" ht="18.75" x14ac:dyDescent="0.3">
      <c r="A25" s="17">
        <v>23</v>
      </c>
      <c r="B25" s="2" t="s">
        <v>10</v>
      </c>
      <c r="C25" s="35">
        <v>6</v>
      </c>
      <c r="D25" s="36">
        <v>13</v>
      </c>
      <c r="E25" s="1">
        <f t="shared" si="0"/>
        <v>78</v>
      </c>
      <c r="H25" s="17">
        <v>22</v>
      </c>
      <c r="I25" s="2" t="s">
        <v>10</v>
      </c>
      <c r="J25" s="35">
        <v>41.5</v>
      </c>
      <c r="K25" s="36">
        <v>13</v>
      </c>
      <c r="L25" s="1">
        <f t="shared" si="1"/>
        <v>539.5</v>
      </c>
      <c r="O25" s="17">
        <v>22</v>
      </c>
      <c r="P25" s="2" t="s">
        <v>10</v>
      </c>
      <c r="Q25" s="35">
        <v>68.5</v>
      </c>
      <c r="R25" s="36">
        <v>13</v>
      </c>
      <c r="S25" s="1">
        <f t="shared" si="2"/>
        <v>890.5</v>
      </c>
      <c r="V25" s="17">
        <v>22</v>
      </c>
      <c r="W25" s="2" t="s">
        <v>10</v>
      </c>
      <c r="X25" s="35">
        <v>104</v>
      </c>
      <c r="Y25" s="36">
        <v>13</v>
      </c>
      <c r="Z25" s="1">
        <f t="shared" si="3"/>
        <v>1352</v>
      </c>
      <c r="AC25" s="17">
        <v>22</v>
      </c>
      <c r="AD25" s="2" t="s">
        <v>10</v>
      </c>
      <c r="AE25" s="35">
        <f>287+249-26</f>
        <v>510</v>
      </c>
      <c r="AF25" s="36">
        <v>13</v>
      </c>
      <c r="AG25" s="1">
        <f t="shared" si="4"/>
        <v>6630</v>
      </c>
    </row>
    <row r="26" spans="1:33" ht="18.75" x14ac:dyDescent="0.3">
      <c r="A26" s="17">
        <v>24</v>
      </c>
      <c r="B26" s="2" t="s">
        <v>80</v>
      </c>
      <c r="C26" s="35">
        <v>16</v>
      </c>
      <c r="D26" s="36">
        <v>24</v>
      </c>
      <c r="E26" s="3">
        <f t="shared" si="0"/>
        <v>384</v>
      </c>
      <c r="H26" s="17">
        <v>23</v>
      </c>
      <c r="I26" s="2" t="s">
        <v>80</v>
      </c>
      <c r="J26" s="35">
        <v>17.7</v>
      </c>
      <c r="K26" s="36">
        <v>26</v>
      </c>
      <c r="L26" s="3">
        <f t="shared" si="1"/>
        <v>460.2</v>
      </c>
      <c r="O26" s="17">
        <v>23</v>
      </c>
      <c r="P26" s="2" t="s">
        <v>80</v>
      </c>
      <c r="Q26" s="35">
        <v>13.5</v>
      </c>
      <c r="R26" s="36">
        <v>26</v>
      </c>
      <c r="S26" s="3">
        <f t="shared" si="2"/>
        <v>351</v>
      </c>
      <c r="V26" s="17">
        <v>23</v>
      </c>
      <c r="W26" s="2" t="s">
        <v>80</v>
      </c>
      <c r="X26" s="35">
        <v>13.55</v>
      </c>
      <c r="Y26" s="36">
        <v>26</v>
      </c>
      <c r="Z26" s="3">
        <f t="shared" si="3"/>
        <v>352.3</v>
      </c>
      <c r="AC26" s="17">
        <v>23</v>
      </c>
      <c r="AD26" s="2" t="s">
        <v>80</v>
      </c>
      <c r="AE26" s="35">
        <v>4</v>
      </c>
      <c r="AF26" s="36">
        <v>24</v>
      </c>
      <c r="AG26" s="3">
        <f t="shared" si="4"/>
        <v>96</v>
      </c>
    </row>
    <row r="27" spans="1:33" ht="18.75" x14ac:dyDescent="0.3">
      <c r="A27" s="17">
        <v>25</v>
      </c>
      <c r="B27" s="2" t="s">
        <v>75</v>
      </c>
      <c r="C27" s="35">
        <v>10</v>
      </c>
      <c r="D27" s="36">
        <v>65</v>
      </c>
      <c r="E27" s="3">
        <f t="shared" si="0"/>
        <v>650</v>
      </c>
      <c r="H27" s="17">
        <v>24</v>
      </c>
      <c r="I27" s="2" t="s">
        <v>75</v>
      </c>
      <c r="J27" s="35"/>
      <c r="K27" s="36"/>
      <c r="L27" s="3">
        <f t="shared" si="1"/>
        <v>0</v>
      </c>
      <c r="O27" s="17">
        <v>24</v>
      </c>
      <c r="P27" s="2" t="s">
        <v>75</v>
      </c>
      <c r="Q27" s="35"/>
      <c r="R27" s="36"/>
      <c r="S27" s="3">
        <f t="shared" si="2"/>
        <v>0</v>
      </c>
      <c r="V27" s="17">
        <v>24</v>
      </c>
      <c r="W27" s="2" t="s">
        <v>75</v>
      </c>
      <c r="X27" s="35">
        <v>1.18</v>
      </c>
      <c r="Y27" s="36">
        <v>65</v>
      </c>
      <c r="Z27" s="3">
        <f t="shared" si="3"/>
        <v>76.7</v>
      </c>
      <c r="AC27" s="17">
        <v>24</v>
      </c>
      <c r="AD27" s="2" t="s">
        <v>75</v>
      </c>
      <c r="AE27" s="35">
        <v>3.4</v>
      </c>
      <c r="AF27" s="36">
        <v>65</v>
      </c>
      <c r="AG27" s="3">
        <f t="shared" si="4"/>
        <v>221</v>
      </c>
    </row>
    <row r="28" spans="1:33" ht="18.75" x14ac:dyDescent="0.3">
      <c r="A28" s="17">
        <v>26</v>
      </c>
      <c r="B28" s="2" t="s">
        <v>134</v>
      </c>
      <c r="C28" s="35"/>
      <c r="D28" s="36"/>
      <c r="E28" s="1">
        <f t="shared" si="0"/>
        <v>0</v>
      </c>
      <c r="H28" s="17">
        <v>25</v>
      </c>
      <c r="I28" s="2" t="s">
        <v>134</v>
      </c>
      <c r="J28" s="35"/>
      <c r="K28" s="36"/>
      <c r="L28" s="1">
        <f t="shared" si="1"/>
        <v>0</v>
      </c>
      <c r="O28" s="17">
        <v>25</v>
      </c>
      <c r="P28" s="2" t="s">
        <v>134</v>
      </c>
      <c r="Q28" s="35">
        <v>31</v>
      </c>
      <c r="R28" s="36">
        <v>42</v>
      </c>
      <c r="S28" s="1">
        <f t="shared" si="2"/>
        <v>1302</v>
      </c>
      <c r="V28" s="17">
        <v>25</v>
      </c>
      <c r="W28" s="2" t="s">
        <v>130</v>
      </c>
      <c r="X28" s="35">
        <v>3.2</v>
      </c>
      <c r="Y28" s="36">
        <v>74</v>
      </c>
      <c r="Z28" s="1">
        <f t="shared" si="3"/>
        <v>236.8</v>
      </c>
      <c r="AC28" s="17">
        <v>25</v>
      </c>
      <c r="AD28" s="2" t="s">
        <v>25</v>
      </c>
      <c r="AE28" s="35"/>
      <c r="AF28" s="36"/>
      <c r="AG28" s="1">
        <f t="shared" si="4"/>
        <v>0</v>
      </c>
    </row>
    <row r="29" spans="1:33" ht="18.75" x14ac:dyDescent="0.3">
      <c r="A29" s="17">
        <v>27</v>
      </c>
      <c r="B29" s="2" t="s">
        <v>7</v>
      </c>
      <c r="C29" s="35"/>
      <c r="D29" s="36"/>
      <c r="E29" s="1">
        <f t="shared" si="0"/>
        <v>0</v>
      </c>
      <c r="H29" s="17">
        <v>26</v>
      </c>
      <c r="I29" s="2" t="s">
        <v>7</v>
      </c>
      <c r="J29" s="35">
        <v>2</v>
      </c>
      <c r="K29" s="36">
        <v>50</v>
      </c>
      <c r="L29" s="1">
        <f t="shared" si="1"/>
        <v>100</v>
      </c>
      <c r="O29" s="17">
        <v>26</v>
      </c>
      <c r="P29" s="2" t="s">
        <v>7</v>
      </c>
      <c r="Q29" s="35">
        <v>0.28000000000000003</v>
      </c>
      <c r="R29" s="36">
        <v>48</v>
      </c>
      <c r="S29" s="1">
        <f t="shared" si="2"/>
        <v>13.440000000000001</v>
      </c>
      <c r="V29" s="17">
        <v>26</v>
      </c>
      <c r="W29" s="2" t="s">
        <v>7</v>
      </c>
      <c r="X29" s="35"/>
      <c r="Y29" s="36"/>
      <c r="Z29" s="1">
        <f t="shared" si="3"/>
        <v>0</v>
      </c>
      <c r="AC29" s="17">
        <v>26</v>
      </c>
      <c r="AD29" s="2" t="s">
        <v>7</v>
      </c>
      <c r="AE29" s="35">
        <v>10.47</v>
      </c>
      <c r="AF29" s="36">
        <v>42</v>
      </c>
      <c r="AG29" s="1">
        <f t="shared" si="4"/>
        <v>439.74</v>
      </c>
    </row>
    <row r="30" spans="1:33" ht="18.75" x14ac:dyDescent="0.3">
      <c r="A30" s="17">
        <v>28</v>
      </c>
      <c r="B30" s="2" t="s">
        <v>108</v>
      </c>
      <c r="C30" s="35"/>
      <c r="D30" s="36"/>
      <c r="E30" s="3">
        <f t="shared" si="0"/>
        <v>0</v>
      </c>
      <c r="H30" s="17">
        <v>27</v>
      </c>
      <c r="I30" s="2" t="s">
        <v>108</v>
      </c>
      <c r="J30" s="35"/>
      <c r="K30" s="36"/>
      <c r="L30" s="3">
        <f t="shared" si="1"/>
        <v>0</v>
      </c>
      <c r="O30" s="17">
        <v>27</v>
      </c>
      <c r="P30" s="2" t="s">
        <v>108</v>
      </c>
      <c r="Q30" s="35"/>
      <c r="R30" s="36"/>
      <c r="S30" s="3">
        <f t="shared" si="2"/>
        <v>0</v>
      </c>
      <c r="V30" s="17">
        <v>27</v>
      </c>
      <c r="W30" s="2" t="s">
        <v>108</v>
      </c>
      <c r="X30" s="35"/>
      <c r="Y30" s="36"/>
      <c r="Z30" s="3">
        <f t="shared" si="3"/>
        <v>0</v>
      </c>
      <c r="AC30" s="17">
        <v>27</v>
      </c>
      <c r="AD30" s="2" t="s">
        <v>108</v>
      </c>
      <c r="AE30" s="35"/>
      <c r="AF30" s="36"/>
      <c r="AG30" s="3">
        <f t="shared" si="4"/>
        <v>0</v>
      </c>
    </row>
    <row r="31" spans="1:33" ht="18.75" x14ac:dyDescent="0.3">
      <c r="A31" s="17">
        <v>29</v>
      </c>
      <c r="B31" s="2" t="s">
        <v>67</v>
      </c>
      <c r="C31" s="35"/>
      <c r="D31" s="36"/>
      <c r="E31" s="1">
        <f t="shared" si="0"/>
        <v>0</v>
      </c>
      <c r="H31" s="17">
        <v>28</v>
      </c>
      <c r="I31" s="2" t="s">
        <v>67</v>
      </c>
      <c r="J31" s="35"/>
      <c r="K31" s="36"/>
      <c r="L31" s="1">
        <f t="shared" si="1"/>
        <v>0</v>
      </c>
      <c r="O31" s="17">
        <v>28</v>
      </c>
      <c r="P31" s="2" t="s">
        <v>67</v>
      </c>
      <c r="Q31" s="35">
        <v>0.5</v>
      </c>
      <c r="R31" s="36">
        <v>60</v>
      </c>
      <c r="S31" s="1">
        <f t="shared" si="2"/>
        <v>30</v>
      </c>
      <c r="V31" s="17">
        <v>28</v>
      </c>
      <c r="W31" s="2" t="s">
        <v>67</v>
      </c>
      <c r="X31" s="35"/>
      <c r="Y31" s="36"/>
      <c r="Z31" s="1">
        <f t="shared" si="3"/>
        <v>0</v>
      </c>
      <c r="AC31" s="17">
        <v>28</v>
      </c>
      <c r="AD31" s="2" t="s">
        <v>67</v>
      </c>
      <c r="AE31" s="35"/>
      <c r="AF31" s="36"/>
      <c r="AG31" s="1">
        <f t="shared" si="4"/>
        <v>0</v>
      </c>
    </row>
    <row r="32" spans="1:33" ht="18.75" x14ac:dyDescent="0.3">
      <c r="A32" s="17">
        <v>30</v>
      </c>
      <c r="B32" s="2" t="s">
        <v>27</v>
      </c>
      <c r="C32" s="35">
        <f>19+8</f>
        <v>27</v>
      </c>
      <c r="D32" s="36"/>
      <c r="E32" s="1">
        <f t="shared" si="0"/>
        <v>0</v>
      </c>
      <c r="H32" s="17">
        <v>29</v>
      </c>
      <c r="I32" s="2" t="s">
        <v>27</v>
      </c>
      <c r="J32" s="35">
        <v>5.5</v>
      </c>
      <c r="K32" s="36">
        <v>16</v>
      </c>
      <c r="L32" s="1">
        <f t="shared" si="1"/>
        <v>88</v>
      </c>
      <c r="O32" s="17">
        <v>29</v>
      </c>
      <c r="P32" s="2" t="s">
        <v>27</v>
      </c>
      <c r="Q32" s="35">
        <v>4.5</v>
      </c>
      <c r="R32" s="36">
        <v>18</v>
      </c>
      <c r="S32" s="1">
        <f t="shared" si="2"/>
        <v>81</v>
      </c>
      <c r="V32" s="17">
        <v>29</v>
      </c>
      <c r="W32" s="2" t="s">
        <v>27</v>
      </c>
      <c r="X32" s="35">
        <f>27.05+1.7</f>
        <v>28.75</v>
      </c>
      <c r="Y32" s="36">
        <v>16</v>
      </c>
      <c r="Z32" s="1">
        <f t="shared" si="3"/>
        <v>460</v>
      </c>
      <c r="AC32" s="17">
        <v>29</v>
      </c>
      <c r="AD32" s="2" t="s">
        <v>27</v>
      </c>
      <c r="AE32" s="35">
        <v>28.5</v>
      </c>
      <c r="AF32" s="36">
        <v>16</v>
      </c>
      <c r="AG32" s="1">
        <f t="shared" si="4"/>
        <v>456</v>
      </c>
    </row>
    <row r="33" spans="1:33" ht="18.75" x14ac:dyDescent="0.3">
      <c r="A33" s="17">
        <v>31</v>
      </c>
      <c r="B33" s="2" t="s">
        <v>13</v>
      </c>
      <c r="C33" s="35">
        <v>155</v>
      </c>
      <c r="D33" s="36">
        <v>41</v>
      </c>
      <c r="E33" s="1">
        <f t="shared" si="0"/>
        <v>6355</v>
      </c>
      <c r="H33" s="17">
        <v>30</v>
      </c>
      <c r="I33" s="2" t="s">
        <v>13</v>
      </c>
      <c r="J33" s="35">
        <v>142.5</v>
      </c>
      <c r="K33" s="36">
        <v>42</v>
      </c>
      <c r="L33" s="1">
        <f t="shared" si="1"/>
        <v>5985</v>
      </c>
      <c r="O33" s="17">
        <v>30</v>
      </c>
      <c r="P33" s="2" t="s">
        <v>135</v>
      </c>
      <c r="Q33" s="35">
        <v>64</v>
      </c>
      <c r="R33" s="36">
        <v>45</v>
      </c>
      <c r="S33" s="1">
        <f t="shared" si="2"/>
        <v>2880</v>
      </c>
      <c r="V33" s="17">
        <v>30</v>
      </c>
      <c r="W33" s="2" t="s">
        <v>13</v>
      </c>
      <c r="X33" s="35">
        <v>283</v>
      </c>
      <c r="Y33" s="36">
        <v>41</v>
      </c>
      <c r="Z33" s="1">
        <f t="shared" si="3"/>
        <v>11603</v>
      </c>
      <c r="AC33" s="17">
        <v>30</v>
      </c>
      <c r="AD33" s="2" t="s">
        <v>13</v>
      </c>
      <c r="AE33" s="35">
        <v>274</v>
      </c>
      <c r="AF33" s="36">
        <v>38</v>
      </c>
      <c r="AG33" s="1">
        <f t="shared" si="4"/>
        <v>10412</v>
      </c>
    </row>
    <row r="34" spans="1:33" ht="18.75" x14ac:dyDescent="0.3">
      <c r="A34" s="17">
        <v>32</v>
      </c>
      <c r="B34" s="2" t="s">
        <v>139</v>
      </c>
      <c r="C34" s="35">
        <v>143</v>
      </c>
      <c r="D34" s="36">
        <v>43</v>
      </c>
      <c r="E34" s="3">
        <f t="shared" si="0"/>
        <v>6149</v>
      </c>
      <c r="H34" s="17">
        <v>31</v>
      </c>
      <c r="I34" s="2" t="s">
        <v>139</v>
      </c>
      <c r="J34" s="35">
        <v>23</v>
      </c>
      <c r="K34" s="36">
        <v>60</v>
      </c>
      <c r="L34" s="3">
        <f t="shared" si="1"/>
        <v>1380</v>
      </c>
      <c r="O34" s="17">
        <v>31</v>
      </c>
      <c r="P34" s="2" t="s">
        <v>38</v>
      </c>
      <c r="Q34" s="35">
        <v>25.5</v>
      </c>
      <c r="R34" s="36">
        <v>58</v>
      </c>
      <c r="S34" s="3">
        <f t="shared" si="2"/>
        <v>1479</v>
      </c>
      <c r="V34" s="17">
        <v>31</v>
      </c>
      <c r="W34" s="2" t="s">
        <v>38</v>
      </c>
      <c r="X34" s="35">
        <v>25.5</v>
      </c>
      <c r="Y34" s="36">
        <v>58</v>
      </c>
      <c r="Z34" s="3">
        <f t="shared" si="3"/>
        <v>1479</v>
      </c>
      <c r="AC34" s="17">
        <v>31</v>
      </c>
      <c r="AD34" s="2" t="s">
        <v>38</v>
      </c>
      <c r="AE34" s="35">
        <v>25.5</v>
      </c>
      <c r="AF34" s="36">
        <v>58</v>
      </c>
      <c r="AG34" s="3">
        <f t="shared" si="4"/>
        <v>1479</v>
      </c>
    </row>
    <row r="35" spans="1:33" ht="18.75" x14ac:dyDescent="0.3">
      <c r="A35" s="17">
        <v>33</v>
      </c>
      <c r="B35" s="2" t="s">
        <v>142</v>
      </c>
      <c r="C35" s="35">
        <v>20.55</v>
      </c>
      <c r="D35" s="36">
        <v>40</v>
      </c>
      <c r="E35" s="1">
        <f t="shared" si="0"/>
        <v>822</v>
      </c>
      <c r="H35" s="17">
        <v>32</v>
      </c>
      <c r="I35" s="2" t="s">
        <v>139</v>
      </c>
      <c r="J35" s="35">
        <v>88.5</v>
      </c>
      <c r="K35" s="36">
        <v>44</v>
      </c>
      <c r="L35" s="1">
        <f t="shared" si="1"/>
        <v>3894</v>
      </c>
      <c r="O35" s="17">
        <v>32</v>
      </c>
      <c r="P35" s="2" t="s">
        <v>139</v>
      </c>
      <c r="Q35" s="35">
        <v>23</v>
      </c>
      <c r="R35" s="36">
        <v>44</v>
      </c>
      <c r="S35" s="1">
        <f t="shared" si="2"/>
        <v>1012</v>
      </c>
      <c r="V35" s="17">
        <v>32</v>
      </c>
      <c r="W35" s="2" t="s">
        <v>77</v>
      </c>
      <c r="X35" s="35"/>
      <c r="Y35" s="36"/>
      <c r="Z35" s="1">
        <f t="shared" si="3"/>
        <v>0</v>
      </c>
      <c r="AC35" s="17">
        <v>32</v>
      </c>
      <c r="AD35" s="2" t="s">
        <v>77</v>
      </c>
      <c r="AE35" s="35"/>
      <c r="AF35" s="36"/>
      <c r="AG35" s="1">
        <f t="shared" si="4"/>
        <v>0</v>
      </c>
    </row>
    <row r="36" spans="1:33" ht="18.75" x14ac:dyDescent="0.3">
      <c r="A36" s="17">
        <v>34</v>
      </c>
      <c r="B36" s="43" t="s">
        <v>146</v>
      </c>
      <c r="C36" s="35">
        <v>25.5</v>
      </c>
      <c r="D36" s="36">
        <v>58</v>
      </c>
      <c r="E36" s="1">
        <f t="shared" si="0"/>
        <v>1479</v>
      </c>
      <c r="H36" s="17">
        <v>33</v>
      </c>
      <c r="I36" s="2" t="s">
        <v>136</v>
      </c>
      <c r="J36" s="35">
        <v>60</v>
      </c>
      <c r="K36" s="36">
        <v>42</v>
      </c>
      <c r="L36" s="1">
        <f t="shared" si="1"/>
        <v>2520</v>
      </c>
      <c r="O36" s="17">
        <v>33</v>
      </c>
      <c r="P36" s="2" t="s">
        <v>136</v>
      </c>
      <c r="Q36" s="35">
        <v>238</v>
      </c>
      <c r="R36" s="36">
        <v>42</v>
      </c>
      <c r="S36" s="1">
        <f t="shared" si="2"/>
        <v>9996</v>
      </c>
      <c r="V36" s="17">
        <v>33</v>
      </c>
      <c r="W36" s="2" t="s">
        <v>11</v>
      </c>
      <c r="X36" s="35">
        <f>24.16+64</f>
        <v>88.16</v>
      </c>
      <c r="Y36" s="36">
        <v>42</v>
      </c>
      <c r="Z36" s="1">
        <f t="shared" si="3"/>
        <v>3702.72</v>
      </c>
      <c r="AC36" s="17">
        <v>33</v>
      </c>
      <c r="AD36" s="2" t="s">
        <v>11</v>
      </c>
      <c r="AE36" s="35">
        <f>98+8.5</f>
        <v>106.5</v>
      </c>
      <c r="AF36" s="36">
        <v>40</v>
      </c>
      <c r="AG36" s="1">
        <f t="shared" si="4"/>
        <v>4260</v>
      </c>
    </row>
    <row r="37" spans="1:33" ht="18.75" x14ac:dyDescent="0.3">
      <c r="A37" s="17">
        <v>35</v>
      </c>
      <c r="B37" s="43" t="s">
        <v>144</v>
      </c>
      <c r="C37" s="35">
        <v>23</v>
      </c>
      <c r="D37" s="36">
        <v>60</v>
      </c>
      <c r="E37" s="1">
        <f t="shared" si="0"/>
        <v>1380</v>
      </c>
      <c r="H37" s="17">
        <v>34</v>
      </c>
      <c r="I37" s="2" t="s">
        <v>142</v>
      </c>
      <c r="J37" s="35">
        <v>25.5</v>
      </c>
      <c r="K37" s="36">
        <v>58</v>
      </c>
      <c r="L37" s="1">
        <f t="shared" si="1"/>
        <v>1479</v>
      </c>
      <c r="O37" s="17">
        <v>34</v>
      </c>
      <c r="P37" s="2" t="s">
        <v>56</v>
      </c>
      <c r="Q37" s="35"/>
      <c r="R37" s="36"/>
      <c r="S37" s="1">
        <f t="shared" si="2"/>
        <v>0</v>
      </c>
      <c r="V37" s="17">
        <v>34</v>
      </c>
      <c r="W37" s="2" t="s">
        <v>56</v>
      </c>
      <c r="X37" s="35">
        <v>23</v>
      </c>
      <c r="Y37" s="36">
        <v>60</v>
      </c>
      <c r="Z37" s="1">
        <f t="shared" si="3"/>
        <v>1380</v>
      </c>
      <c r="AC37" s="17">
        <v>34</v>
      </c>
      <c r="AD37" s="2" t="s">
        <v>56</v>
      </c>
      <c r="AE37" s="35">
        <v>23</v>
      </c>
      <c r="AF37" s="36">
        <v>60</v>
      </c>
      <c r="AG37" s="1">
        <f t="shared" si="4"/>
        <v>1380</v>
      </c>
    </row>
    <row r="38" spans="1:33" ht="18.75" x14ac:dyDescent="0.3">
      <c r="A38" s="17">
        <v>36</v>
      </c>
      <c r="B38" s="2" t="s">
        <v>132</v>
      </c>
      <c r="C38" s="34">
        <v>11</v>
      </c>
      <c r="D38" s="3">
        <v>54</v>
      </c>
      <c r="E38" s="1">
        <f t="shared" si="0"/>
        <v>594</v>
      </c>
      <c r="H38" s="17">
        <v>35</v>
      </c>
      <c r="I38" s="2" t="s">
        <v>132</v>
      </c>
      <c r="J38" s="34">
        <v>12</v>
      </c>
      <c r="K38" s="3">
        <v>54</v>
      </c>
      <c r="L38" s="1">
        <f t="shared" si="1"/>
        <v>648</v>
      </c>
      <c r="O38" s="17">
        <v>35</v>
      </c>
      <c r="P38" s="2" t="s">
        <v>132</v>
      </c>
      <c r="Q38" s="34">
        <v>11</v>
      </c>
      <c r="R38" s="3">
        <v>52</v>
      </c>
      <c r="S38" s="1">
        <f t="shared" si="2"/>
        <v>572</v>
      </c>
      <c r="V38" s="17">
        <v>35</v>
      </c>
      <c r="W38" s="2" t="s">
        <v>132</v>
      </c>
      <c r="X38" s="34">
        <v>10.8</v>
      </c>
      <c r="Y38" s="3">
        <v>54</v>
      </c>
      <c r="Z38" s="1">
        <f t="shared" si="3"/>
        <v>583.20000000000005</v>
      </c>
      <c r="AC38" s="17">
        <v>35</v>
      </c>
      <c r="AD38" s="2" t="s">
        <v>126</v>
      </c>
      <c r="AE38" s="34">
        <v>15</v>
      </c>
      <c r="AF38" s="3">
        <v>54</v>
      </c>
      <c r="AG38" s="1">
        <f t="shared" si="4"/>
        <v>810</v>
      </c>
    </row>
    <row r="39" spans="1:33" ht="18.75" x14ac:dyDescent="0.3">
      <c r="A39" s="17">
        <v>37</v>
      </c>
      <c r="B39" s="2" t="s">
        <v>122</v>
      </c>
      <c r="C39" s="34">
        <v>49.5</v>
      </c>
      <c r="D39" s="3">
        <v>65</v>
      </c>
      <c r="E39" s="1">
        <f t="shared" si="0"/>
        <v>3217.5</v>
      </c>
      <c r="H39" s="17">
        <v>36</v>
      </c>
      <c r="I39" s="2" t="s">
        <v>122</v>
      </c>
      <c r="J39" s="34">
        <v>51</v>
      </c>
      <c r="K39" s="3">
        <v>65</v>
      </c>
      <c r="L39" s="1">
        <f t="shared" si="1"/>
        <v>3315</v>
      </c>
      <c r="O39" s="17">
        <v>36</v>
      </c>
      <c r="P39" s="2" t="s">
        <v>122</v>
      </c>
      <c r="Q39" s="34">
        <v>41.5</v>
      </c>
      <c r="R39" s="3">
        <v>65</v>
      </c>
      <c r="S39" s="1">
        <f t="shared" si="2"/>
        <v>2697.5</v>
      </c>
      <c r="V39" s="17">
        <v>36</v>
      </c>
      <c r="W39" s="2" t="s">
        <v>122</v>
      </c>
      <c r="X39" s="34"/>
      <c r="Y39" s="3"/>
      <c r="Z39" s="1">
        <f t="shared" si="3"/>
        <v>0</v>
      </c>
      <c r="AC39" s="17">
        <v>36</v>
      </c>
      <c r="AD39" s="2" t="s">
        <v>122</v>
      </c>
      <c r="AE39" s="34">
        <v>20.65</v>
      </c>
      <c r="AF39" s="3">
        <v>65</v>
      </c>
      <c r="AG39" s="1">
        <f t="shared" si="4"/>
        <v>1342.25</v>
      </c>
    </row>
    <row r="40" spans="1:33" ht="18.75" x14ac:dyDescent="0.3">
      <c r="A40" s="17">
        <v>38</v>
      </c>
      <c r="B40" s="2" t="s">
        <v>48</v>
      </c>
      <c r="C40" s="35"/>
      <c r="D40" s="36"/>
      <c r="E40" s="3">
        <f t="shared" si="0"/>
        <v>0</v>
      </c>
      <c r="H40" s="17">
        <v>37</v>
      </c>
      <c r="I40" s="2" t="s">
        <v>48</v>
      </c>
      <c r="J40" s="35"/>
      <c r="K40" s="36"/>
      <c r="L40" s="3">
        <f t="shared" si="1"/>
        <v>0</v>
      </c>
      <c r="O40" s="17">
        <v>37</v>
      </c>
      <c r="P40" s="2" t="s">
        <v>48</v>
      </c>
      <c r="Q40" s="35">
        <v>7.5</v>
      </c>
      <c r="R40" s="36">
        <v>34</v>
      </c>
      <c r="S40" s="3">
        <f t="shared" si="2"/>
        <v>255</v>
      </c>
      <c r="V40" s="17">
        <v>37</v>
      </c>
      <c r="W40" s="2" t="s">
        <v>48</v>
      </c>
      <c r="X40" s="35">
        <f>6.4+8.85</f>
        <v>15.25</v>
      </c>
      <c r="Y40" s="36">
        <v>34</v>
      </c>
      <c r="Z40" s="3">
        <f t="shared" si="3"/>
        <v>518.5</v>
      </c>
      <c r="AC40" s="17">
        <v>37</v>
      </c>
      <c r="AD40" s="2" t="s">
        <v>48</v>
      </c>
      <c r="AE40" s="35">
        <v>8.8000000000000007</v>
      </c>
      <c r="AF40" s="36">
        <v>34</v>
      </c>
      <c r="AG40" s="3">
        <f t="shared" si="4"/>
        <v>299.20000000000005</v>
      </c>
    </row>
    <row r="41" spans="1:33" ht="18.75" x14ac:dyDescent="0.3">
      <c r="A41" s="17">
        <v>39</v>
      </c>
      <c r="B41" s="2" t="s">
        <v>48</v>
      </c>
      <c r="C41" s="35">
        <v>10.15</v>
      </c>
      <c r="D41" s="36">
        <v>32</v>
      </c>
      <c r="E41" s="1">
        <f t="shared" si="0"/>
        <v>324.8</v>
      </c>
      <c r="H41" s="17">
        <v>38</v>
      </c>
      <c r="I41" s="2" t="s">
        <v>48</v>
      </c>
      <c r="J41" s="35"/>
      <c r="K41" s="36"/>
      <c r="L41" s="1">
        <f t="shared" si="1"/>
        <v>0</v>
      </c>
      <c r="O41" s="17">
        <v>38</v>
      </c>
      <c r="P41" s="2" t="s">
        <v>48</v>
      </c>
      <c r="Q41" s="35"/>
      <c r="R41" s="36"/>
      <c r="S41" s="1">
        <f t="shared" si="2"/>
        <v>0</v>
      </c>
      <c r="V41" s="17">
        <v>38</v>
      </c>
      <c r="W41" s="2" t="s">
        <v>48</v>
      </c>
      <c r="X41" s="35"/>
      <c r="Y41" s="36"/>
      <c r="Z41" s="1">
        <f t="shared" si="3"/>
        <v>0</v>
      </c>
      <c r="AC41" s="17">
        <v>38</v>
      </c>
      <c r="AD41" s="2" t="s">
        <v>48</v>
      </c>
      <c r="AE41" s="35">
        <v>12.25</v>
      </c>
      <c r="AF41" s="36">
        <v>34</v>
      </c>
      <c r="AG41" s="1">
        <f t="shared" si="4"/>
        <v>416.5</v>
      </c>
    </row>
    <row r="42" spans="1:33" ht="18.75" x14ac:dyDescent="0.3">
      <c r="A42" s="17">
        <v>40</v>
      </c>
      <c r="B42" s="2" t="s">
        <v>8</v>
      </c>
      <c r="C42" s="35">
        <f>1.5+21.4</f>
        <v>22.9</v>
      </c>
      <c r="D42" s="36">
        <v>24</v>
      </c>
      <c r="E42" s="3">
        <f t="shared" si="0"/>
        <v>549.59999999999991</v>
      </c>
      <c r="H42" s="17">
        <v>39</v>
      </c>
      <c r="I42" s="2" t="s">
        <v>8</v>
      </c>
      <c r="J42" s="35">
        <v>1.3</v>
      </c>
      <c r="K42" s="36">
        <v>26</v>
      </c>
      <c r="L42" s="3">
        <f t="shared" si="1"/>
        <v>33.800000000000004</v>
      </c>
      <c r="O42" s="17">
        <v>39</v>
      </c>
      <c r="P42" s="2" t="s">
        <v>8</v>
      </c>
      <c r="Q42" s="35">
        <f>11.6+0.8</f>
        <v>12.4</v>
      </c>
      <c r="R42" s="36">
        <v>24</v>
      </c>
      <c r="S42" s="3">
        <f t="shared" si="2"/>
        <v>297.60000000000002</v>
      </c>
      <c r="V42" s="17">
        <v>39</v>
      </c>
      <c r="W42" s="2" t="s">
        <v>8</v>
      </c>
      <c r="X42" s="35">
        <v>0.76</v>
      </c>
      <c r="Y42" s="36">
        <v>24</v>
      </c>
      <c r="Z42" s="3">
        <f t="shared" si="3"/>
        <v>18.240000000000002</v>
      </c>
      <c r="AC42" s="17">
        <v>39</v>
      </c>
      <c r="AD42" s="2" t="s">
        <v>8</v>
      </c>
      <c r="AE42" s="35">
        <f>7.85+1.75</f>
        <v>9.6</v>
      </c>
      <c r="AF42" s="36">
        <v>24</v>
      </c>
      <c r="AG42" s="3">
        <f t="shared" si="4"/>
        <v>230.39999999999998</v>
      </c>
    </row>
    <row r="43" spans="1:33" ht="18.75" x14ac:dyDescent="0.3">
      <c r="A43" s="17">
        <v>41</v>
      </c>
      <c r="B43" s="2" t="s">
        <v>65</v>
      </c>
      <c r="C43" s="35">
        <f>4.425+31.9</f>
        <v>36.324999999999996</v>
      </c>
      <c r="D43" s="36">
        <v>18</v>
      </c>
      <c r="E43" s="1">
        <f t="shared" si="0"/>
        <v>653.84999999999991</v>
      </c>
      <c r="H43" s="17">
        <v>40</v>
      </c>
      <c r="I43" s="2" t="s">
        <v>65</v>
      </c>
      <c r="J43" s="35">
        <v>22.5</v>
      </c>
      <c r="K43" s="36">
        <v>18</v>
      </c>
      <c r="L43" s="1">
        <f t="shared" si="1"/>
        <v>405</v>
      </c>
      <c r="O43" s="17">
        <v>40</v>
      </c>
      <c r="P43" s="2" t="s">
        <v>65</v>
      </c>
      <c r="Q43" s="35">
        <v>33</v>
      </c>
      <c r="R43" s="36">
        <v>18</v>
      </c>
      <c r="S43" s="1">
        <f t="shared" si="2"/>
        <v>594</v>
      </c>
      <c r="V43" s="17">
        <v>40</v>
      </c>
      <c r="W43" s="2" t="s">
        <v>65</v>
      </c>
      <c r="X43" s="35"/>
      <c r="Y43" s="36"/>
      <c r="Z43" s="1">
        <f t="shared" si="3"/>
        <v>0</v>
      </c>
      <c r="AC43" s="17">
        <v>40</v>
      </c>
      <c r="AD43" s="2" t="s">
        <v>65</v>
      </c>
      <c r="AE43" s="35"/>
      <c r="AF43" s="36"/>
      <c r="AG43" s="1">
        <f t="shared" si="4"/>
        <v>0</v>
      </c>
    </row>
    <row r="44" spans="1:33" ht="18.75" x14ac:dyDescent="0.3">
      <c r="A44" s="17">
        <v>42</v>
      </c>
      <c r="B44" s="2" t="s">
        <v>93</v>
      </c>
      <c r="C44" s="35"/>
      <c r="D44" s="36"/>
      <c r="E44" s="1">
        <f t="shared" si="0"/>
        <v>0</v>
      </c>
      <c r="H44" s="17">
        <v>41</v>
      </c>
      <c r="I44" s="2" t="s">
        <v>93</v>
      </c>
      <c r="J44" s="35"/>
      <c r="K44" s="36"/>
      <c r="L44" s="1">
        <f t="shared" si="1"/>
        <v>0</v>
      </c>
      <c r="O44" s="17">
        <v>41</v>
      </c>
      <c r="P44" s="2" t="s">
        <v>93</v>
      </c>
      <c r="Q44" s="35"/>
      <c r="R44" s="36"/>
      <c r="S44" s="1">
        <f t="shared" si="2"/>
        <v>0</v>
      </c>
      <c r="V44" s="17">
        <v>41</v>
      </c>
      <c r="W44" s="2" t="s">
        <v>93</v>
      </c>
      <c r="X44" s="35"/>
      <c r="Y44" s="36"/>
      <c r="Z44" s="1">
        <f t="shared" si="3"/>
        <v>0</v>
      </c>
      <c r="AC44" s="17">
        <v>41</v>
      </c>
      <c r="AD44" s="2" t="s">
        <v>93</v>
      </c>
      <c r="AE44" s="35"/>
      <c r="AF44" s="36"/>
      <c r="AG44" s="1">
        <f t="shared" si="4"/>
        <v>0</v>
      </c>
    </row>
    <row r="45" spans="1:33" ht="18.75" x14ac:dyDescent="0.3">
      <c r="A45" s="17">
        <v>43</v>
      </c>
      <c r="B45" s="2" t="s">
        <v>21</v>
      </c>
      <c r="C45" s="35">
        <v>13.41</v>
      </c>
      <c r="D45" s="36">
        <v>98</v>
      </c>
      <c r="E45" s="3">
        <f t="shared" si="0"/>
        <v>1314.18</v>
      </c>
      <c r="H45" s="17">
        <v>42</v>
      </c>
      <c r="I45" s="2" t="s">
        <v>21</v>
      </c>
      <c r="J45" s="35"/>
      <c r="K45" s="36"/>
      <c r="L45" s="3">
        <f t="shared" si="1"/>
        <v>0</v>
      </c>
      <c r="O45" s="17">
        <v>42</v>
      </c>
      <c r="P45" s="2" t="s">
        <v>21</v>
      </c>
      <c r="Q45" s="35"/>
      <c r="R45" s="36"/>
      <c r="S45" s="3">
        <f t="shared" si="2"/>
        <v>0</v>
      </c>
      <c r="V45" s="17">
        <v>42</v>
      </c>
      <c r="W45" s="2" t="s">
        <v>21</v>
      </c>
      <c r="X45" s="35">
        <v>9.4</v>
      </c>
      <c r="Y45" s="36">
        <v>100</v>
      </c>
      <c r="Z45" s="3">
        <f t="shared" si="3"/>
        <v>940</v>
      </c>
      <c r="AC45" s="17">
        <v>42</v>
      </c>
      <c r="AD45" s="2" t="s">
        <v>21</v>
      </c>
      <c r="AE45" s="35">
        <v>7.07</v>
      </c>
      <c r="AF45" s="36">
        <v>105</v>
      </c>
      <c r="AG45" s="3">
        <f t="shared" si="4"/>
        <v>742.35</v>
      </c>
    </row>
    <row r="46" spans="1:33" ht="18.75" x14ac:dyDescent="0.3">
      <c r="A46" s="17">
        <v>44</v>
      </c>
      <c r="B46" s="2" t="s">
        <v>17</v>
      </c>
      <c r="C46" s="35">
        <v>27.22</v>
      </c>
      <c r="D46" s="36">
        <v>51</v>
      </c>
      <c r="E46" s="1">
        <f t="shared" si="0"/>
        <v>1388.22</v>
      </c>
      <c r="H46" s="17">
        <v>43</v>
      </c>
      <c r="I46" s="2" t="s">
        <v>17</v>
      </c>
      <c r="J46" s="35">
        <v>3</v>
      </c>
      <c r="K46" s="36">
        <v>58</v>
      </c>
      <c r="L46" s="1">
        <f t="shared" si="1"/>
        <v>174</v>
      </c>
      <c r="O46" s="17">
        <v>43</v>
      </c>
      <c r="P46" s="2" t="s">
        <v>17</v>
      </c>
      <c r="Q46" s="35">
        <v>24</v>
      </c>
      <c r="R46" s="36">
        <v>51</v>
      </c>
      <c r="S46" s="1">
        <f t="shared" si="2"/>
        <v>1224</v>
      </c>
      <c r="V46" s="17">
        <v>43</v>
      </c>
      <c r="W46" s="2" t="s">
        <v>17</v>
      </c>
      <c r="X46" s="35">
        <v>27.22</v>
      </c>
      <c r="Y46" s="36">
        <v>50</v>
      </c>
      <c r="Z46" s="1">
        <f t="shared" si="3"/>
        <v>1361</v>
      </c>
      <c r="AC46" s="17">
        <v>43</v>
      </c>
      <c r="AD46" s="2" t="s">
        <v>17</v>
      </c>
      <c r="AE46" s="35">
        <v>4.3499999999999996</v>
      </c>
      <c r="AF46" s="36">
        <v>60</v>
      </c>
      <c r="AG46" s="1">
        <f t="shared" si="4"/>
        <v>261</v>
      </c>
    </row>
    <row r="47" spans="1:33" ht="18.75" x14ac:dyDescent="0.3">
      <c r="A47" s="17">
        <v>45</v>
      </c>
      <c r="B47" s="2" t="s">
        <v>50</v>
      </c>
      <c r="C47" s="35"/>
      <c r="D47" s="36"/>
      <c r="E47" s="1">
        <f t="shared" si="0"/>
        <v>0</v>
      </c>
      <c r="H47" s="17">
        <v>44</v>
      </c>
      <c r="I47" s="2" t="s">
        <v>50</v>
      </c>
      <c r="J47" s="35"/>
      <c r="K47" s="36"/>
      <c r="L47" s="1">
        <f t="shared" si="1"/>
        <v>0</v>
      </c>
      <c r="O47" s="17">
        <v>44</v>
      </c>
      <c r="P47" s="2" t="s">
        <v>50</v>
      </c>
      <c r="Q47" s="35"/>
      <c r="R47" s="36"/>
      <c r="S47" s="1">
        <f t="shared" si="2"/>
        <v>0</v>
      </c>
      <c r="V47" s="17">
        <v>44</v>
      </c>
      <c r="W47" s="2" t="s">
        <v>50</v>
      </c>
      <c r="X47" s="35"/>
      <c r="Y47" s="36"/>
      <c r="Z47" s="1">
        <f t="shared" si="3"/>
        <v>0</v>
      </c>
      <c r="AC47" s="17">
        <v>44</v>
      </c>
      <c r="AD47" s="2" t="s">
        <v>50</v>
      </c>
      <c r="AE47" s="35"/>
      <c r="AF47" s="36"/>
      <c r="AG47" s="1">
        <f t="shared" si="4"/>
        <v>0</v>
      </c>
    </row>
    <row r="48" spans="1:33" ht="18.75" x14ac:dyDescent="0.3">
      <c r="A48" s="17">
        <v>46</v>
      </c>
      <c r="B48" s="2" t="s">
        <v>55</v>
      </c>
      <c r="C48" s="35">
        <v>64</v>
      </c>
      <c r="D48" s="36">
        <v>58</v>
      </c>
      <c r="E48" s="1">
        <f t="shared" si="0"/>
        <v>3712</v>
      </c>
      <c r="H48" s="17">
        <v>45</v>
      </c>
      <c r="I48" s="2" t="s">
        <v>55</v>
      </c>
      <c r="J48" s="35">
        <v>64</v>
      </c>
      <c r="K48" s="36">
        <v>58</v>
      </c>
      <c r="L48" s="1">
        <f t="shared" si="1"/>
        <v>3712</v>
      </c>
      <c r="O48" s="17">
        <v>45</v>
      </c>
      <c r="P48" s="2" t="s">
        <v>55</v>
      </c>
      <c r="Q48" s="35">
        <v>64</v>
      </c>
      <c r="R48" s="36">
        <v>58</v>
      </c>
      <c r="S48" s="1">
        <f t="shared" si="2"/>
        <v>3712</v>
      </c>
      <c r="V48" s="17">
        <v>45</v>
      </c>
      <c r="W48" s="2" t="s">
        <v>55</v>
      </c>
      <c r="X48" s="35">
        <v>64</v>
      </c>
      <c r="Y48" s="36">
        <v>58</v>
      </c>
      <c r="Z48" s="1">
        <f t="shared" si="3"/>
        <v>3712</v>
      </c>
      <c r="AC48" s="17">
        <v>45</v>
      </c>
      <c r="AD48" s="2" t="s">
        <v>55</v>
      </c>
      <c r="AE48" s="35">
        <v>64</v>
      </c>
      <c r="AF48" s="36">
        <v>58</v>
      </c>
      <c r="AG48" s="1">
        <f t="shared" si="4"/>
        <v>3712</v>
      </c>
    </row>
    <row r="49" spans="1:33" ht="18.75" x14ac:dyDescent="0.3">
      <c r="A49" s="17">
        <v>47</v>
      </c>
      <c r="B49" s="2" t="s">
        <v>57</v>
      </c>
      <c r="C49" s="35">
        <v>22.5</v>
      </c>
      <c r="D49" s="36">
        <v>46</v>
      </c>
      <c r="E49" s="1">
        <f t="shared" si="0"/>
        <v>1035</v>
      </c>
      <c r="H49" s="17">
        <v>46</v>
      </c>
      <c r="I49" s="2" t="s">
        <v>57</v>
      </c>
      <c r="J49" s="35">
        <v>22.5</v>
      </c>
      <c r="K49" s="36">
        <v>46</v>
      </c>
      <c r="L49" s="1">
        <f t="shared" si="1"/>
        <v>1035</v>
      </c>
      <c r="O49" s="17">
        <v>46</v>
      </c>
      <c r="P49" s="2" t="s">
        <v>57</v>
      </c>
      <c r="Q49" s="35">
        <v>22.5</v>
      </c>
      <c r="R49" s="36">
        <v>46</v>
      </c>
      <c r="S49" s="1">
        <f t="shared" si="2"/>
        <v>1035</v>
      </c>
      <c r="V49" s="17">
        <v>46</v>
      </c>
      <c r="W49" s="2" t="s">
        <v>57</v>
      </c>
      <c r="X49" s="35">
        <v>22.5</v>
      </c>
      <c r="Y49" s="36">
        <v>46</v>
      </c>
      <c r="Z49" s="1">
        <f t="shared" si="3"/>
        <v>1035</v>
      </c>
      <c r="AC49" s="17">
        <v>46</v>
      </c>
      <c r="AD49" s="2" t="s">
        <v>57</v>
      </c>
      <c r="AE49" s="35">
        <v>22.5</v>
      </c>
      <c r="AF49" s="36">
        <v>46</v>
      </c>
      <c r="AG49" s="1">
        <f t="shared" si="4"/>
        <v>1035</v>
      </c>
    </row>
    <row r="50" spans="1:33" ht="18.75" x14ac:dyDescent="0.3">
      <c r="A50" s="17">
        <v>48</v>
      </c>
      <c r="B50" s="2" t="s">
        <v>5</v>
      </c>
      <c r="C50" s="35">
        <v>32.65</v>
      </c>
      <c r="D50" s="36">
        <v>53</v>
      </c>
      <c r="E50" s="1">
        <f t="shared" si="0"/>
        <v>1730.4499999999998</v>
      </c>
      <c r="H50" s="17">
        <v>47</v>
      </c>
      <c r="I50" s="2" t="s">
        <v>5</v>
      </c>
      <c r="J50" s="35">
        <v>12.5</v>
      </c>
      <c r="K50" s="36">
        <v>53</v>
      </c>
      <c r="L50" s="1">
        <f t="shared" si="1"/>
        <v>662.5</v>
      </c>
      <c r="O50" s="17">
        <v>47</v>
      </c>
      <c r="P50" s="2" t="s">
        <v>5</v>
      </c>
      <c r="Q50" s="35">
        <v>34.4</v>
      </c>
      <c r="R50" s="36">
        <v>53</v>
      </c>
      <c r="S50" s="1">
        <f t="shared" si="2"/>
        <v>1823.1999999999998</v>
      </c>
      <c r="V50" s="17">
        <v>47</v>
      </c>
      <c r="W50" s="2" t="s">
        <v>5</v>
      </c>
      <c r="X50" s="35">
        <v>37.200000000000003</v>
      </c>
      <c r="Y50" s="36">
        <v>52</v>
      </c>
      <c r="Z50" s="1">
        <f t="shared" si="3"/>
        <v>1934.4</v>
      </c>
      <c r="AC50" s="17">
        <v>47</v>
      </c>
      <c r="AD50" s="2" t="s">
        <v>5</v>
      </c>
      <c r="AE50" s="35"/>
      <c r="AF50" s="36"/>
      <c r="AG50" s="1">
        <f t="shared" si="4"/>
        <v>0</v>
      </c>
    </row>
    <row r="51" spans="1:33" ht="18.75" x14ac:dyDescent="0.3">
      <c r="A51" s="17">
        <v>49</v>
      </c>
      <c r="B51" s="2" t="s">
        <v>112</v>
      </c>
      <c r="C51" s="35"/>
      <c r="D51" s="36"/>
      <c r="E51" s="1">
        <f t="shared" si="0"/>
        <v>0</v>
      </c>
      <c r="H51" s="17">
        <v>48</v>
      </c>
      <c r="I51" s="2" t="s">
        <v>112</v>
      </c>
      <c r="J51" s="35"/>
      <c r="K51" s="36"/>
      <c r="L51" s="1">
        <f t="shared" si="1"/>
        <v>0</v>
      </c>
      <c r="O51" s="17">
        <v>48</v>
      </c>
      <c r="P51" s="2" t="s">
        <v>112</v>
      </c>
      <c r="Q51" s="35">
        <v>42</v>
      </c>
      <c r="R51" s="36">
        <v>40</v>
      </c>
      <c r="S51" s="1">
        <f t="shared" si="2"/>
        <v>1680</v>
      </c>
      <c r="V51" s="17">
        <v>48</v>
      </c>
      <c r="W51" s="2" t="s">
        <v>112</v>
      </c>
      <c r="X51" s="35"/>
      <c r="Y51" s="36"/>
      <c r="Z51" s="1">
        <f t="shared" si="3"/>
        <v>0</v>
      </c>
      <c r="AC51" s="17">
        <v>48</v>
      </c>
      <c r="AD51" s="2" t="s">
        <v>112</v>
      </c>
      <c r="AE51" s="35"/>
      <c r="AF51" s="36"/>
      <c r="AG51" s="1">
        <f t="shared" si="4"/>
        <v>0</v>
      </c>
    </row>
    <row r="52" spans="1:33" ht="18.75" x14ac:dyDescent="0.3">
      <c r="A52" s="17">
        <v>50</v>
      </c>
      <c r="B52" s="2" t="s">
        <v>137</v>
      </c>
      <c r="C52" s="35"/>
      <c r="D52" s="36"/>
      <c r="E52" s="1">
        <f t="shared" si="0"/>
        <v>0</v>
      </c>
      <c r="H52" s="17">
        <v>49</v>
      </c>
      <c r="I52" s="2" t="s">
        <v>137</v>
      </c>
      <c r="J52" s="35"/>
      <c r="K52" s="36"/>
      <c r="L52" s="1">
        <f t="shared" si="1"/>
        <v>0</v>
      </c>
      <c r="O52" s="17">
        <v>49</v>
      </c>
      <c r="P52" s="2" t="s">
        <v>137</v>
      </c>
      <c r="Q52" s="35">
        <f>458.7+108</f>
        <v>566.70000000000005</v>
      </c>
      <c r="R52" s="36">
        <v>33.5</v>
      </c>
      <c r="S52" s="1">
        <f t="shared" si="2"/>
        <v>18984.45</v>
      </c>
      <c r="V52" s="17">
        <v>49</v>
      </c>
      <c r="W52" s="2" t="s">
        <v>24</v>
      </c>
      <c r="X52" s="35"/>
      <c r="Y52" s="36"/>
      <c r="Z52" s="1">
        <f t="shared" si="3"/>
        <v>0</v>
      </c>
      <c r="AC52" s="17">
        <v>49</v>
      </c>
      <c r="AD52" s="2" t="s">
        <v>24</v>
      </c>
      <c r="AE52" s="35"/>
      <c r="AF52" s="36"/>
      <c r="AG52" s="1">
        <f t="shared" si="4"/>
        <v>0</v>
      </c>
    </row>
    <row r="53" spans="1:33" ht="18.75" x14ac:dyDescent="0.3">
      <c r="A53" s="17">
        <v>51</v>
      </c>
      <c r="B53" s="2" t="s">
        <v>33</v>
      </c>
      <c r="C53" s="35">
        <f>824.93</f>
        <v>824.93</v>
      </c>
      <c r="D53" s="36">
        <v>30</v>
      </c>
      <c r="E53" s="1">
        <f t="shared" si="0"/>
        <v>24747.899999999998</v>
      </c>
      <c r="H53" s="17">
        <v>50</v>
      </c>
      <c r="I53" s="2" t="s">
        <v>33</v>
      </c>
      <c r="J53" s="35">
        <f>126.47+374</f>
        <v>500.47</v>
      </c>
      <c r="K53" s="36">
        <v>34</v>
      </c>
      <c r="L53" s="1">
        <f t="shared" si="1"/>
        <v>17015.98</v>
      </c>
      <c r="O53" s="17">
        <v>50</v>
      </c>
      <c r="P53" s="2" t="s">
        <v>33</v>
      </c>
      <c r="Q53" s="35"/>
      <c r="R53" s="36"/>
      <c r="S53" s="1">
        <f t="shared" si="2"/>
        <v>0</v>
      </c>
      <c r="V53" s="17">
        <v>50</v>
      </c>
      <c r="W53" s="2" t="s">
        <v>33</v>
      </c>
      <c r="X53" s="35">
        <v>349</v>
      </c>
      <c r="Y53" s="36">
        <v>33</v>
      </c>
      <c r="Z53" s="1">
        <f t="shared" si="3"/>
        <v>11517</v>
      </c>
      <c r="AC53" s="17">
        <v>50</v>
      </c>
      <c r="AD53" s="2" t="s">
        <v>33</v>
      </c>
      <c r="AE53" s="35">
        <v>369</v>
      </c>
      <c r="AF53" s="36">
        <v>31</v>
      </c>
      <c r="AG53" s="1">
        <f t="shared" si="4"/>
        <v>11439</v>
      </c>
    </row>
    <row r="54" spans="1:33" ht="18.75" x14ac:dyDescent="0.3">
      <c r="A54" s="17">
        <v>52</v>
      </c>
      <c r="B54" s="2" t="s">
        <v>113</v>
      </c>
      <c r="C54" s="35"/>
      <c r="D54" s="36"/>
      <c r="E54" s="1">
        <f t="shared" si="0"/>
        <v>0</v>
      </c>
      <c r="H54" s="17">
        <v>51</v>
      </c>
      <c r="I54" s="2" t="s">
        <v>113</v>
      </c>
      <c r="J54" s="35"/>
      <c r="K54" s="36"/>
      <c r="L54" s="1">
        <f t="shared" si="1"/>
        <v>0</v>
      </c>
      <c r="O54" s="17">
        <v>51</v>
      </c>
      <c r="P54" s="2" t="s">
        <v>113</v>
      </c>
      <c r="Q54" s="35"/>
      <c r="R54" s="36"/>
      <c r="S54" s="1">
        <f t="shared" si="2"/>
        <v>0</v>
      </c>
      <c r="V54" s="17">
        <v>51</v>
      </c>
      <c r="W54" s="2" t="s">
        <v>113</v>
      </c>
      <c r="X54" s="35"/>
      <c r="Y54" s="36"/>
      <c r="Z54" s="1">
        <f t="shared" si="3"/>
        <v>0</v>
      </c>
      <c r="AC54" s="17">
        <v>51</v>
      </c>
      <c r="AD54" s="2" t="s">
        <v>113</v>
      </c>
      <c r="AE54" s="35"/>
      <c r="AF54" s="36"/>
      <c r="AG54" s="1">
        <f t="shared" si="4"/>
        <v>0</v>
      </c>
    </row>
    <row r="55" spans="1:33" ht="18.75" x14ac:dyDescent="0.3">
      <c r="A55" s="17">
        <v>53</v>
      </c>
      <c r="B55" s="2" t="s">
        <v>81</v>
      </c>
      <c r="C55" s="35"/>
      <c r="D55" s="36"/>
      <c r="E55" s="1">
        <f t="shared" si="0"/>
        <v>0</v>
      </c>
      <c r="H55" s="17">
        <v>52</v>
      </c>
      <c r="I55" s="2" t="s">
        <v>81</v>
      </c>
      <c r="J55" s="35">
        <v>7.5</v>
      </c>
      <c r="K55" s="36">
        <v>44</v>
      </c>
      <c r="L55" s="1">
        <f t="shared" si="1"/>
        <v>330</v>
      </c>
      <c r="O55" s="17">
        <v>52</v>
      </c>
      <c r="P55" s="2" t="s">
        <v>81</v>
      </c>
      <c r="Q55" s="35"/>
      <c r="R55" s="36"/>
      <c r="S55" s="1">
        <f t="shared" si="2"/>
        <v>0</v>
      </c>
      <c r="V55" s="17">
        <v>52</v>
      </c>
      <c r="W55" s="2" t="s">
        <v>81</v>
      </c>
      <c r="X55" s="35"/>
      <c r="Y55" s="36"/>
      <c r="Z55" s="1">
        <f t="shared" si="3"/>
        <v>0</v>
      </c>
      <c r="AC55" s="17">
        <v>52</v>
      </c>
      <c r="AD55" s="2" t="s">
        <v>81</v>
      </c>
      <c r="AE55" s="35"/>
      <c r="AF55" s="36"/>
      <c r="AG55" s="1">
        <f t="shared" si="4"/>
        <v>0</v>
      </c>
    </row>
    <row r="56" spans="1:33" ht="18.75" x14ac:dyDescent="0.3">
      <c r="A56" s="17">
        <v>54</v>
      </c>
      <c r="B56" s="2" t="s">
        <v>141</v>
      </c>
      <c r="C56" s="35"/>
      <c r="D56" s="36"/>
      <c r="E56" s="1">
        <f t="shared" si="0"/>
        <v>0</v>
      </c>
      <c r="H56" s="17">
        <v>53</v>
      </c>
      <c r="I56" s="2" t="s">
        <v>141</v>
      </c>
      <c r="J56" s="35">
        <v>3.5</v>
      </c>
      <c r="K56" s="36">
        <v>60</v>
      </c>
      <c r="L56" s="1">
        <f t="shared" si="1"/>
        <v>210</v>
      </c>
      <c r="O56" s="17">
        <v>53</v>
      </c>
      <c r="P56" s="2" t="s">
        <v>114</v>
      </c>
      <c r="Q56" s="35">
        <v>8.5</v>
      </c>
      <c r="R56" s="36">
        <v>60</v>
      </c>
      <c r="S56" s="1">
        <f t="shared" si="2"/>
        <v>510</v>
      </c>
      <c r="V56" s="17">
        <v>53</v>
      </c>
      <c r="W56" s="2" t="s">
        <v>114</v>
      </c>
      <c r="X56" s="35">
        <v>8.4</v>
      </c>
      <c r="Y56" s="36">
        <v>62</v>
      </c>
      <c r="Z56" s="1">
        <f t="shared" si="3"/>
        <v>520.80000000000007</v>
      </c>
      <c r="AC56" s="17">
        <v>53</v>
      </c>
      <c r="AD56" s="2" t="s">
        <v>12</v>
      </c>
      <c r="AE56" s="35">
        <v>42</v>
      </c>
      <c r="AF56" s="36">
        <v>42</v>
      </c>
      <c r="AG56" s="1">
        <f t="shared" si="4"/>
        <v>1764</v>
      </c>
    </row>
    <row r="57" spans="1:33" ht="18.75" x14ac:dyDescent="0.3">
      <c r="A57" s="17">
        <v>55</v>
      </c>
      <c r="B57" s="2" t="s">
        <v>54</v>
      </c>
      <c r="C57" s="34">
        <v>51.5</v>
      </c>
      <c r="D57" s="3">
        <v>43</v>
      </c>
      <c r="E57" s="1">
        <f t="shared" si="0"/>
        <v>2214.5</v>
      </c>
      <c r="H57" s="17">
        <v>54</v>
      </c>
      <c r="I57" s="2" t="s">
        <v>54</v>
      </c>
      <c r="J57" s="34"/>
      <c r="K57" s="3"/>
      <c r="L57" s="1">
        <f t="shared" si="1"/>
        <v>0</v>
      </c>
      <c r="O57" s="17">
        <v>54</v>
      </c>
      <c r="P57" s="2" t="s">
        <v>54</v>
      </c>
      <c r="Q57" s="34"/>
      <c r="R57" s="3"/>
      <c r="S57" s="1">
        <f t="shared" si="2"/>
        <v>0</v>
      </c>
      <c r="V57" s="17">
        <v>54</v>
      </c>
      <c r="W57" s="2" t="s">
        <v>54</v>
      </c>
      <c r="X57" s="34"/>
      <c r="Y57" s="3"/>
      <c r="Z57" s="1">
        <f t="shared" si="3"/>
        <v>0</v>
      </c>
      <c r="AC57" s="17">
        <v>54</v>
      </c>
      <c r="AD57" s="2" t="s">
        <v>54</v>
      </c>
      <c r="AE57" s="34"/>
      <c r="AF57" s="3"/>
      <c r="AG57" s="1">
        <f t="shared" si="4"/>
        <v>0</v>
      </c>
    </row>
    <row r="58" spans="1:33" ht="18.75" x14ac:dyDescent="0.3">
      <c r="A58" s="17">
        <v>56</v>
      </c>
      <c r="B58" s="2" t="s">
        <v>138</v>
      </c>
      <c r="C58" s="35"/>
      <c r="D58" s="36"/>
      <c r="E58" s="1">
        <f t="shared" si="0"/>
        <v>0</v>
      </c>
      <c r="H58" s="17">
        <v>55</v>
      </c>
      <c r="I58" s="2" t="s">
        <v>138</v>
      </c>
      <c r="J58" s="35">
        <v>7.25</v>
      </c>
      <c r="K58" s="36">
        <v>58</v>
      </c>
      <c r="L58" s="1">
        <f t="shared" si="1"/>
        <v>420.5</v>
      </c>
      <c r="O58" s="17">
        <v>55</v>
      </c>
      <c r="P58" s="2" t="s">
        <v>138</v>
      </c>
      <c r="Q58" s="35">
        <v>6.5</v>
      </c>
      <c r="R58" s="36">
        <v>48</v>
      </c>
      <c r="S58" s="1">
        <f t="shared" si="2"/>
        <v>312</v>
      </c>
      <c r="V58" s="17">
        <v>55</v>
      </c>
      <c r="W58" s="2" t="s">
        <v>110</v>
      </c>
      <c r="X58" s="35"/>
      <c r="Y58" s="36"/>
      <c r="Z58" s="1">
        <f t="shared" si="3"/>
        <v>0</v>
      </c>
      <c r="AC58" s="17">
        <v>55</v>
      </c>
      <c r="AD58" s="2" t="s">
        <v>110</v>
      </c>
      <c r="AE58" s="35"/>
      <c r="AF58" s="36"/>
      <c r="AG58" s="1">
        <f t="shared" si="4"/>
        <v>0</v>
      </c>
    </row>
    <row r="59" spans="1:33" ht="18.75" x14ac:dyDescent="0.3">
      <c r="A59" s="17">
        <v>57</v>
      </c>
      <c r="B59" s="2" t="s">
        <v>15</v>
      </c>
      <c r="C59" s="35">
        <v>39.5</v>
      </c>
      <c r="D59" s="36">
        <v>70</v>
      </c>
      <c r="E59" s="1">
        <f t="shared" si="0"/>
        <v>2765</v>
      </c>
      <c r="H59" s="17">
        <v>56</v>
      </c>
      <c r="I59" s="2" t="s">
        <v>15</v>
      </c>
      <c r="J59" s="35">
        <v>45</v>
      </c>
      <c r="K59" s="36">
        <v>70</v>
      </c>
      <c r="L59" s="1">
        <f t="shared" si="1"/>
        <v>3150</v>
      </c>
      <c r="O59" s="17">
        <v>56</v>
      </c>
      <c r="P59" s="2" t="s">
        <v>15</v>
      </c>
      <c r="Q59" s="35">
        <v>63.5</v>
      </c>
      <c r="R59" s="36">
        <v>70</v>
      </c>
      <c r="S59" s="1">
        <f t="shared" si="2"/>
        <v>4445</v>
      </c>
      <c r="V59" s="17">
        <v>56</v>
      </c>
      <c r="W59" s="2" t="s">
        <v>15</v>
      </c>
      <c r="X59" s="35">
        <v>2.6</v>
      </c>
      <c r="Y59" s="36">
        <v>76</v>
      </c>
      <c r="Z59" s="1">
        <f t="shared" si="3"/>
        <v>197.6</v>
      </c>
      <c r="AC59" s="17">
        <v>56</v>
      </c>
      <c r="AD59" s="2" t="s">
        <v>15</v>
      </c>
      <c r="AE59" s="35"/>
      <c r="AF59" s="36"/>
      <c r="AG59" s="1">
        <f t="shared" si="4"/>
        <v>0</v>
      </c>
    </row>
    <row r="60" spans="1:33" ht="18.75" x14ac:dyDescent="0.3">
      <c r="A60" s="17">
        <v>58</v>
      </c>
      <c r="B60" s="2" t="s">
        <v>58</v>
      </c>
      <c r="C60" s="35"/>
      <c r="D60" s="36"/>
      <c r="E60" s="3">
        <f t="shared" si="0"/>
        <v>0</v>
      </c>
      <c r="H60" s="17">
        <v>57</v>
      </c>
      <c r="I60" s="2" t="s">
        <v>58</v>
      </c>
      <c r="J60" s="35">
        <v>3</v>
      </c>
      <c r="K60" s="36">
        <v>14</v>
      </c>
      <c r="L60" s="3">
        <f t="shared" si="1"/>
        <v>42</v>
      </c>
      <c r="O60" s="17">
        <v>57</v>
      </c>
      <c r="P60" s="2" t="s">
        <v>58</v>
      </c>
      <c r="Q60" s="35">
        <v>5</v>
      </c>
      <c r="R60" s="36">
        <v>14</v>
      </c>
      <c r="S60" s="3">
        <f t="shared" si="2"/>
        <v>70</v>
      </c>
      <c r="V60" s="17">
        <v>57</v>
      </c>
      <c r="W60" s="2" t="s">
        <v>58</v>
      </c>
      <c r="X60" s="35">
        <v>1</v>
      </c>
      <c r="Y60" s="36">
        <v>14</v>
      </c>
      <c r="Z60" s="3">
        <f t="shared" si="3"/>
        <v>14</v>
      </c>
      <c r="AC60" s="17">
        <v>57</v>
      </c>
      <c r="AD60" s="2" t="s">
        <v>58</v>
      </c>
      <c r="AE60" s="35">
        <v>5</v>
      </c>
      <c r="AF60" s="36">
        <v>14</v>
      </c>
      <c r="AG60" s="3">
        <f t="shared" si="4"/>
        <v>70</v>
      </c>
    </row>
    <row r="61" spans="1:33" ht="18.75" x14ac:dyDescent="0.3">
      <c r="A61" s="17">
        <v>59</v>
      </c>
      <c r="B61" s="2" t="s">
        <v>60</v>
      </c>
      <c r="C61" s="35"/>
      <c r="D61" s="36"/>
      <c r="E61" s="1">
        <f t="shared" si="0"/>
        <v>0</v>
      </c>
      <c r="H61" s="17">
        <v>58</v>
      </c>
      <c r="I61" s="2" t="s">
        <v>60</v>
      </c>
      <c r="J61" s="35"/>
      <c r="K61" s="36"/>
      <c r="L61" s="1">
        <f t="shared" si="1"/>
        <v>0</v>
      </c>
      <c r="O61" s="17">
        <v>58</v>
      </c>
      <c r="P61" s="2" t="s">
        <v>60</v>
      </c>
      <c r="Q61" s="35"/>
      <c r="R61" s="36"/>
      <c r="S61" s="1">
        <f t="shared" si="2"/>
        <v>0</v>
      </c>
      <c r="V61" s="17">
        <v>58</v>
      </c>
      <c r="W61" s="2" t="s">
        <v>60</v>
      </c>
      <c r="X61" s="35"/>
      <c r="Y61" s="36"/>
      <c r="Z61" s="1">
        <f t="shared" si="3"/>
        <v>0</v>
      </c>
      <c r="AC61" s="17">
        <v>58</v>
      </c>
      <c r="AD61" s="2" t="s">
        <v>60</v>
      </c>
      <c r="AE61" s="35"/>
      <c r="AF61" s="36"/>
      <c r="AG61" s="1">
        <f t="shared" si="4"/>
        <v>0</v>
      </c>
    </row>
    <row r="62" spans="1:33" ht="18.75" x14ac:dyDescent="0.3">
      <c r="A62" s="17">
        <v>60</v>
      </c>
      <c r="B62" s="2" t="s">
        <v>31</v>
      </c>
      <c r="C62" s="35"/>
      <c r="D62" s="36"/>
      <c r="E62" s="3">
        <f t="shared" si="0"/>
        <v>0</v>
      </c>
      <c r="H62" s="17">
        <v>59</v>
      </c>
      <c r="I62" s="2" t="s">
        <v>31</v>
      </c>
      <c r="J62" s="35"/>
      <c r="K62" s="36"/>
      <c r="L62" s="3">
        <f t="shared" si="1"/>
        <v>0</v>
      </c>
      <c r="O62" s="17">
        <v>59</v>
      </c>
      <c r="P62" s="2" t="s">
        <v>31</v>
      </c>
      <c r="Q62" s="35"/>
      <c r="R62" s="36"/>
      <c r="S62" s="3">
        <f t="shared" si="2"/>
        <v>0</v>
      </c>
      <c r="V62" s="17">
        <v>59</v>
      </c>
      <c r="W62" s="2" t="s">
        <v>31</v>
      </c>
      <c r="X62" s="35"/>
      <c r="Y62" s="36"/>
      <c r="Z62" s="3">
        <f t="shared" si="3"/>
        <v>0</v>
      </c>
      <c r="AC62" s="17">
        <v>59</v>
      </c>
      <c r="AD62" s="2" t="s">
        <v>31</v>
      </c>
      <c r="AE62" s="35"/>
      <c r="AF62" s="36"/>
      <c r="AG62" s="3">
        <f t="shared" si="4"/>
        <v>0</v>
      </c>
    </row>
    <row r="63" spans="1:33" ht="18.75" x14ac:dyDescent="0.3">
      <c r="A63" s="17">
        <v>61</v>
      </c>
      <c r="B63" s="2" t="s">
        <v>87</v>
      </c>
      <c r="C63" s="35">
        <v>9</v>
      </c>
      <c r="D63" s="36">
        <v>80</v>
      </c>
      <c r="E63" s="1">
        <f t="shared" si="0"/>
        <v>720</v>
      </c>
      <c r="H63" s="17">
        <v>60</v>
      </c>
      <c r="I63" s="2" t="s">
        <v>87</v>
      </c>
      <c r="J63" s="35">
        <v>2.04</v>
      </c>
      <c r="K63" s="36">
        <v>65</v>
      </c>
      <c r="L63" s="1">
        <f t="shared" si="1"/>
        <v>132.6</v>
      </c>
      <c r="O63" s="17">
        <v>60</v>
      </c>
      <c r="P63" s="2" t="s">
        <v>87</v>
      </c>
      <c r="Q63" s="35">
        <v>7</v>
      </c>
      <c r="R63" s="36">
        <v>84</v>
      </c>
      <c r="S63" s="1">
        <f t="shared" si="2"/>
        <v>588</v>
      </c>
      <c r="V63" s="17">
        <v>60</v>
      </c>
      <c r="W63" s="2" t="s">
        <v>87</v>
      </c>
      <c r="X63" s="35">
        <v>8.5</v>
      </c>
      <c r="Y63" s="36">
        <v>80</v>
      </c>
      <c r="Z63" s="1">
        <f t="shared" si="3"/>
        <v>680</v>
      </c>
      <c r="AC63" s="17">
        <v>60</v>
      </c>
      <c r="AD63" s="2" t="s">
        <v>87</v>
      </c>
      <c r="AE63" s="35">
        <v>9.5</v>
      </c>
      <c r="AF63" s="36">
        <v>80</v>
      </c>
      <c r="AG63" s="1">
        <f t="shared" si="4"/>
        <v>760</v>
      </c>
    </row>
    <row r="64" spans="1:33" ht="18.75" x14ac:dyDescent="0.3">
      <c r="A64" s="17">
        <v>62</v>
      </c>
      <c r="B64" s="2" t="s">
        <v>63</v>
      </c>
      <c r="C64" s="35">
        <v>1</v>
      </c>
      <c r="D64" s="36">
        <v>780</v>
      </c>
      <c r="E64" s="1">
        <f t="shared" si="0"/>
        <v>780</v>
      </c>
      <c r="H64" s="17">
        <v>61</v>
      </c>
      <c r="I64" s="2" t="s">
        <v>63</v>
      </c>
      <c r="J64" s="35"/>
      <c r="K64" s="36"/>
      <c r="L64" s="1">
        <f t="shared" si="1"/>
        <v>0</v>
      </c>
      <c r="O64" s="17">
        <v>61</v>
      </c>
      <c r="P64" s="2" t="s">
        <v>63</v>
      </c>
      <c r="Q64" s="35">
        <v>1</v>
      </c>
      <c r="R64" s="36">
        <v>780</v>
      </c>
      <c r="S64" s="1">
        <f t="shared" si="2"/>
        <v>780</v>
      </c>
      <c r="V64" s="17">
        <v>61</v>
      </c>
      <c r="W64" s="2" t="s">
        <v>63</v>
      </c>
      <c r="X64" s="35"/>
      <c r="Y64" s="36"/>
      <c r="Z64" s="1">
        <f t="shared" si="3"/>
        <v>0</v>
      </c>
      <c r="AC64" s="17">
        <v>61</v>
      </c>
      <c r="AD64" s="2" t="s">
        <v>63</v>
      </c>
      <c r="AE64" s="35">
        <v>1</v>
      </c>
      <c r="AF64" s="36">
        <v>780</v>
      </c>
      <c r="AG64" s="1">
        <f t="shared" si="4"/>
        <v>780</v>
      </c>
    </row>
    <row r="65" spans="1:33" ht="18.75" x14ac:dyDescent="0.3">
      <c r="A65" s="17">
        <v>63</v>
      </c>
      <c r="B65" s="2" t="s">
        <v>78</v>
      </c>
      <c r="C65" s="35"/>
      <c r="D65" s="36"/>
      <c r="E65" s="1">
        <f t="shared" si="0"/>
        <v>0</v>
      </c>
      <c r="H65" s="17">
        <v>62</v>
      </c>
      <c r="I65" s="2" t="s">
        <v>78</v>
      </c>
      <c r="J65" s="35"/>
      <c r="K65" s="36"/>
      <c r="L65" s="1">
        <f t="shared" si="1"/>
        <v>0</v>
      </c>
      <c r="O65" s="17">
        <v>62</v>
      </c>
      <c r="P65" s="2" t="s">
        <v>78</v>
      </c>
      <c r="Q65" s="35"/>
      <c r="R65" s="36"/>
      <c r="S65" s="1">
        <f t="shared" si="2"/>
        <v>0</v>
      </c>
      <c r="V65" s="17">
        <v>62</v>
      </c>
      <c r="W65" s="2" t="s">
        <v>78</v>
      </c>
      <c r="X65" s="35"/>
      <c r="Y65" s="36"/>
      <c r="Z65" s="1">
        <f t="shared" si="3"/>
        <v>0</v>
      </c>
      <c r="AC65" s="17">
        <v>62</v>
      </c>
      <c r="AD65" s="2" t="s">
        <v>78</v>
      </c>
      <c r="AE65" s="35"/>
      <c r="AF65" s="36"/>
      <c r="AG65" s="1">
        <f t="shared" si="4"/>
        <v>0</v>
      </c>
    </row>
    <row r="66" spans="1:33" ht="18.75" x14ac:dyDescent="0.3">
      <c r="A66" s="17">
        <v>64</v>
      </c>
      <c r="B66" s="2" t="s">
        <v>59</v>
      </c>
      <c r="C66" s="35">
        <v>0.99</v>
      </c>
      <c r="D66" s="36">
        <v>76</v>
      </c>
      <c r="E66" s="1">
        <f t="shared" si="0"/>
        <v>75.239999999999995</v>
      </c>
      <c r="H66" s="17">
        <v>63</v>
      </c>
      <c r="I66" s="2" t="s">
        <v>59</v>
      </c>
      <c r="J66" s="35">
        <v>1.64</v>
      </c>
      <c r="K66" s="36">
        <v>76</v>
      </c>
      <c r="L66" s="1">
        <f t="shared" si="1"/>
        <v>124.63999999999999</v>
      </c>
      <c r="O66" s="17">
        <v>63</v>
      </c>
      <c r="P66" s="2" t="s">
        <v>59</v>
      </c>
      <c r="Q66" s="35">
        <v>1.64</v>
      </c>
      <c r="R66" s="36">
        <v>76</v>
      </c>
      <c r="S66" s="1">
        <f t="shared" si="2"/>
        <v>124.63999999999999</v>
      </c>
      <c r="V66" s="17">
        <v>63</v>
      </c>
      <c r="W66" s="2" t="s">
        <v>59</v>
      </c>
      <c r="X66" s="35"/>
      <c r="Y66" s="36"/>
      <c r="Z66" s="1">
        <f t="shared" si="3"/>
        <v>0</v>
      </c>
      <c r="AC66" s="17">
        <v>63</v>
      </c>
      <c r="AD66" s="2" t="s">
        <v>59</v>
      </c>
      <c r="AE66" s="35">
        <v>3.835</v>
      </c>
      <c r="AF66" s="36">
        <v>74</v>
      </c>
      <c r="AG66" s="1">
        <f t="shared" si="4"/>
        <v>283.79000000000002</v>
      </c>
    </row>
    <row r="67" spans="1:33" ht="18.75" x14ac:dyDescent="0.3">
      <c r="A67" s="17">
        <v>65</v>
      </c>
      <c r="B67" s="2" t="s">
        <v>30</v>
      </c>
      <c r="C67" s="35">
        <v>6</v>
      </c>
      <c r="D67" s="36">
        <v>42</v>
      </c>
      <c r="E67" s="1">
        <f t="shared" si="0"/>
        <v>252</v>
      </c>
      <c r="H67" s="17">
        <v>64</v>
      </c>
      <c r="I67" s="2" t="s">
        <v>30</v>
      </c>
      <c r="J67" s="35">
        <v>11</v>
      </c>
      <c r="K67" s="36">
        <v>42</v>
      </c>
      <c r="L67" s="1">
        <f t="shared" si="1"/>
        <v>462</v>
      </c>
      <c r="O67" s="17">
        <v>64</v>
      </c>
      <c r="P67" s="2" t="s">
        <v>30</v>
      </c>
      <c r="Q67" s="35">
        <v>9</v>
      </c>
      <c r="R67" s="36">
        <v>40</v>
      </c>
      <c r="S67" s="1">
        <f t="shared" si="2"/>
        <v>360</v>
      </c>
      <c r="V67" s="17">
        <v>64</v>
      </c>
      <c r="W67" s="2" t="s">
        <v>30</v>
      </c>
      <c r="X67" s="35"/>
      <c r="Y67" s="36"/>
      <c r="Z67" s="1">
        <f t="shared" si="3"/>
        <v>0</v>
      </c>
      <c r="AC67" s="17">
        <v>64</v>
      </c>
      <c r="AD67" s="2" t="s">
        <v>30</v>
      </c>
      <c r="AE67" s="35">
        <v>19</v>
      </c>
      <c r="AF67" s="36">
        <v>25</v>
      </c>
      <c r="AG67" s="1">
        <f t="shared" si="4"/>
        <v>475</v>
      </c>
    </row>
    <row r="68" spans="1:33" ht="19.5" thickBot="1" x14ac:dyDescent="0.35">
      <c r="A68" s="17">
        <v>66</v>
      </c>
      <c r="B68" s="2" t="s">
        <v>117</v>
      </c>
      <c r="C68" s="34"/>
      <c r="D68" s="3"/>
      <c r="E68" s="1">
        <f t="shared" ref="E68" si="5">D68*C68</f>
        <v>0</v>
      </c>
      <c r="H68" s="17">
        <v>65</v>
      </c>
      <c r="I68" s="2" t="s">
        <v>117</v>
      </c>
      <c r="J68" s="34"/>
      <c r="K68" s="3"/>
      <c r="L68" s="1">
        <f t="shared" ref="L68" si="6">K68*J68</f>
        <v>0</v>
      </c>
      <c r="O68" s="17">
        <v>65</v>
      </c>
      <c r="P68" s="2" t="s">
        <v>117</v>
      </c>
      <c r="Q68" s="34"/>
      <c r="R68" s="3"/>
      <c r="S68" s="1">
        <f t="shared" ref="S68" si="7">R68*Q68</f>
        <v>0</v>
      </c>
      <c r="V68" s="17">
        <v>65</v>
      </c>
      <c r="W68" s="2" t="s">
        <v>117</v>
      </c>
      <c r="X68" s="34"/>
      <c r="Y68" s="3"/>
      <c r="Z68" s="1">
        <f t="shared" ref="Z68" si="8">Y68*X68</f>
        <v>0</v>
      </c>
      <c r="AC68" s="17">
        <v>65</v>
      </c>
      <c r="AD68" s="2" t="s">
        <v>117</v>
      </c>
      <c r="AE68" s="34"/>
      <c r="AF68" s="3"/>
      <c r="AG68" s="1">
        <f t="shared" ref="AG68" si="9">AF68*AE68</f>
        <v>0</v>
      </c>
    </row>
    <row r="69" spans="1:33" ht="19.5" thickBot="1" x14ac:dyDescent="0.35">
      <c r="B69" s="2"/>
      <c r="C69" s="34"/>
      <c r="D69" s="30" t="s">
        <v>40</v>
      </c>
      <c r="E69" s="31">
        <f>SUM(E3:E68)</f>
        <v>198095.74000000002</v>
      </c>
      <c r="I69" s="2"/>
      <c r="J69" s="34"/>
      <c r="K69" s="30" t="s">
        <v>40</v>
      </c>
      <c r="L69" s="31">
        <f>SUM(L4:L68)</f>
        <v>132398.45500000002</v>
      </c>
      <c r="P69" s="2"/>
      <c r="Q69" s="34"/>
      <c r="R69" s="30" t="s">
        <v>40</v>
      </c>
      <c r="S69" s="31">
        <f>SUM(S4:S68)</f>
        <v>141595.1</v>
      </c>
      <c r="W69" s="2"/>
      <c r="X69" s="34"/>
      <c r="Y69" s="30" t="s">
        <v>40</v>
      </c>
      <c r="Z69" s="31">
        <f>SUM(Z4:Z68)</f>
        <v>126003.34000000003</v>
      </c>
      <c r="AD69" s="2"/>
      <c r="AE69" s="34"/>
      <c r="AF69" s="30" t="s">
        <v>40</v>
      </c>
      <c r="AG69" s="31">
        <f>SUM(AG4:AG68)</f>
        <v>156375.63000000003</v>
      </c>
    </row>
  </sheetData>
  <sortState ref="AD3:AF67">
    <sortCondition ref="AD3:AD67"/>
  </sortState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Z69"/>
  <sheetViews>
    <sheetView workbookViewId="0">
      <selection sqref="A1:F1048576"/>
    </sheetView>
  </sheetViews>
  <sheetFormatPr baseColWidth="10" defaultRowHeight="15" x14ac:dyDescent="0.25"/>
  <cols>
    <col min="1" max="1" width="11.42578125" style="17"/>
    <col min="2" max="2" width="24.28515625" customWidth="1"/>
    <col min="3" max="3" width="14.140625" bestFit="1" customWidth="1"/>
    <col min="4" max="4" width="12.28515625" bestFit="1" customWidth="1"/>
    <col min="5" max="5" width="17.42578125" bestFit="1" customWidth="1"/>
    <col min="8" max="8" width="11.42578125" style="17"/>
    <col min="9" max="9" width="24.28515625" customWidth="1"/>
    <col min="10" max="10" width="14.140625" bestFit="1" customWidth="1"/>
    <col min="11" max="11" width="12.28515625" bestFit="1" customWidth="1"/>
    <col min="12" max="12" width="17.42578125" bestFit="1" customWidth="1"/>
    <col min="15" max="15" width="11.42578125" style="17"/>
    <col min="16" max="16" width="24.28515625" customWidth="1"/>
    <col min="17" max="17" width="14.140625" bestFit="1" customWidth="1"/>
    <col min="18" max="18" width="12.28515625" bestFit="1" customWidth="1"/>
    <col min="19" max="19" width="17.42578125" bestFit="1" customWidth="1"/>
    <col min="22" max="22" width="11.42578125" style="17"/>
    <col min="23" max="23" width="24.28515625" customWidth="1"/>
    <col min="24" max="24" width="14.140625" bestFit="1" customWidth="1"/>
    <col min="25" max="25" width="12.28515625" bestFit="1" customWidth="1"/>
    <col min="26" max="26" width="17.42578125" bestFit="1" customWidth="1"/>
  </cols>
  <sheetData>
    <row r="1" spans="1:26" ht="18.75" x14ac:dyDescent="0.3">
      <c r="B1" s="2"/>
      <c r="C1" s="34"/>
      <c r="D1" s="3"/>
      <c r="E1" s="2"/>
      <c r="I1" s="2"/>
      <c r="J1" s="34"/>
      <c r="K1" s="3"/>
      <c r="L1" s="2"/>
      <c r="P1" s="2"/>
      <c r="Q1" s="34"/>
      <c r="R1" s="3"/>
      <c r="S1" s="2"/>
      <c r="W1" s="2"/>
      <c r="X1" s="34"/>
      <c r="Y1" s="3"/>
      <c r="Z1" s="2"/>
    </row>
    <row r="2" spans="1:26" ht="19.5" thickBot="1" x14ac:dyDescent="0.35">
      <c r="B2" s="24" t="s">
        <v>153</v>
      </c>
      <c r="C2" s="32"/>
      <c r="D2" s="26"/>
      <c r="E2" s="27"/>
      <c r="I2" s="24" t="s">
        <v>149</v>
      </c>
      <c r="J2" s="32"/>
      <c r="K2" s="26"/>
      <c r="L2" s="27"/>
      <c r="P2" s="24" t="s">
        <v>148</v>
      </c>
      <c r="Q2" s="32"/>
      <c r="R2" s="26"/>
      <c r="S2" s="27"/>
      <c r="W2" s="24" t="s">
        <v>147</v>
      </c>
      <c r="X2" s="32"/>
      <c r="Y2" s="26"/>
      <c r="Z2" s="27"/>
    </row>
    <row r="3" spans="1:26" ht="19.5" thickTop="1" x14ac:dyDescent="0.3">
      <c r="A3" s="17">
        <v>1</v>
      </c>
      <c r="B3" s="44" t="s">
        <v>145</v>
      </c>
      <c r="C3" s="37"/>
      <c r="D3" s="38"/>
      <c r="E3" s="1">
        <f t="shared" ref="E3:E67" si="0">D3*C3</f>
        <v>0</v>
      </c>
      <c r="H3" s="17">
        <v>1</v>
      </c>
      <c r="I3" s="44" t="s">
        <v>145</v>
      </c>
      <c r="J3" s="37"/>
      <c r="K3" s="38"/>
      <c r="L3" s="1">
        <f t="shared" ref="L3:L67" si="1">K3*J3</f>
        <v>0</v>
      </c>
      <c r="O3" s="17">
        <v>1</v>
      </c>
      <c r="P3" s="44" t="s">
        <v>145</v>
      </c>
      <c r="Q3" s="37"/>
      <c r="R3" s="38"/>
      <c r="S3" s="1">
        <f t="shared" ref="S3:S67" si="2">R3*Q3</f>
        <v>0</v>
      </c>
      <c r="V3" s="17">
        <v>1</v>
      </c>
      <c r="W3" s="44" t="s">
        <v>145</v>
      </c>
      <c r="X3" s="37"/>
      <c r="Y3" s="38"/>
      <c r="Z3" s="1">
        <f t="shared" ref="Z3:Z67" si="3">Y3*X3</f>
        <v>0</v>
      </c>
    </row>
    <row r="4" spans="1:26" ht="18.75" x14ac:dyDescent="0.3">
      <c r="A4" s="17">
        <v>2</v>
      </c>
      <c r="B4" s="14" t="s">
        <v>131</v>
      </c>
      <c r="C4" s="33">
        <v>5.5</v>
      </c>
      <c r="D4" s="16">
        <v>38</v>
      </c>
      <c r="E4" s="1">
        <f t="shared" si="0"/>
        <v>209</v>
      </c>
      <c r="H4" s="17">
        <v>2</v>
      </c>
      <c r="I4" s="14" t="s">
        <v>131</v>
      </c>
      <c r="J4" s="33">
        <v>6</v>
      </c>
      <c r="K4" s="16">
        <v>38</v>
      </c>
      <c r="L4" s="1">
        <f t="shared" si="1"/>
        <v>228</v>
      </c>
      <c r="O4" s="17">
        <v>2</v>
      </c>
      <c r="P4" s="14" t="s">
        <v>131</v>
      </c>
      <c r="Q4" s="33">
        <v>6</v>
      </c>
      <c r="R4" s="16">
        <v>38</v>
      </c>
      <c r="S4" s="1">
        <f t="shared" si="2"/>
        <v>228</v>
      </c>
      <c r="V4" s="17">
        <v>2</v>
      </c>
      <c r="W4" s="14" t="s">
        <v>131</v>
      </c>
      <c r="X4" s="33">
        <v>7</v>
      </c>
      <c r="Y4" s="16">
        <v>38</v>
      </c>
      <c r="Z4" s="1">
        <f t="shared" si="3"/>
        <v>266</v>
      </c>
    </row>
    <row r="5" spans="1:26" ht="18.75" x14ac:dyDescent="0.3">
      <c r="A5" s="17">
        <v>3</v>
      </c>
      <c r="B5" s="14" t="s">
        <v>129</v>
      </c>
      <c r="C5" s="37">
        <v>12.85</v>
      </c>
      <c r="D5" s="38">
        <v>60</v>
      </c>
      <c r="E5" s="1">
        <f t="shared" si="0"/>
        <v>771</v>
      </c>
      <c r="H5" s="17">
        <v>3</v>
      </c>
      <c r="I5" s="14" t="s">
        <v>129</v>
      </c>
      <c r="J5" s="37"/>
      <c r="K5" s="38"/>
      <c r="L5" s="1">
        <f t="shared" si="1"/>
        <v>0</v>
      </c>
      <c r="O5" s="17">
        <v>3</v>
      </c>
      <c r="P5" s="14" t="s">
        <v>129</v>
      </c>
      <c r="Q5" s="37"/>
      <c r="R5" s="38"/>
      <c r="S5" s="1">
        <f t="shared" si="2"/>
        <v>0</v>
      </c>
      <c r="V5" s="17">
        <v>3</v>
      </c>
      <c r="W5" s="14" t="s">
        <v>129</v>
      </c>
      <c r="X5" s="37"/>
      <c r="Y5" s="38"/>
      <c r="Z5" s="1">
        <f t="shared" si="3"/>
        <v>0</v>
      </c>
    </row>
    <row r="6" spans="1:26" ht="18.75" x14ac:dyDescent="0.3">
      <c r="A6" s="17">
        <v>4</v>
      </c>
      <c r="B6" s="2" t="s">
        <v>123</v>
      </c>
      <c r="C6" s="34"/>
      <c r="D6" s="3"/>
      <c r="E6" s="1">
        <f t="shared" si="0"/>
        <v>0</v>
      </c>
      <c r="H6" s="17">
        <v>4</v>
      </c>
      <c r="I6" s="2" t="s">
        <v>123</v>
      </c>
      <c r="J6" s="34"/>
      <c r="K6" s="3"/>
      <c r="L6" s="1">
        <f t="shared" si="1"/>
        <v>0</v>
      </c>
      <c r="O6" s="17">
        <v>4</v>
      </c>
      <c r="P6" s="2" t="s">
        <v>123</v>
      </c>
      <c r="Q6" s="34"/>
      <c r="R6" s="3"/>
      <c r="S6" s="1">
        <f t="shared" si="2"/>
        <v>0</v>
      </c>
      <c r="V6" s="17">
        <v>4</v>
      </c>
      <c r="W6" s="2" t="s">
        <v>123</v>
      </c>
      <c r="X6" s="34"/>
      <c r="Y6" s="3"/>
      <c r="Z6" s="1">
        <f t="shared" si="3"/>
        <v>0</v>
      </c>
    </row>
    <row r="7" spans="1:26" ht="18.75" x14ac:dyDescent="0.3">
      <c r="A7" s="17">
        <v>5</v>
      </c>
      <c r="B7" s="2" t="s">
        <v>111</v>
      </c>
      <c r="C7" s="35"/>
      <c r="D7" s="36"/>
      <c r="E7" s="1">
        <f t="shared" si="0"/>
        <v>0</v>
      </c>
      <c r="H7" s="17">
        <v>5</v>
      </c>
      <c r="I7" s="2" t="s">
        <v>111</v>
      </c>
      <c r="J7" s="35"/>
      <c r="K7" s="36"/>
      <c r="L7" s="1">
        <f t="shared" si="1"/>
        <v>0</v>
      </c>
      <c r="O7" s="17">
        <v>5</v>
      </c>
      <c r="P7" s="2" t="s">
        <v>111</v>
      </c>
      <c r="Q7" s="35"/>
      <c r="R7" s="36"/>
      <c r="S7" s="1">
        <f t="shared" si="2"/>
        <v>0</v>
      </c>
      <c r="V7" s="17">
        <v>5</v>
      </c>
      <c r="W7" s="2" t="s">
        <v>111</v>
      </c>
      <c r="X7" s="35"/>
      <c r="Y7" s="36"/>
      <c r="Z7" s="1">
        <f t="shared" si="3"/>
        <v>0</v>
      </c>
    </row>
    <row r="8" spans="1:26" ht="18.75" x14ac:dyDescent="0.3">
      <c r="A8" s="17">
        <v>6</v>
      </c>
      <c r="B8" s="2" t="s">
        <v>44</v>
      </c>
      <c r="C8" s="35">
        <f>32.9+5.6</f>
        <v>38.5</v>
      </c>
      <c r="D8" s="36">
        <v>17</v>
      </c>
      <c r="E8" s="1">
        <f t="shared" si="0"/>
        <v>654.5</v>
      </c>
      <c r="H8" s="17">
        <v>6</v>
      </c>
      <c r="I8" s="2" t="s">
        <v>44</v>
      </c>
      <c r="J8" s="35">
        <v>23.75</v>
      </c>
      <c r="K8" s="36">
        <v>20</v>
      </c>
      <c r="L8" s="1">
        <f t="shared" si="1"/>
        <v>475</v>
      </c>
      <c r="O8" s="17">
        <v>6</v>
      </c>
      <c r="P8" s="2" t="s">
        <v>44</v>
      </c>
      <c r="Q8" s="35"/>
      <c r="R8" s="36"/>
      <c r="S8" s="1">
        <f t="shared" si="2"/>
        <v>0</v>
      </c>
      <c r="V8" s="17">
        <v>6</v>
      </c>
      <c r="W8" s="2" t="s">
        <v>44</v>
      </c>
      <c r="X8" s="35"/>
      <c r="Y8" s="36"/>
      <c r="Z8" s="1">
        <f t="shared" si="3"/>
        <v>0</v>
      </c>
    </row>
    <row r="9" spans="1:26" ht="18.75" x14ac:dyDescent="0.3">
      <c r="A9" s="17">
        <v>7</v>
      </c>
      <c r="B9" s="2" t="s">
        <v>62</v>
      </c>
      <c r="C9" s="35">
        <v>61</v>
      </c>
      <c r="D9" s="36">
        <v>39</v>
      </c>
      <c r="E9" s="3">
        <f t="shared" si="0"/>
        <v>2379</v>
      </c>
      <c r="H9" s="17">
        <v>7</v>
      </c>
      <c r="I9" s="2" t="s">
        <v>62</v>
      </c>
      <c r="J9" s="35">
        <v>71.099999999999994</v>
      </c>
      <c r="K9" s="36">
        <v>39</v>
      </c>
      <c r="L9" s="3">
        <f t="shared" si="1"/>
        <v>2772.8999999999996</v>
      </c>
      <c r="O9" s="17">
        <v>7</v>
      </c>
      <c r="P9" s="2" t="s">
        <v>62</v>
      </c>
      <c r="Q9" s="35">
        <f>53.5+62.5</f>
        <v>116</v>
      </c>
      <c r="R9" s="36">
        <v>40</v>
      </c>
      <c r="S9" s="3">
        <f t="shared" si="2"/>
        <v>4640</v>
      </c>
      <c r="V9" s="17">
        <v>7</v>
      </c>
      <c r="W9" s="2" t="s">
        <v>62</v>
      </c>
      <c r="X9" s="35">
        <v>52</v>
      </c>
      <c r="Y9" s="36">
        <v>40</v>
      </c>
      <c r="Z9" s="3">
        <f t="shared" si="3"/>
        <v>2080</v>
      </c>
    </row>
    <row r="10" spans="1:26" ht="18.75" x14ac:dyDescent="0.3">
      <c r="A10" s="17">
        <v>8</v>
      </c>
      <c r="B10" s="2" t="s">
        <v>116</v>
      </c>
      <c r="C10" s="35">
        <v>21.92</v>
      </c>
      <c r="D10" s="36">
        <v>74</v>
      </c>
      <c r="E10" s="1">
        <f t="shared" si="0"/>
        <v>1622.0800000000002</v>
      </c>
      <c r="H10" s="17">
        <v>8</v>
      </c>
      <c r="I10" s="2" t="s">
        <v>116</v>
      </c>
      <c r="J10" s="35">
        <f>21.92+7.72</f>
        <v>29.64</v>
      </c>
      <c r="K10" s="36">
        <v>76</v>
      </c>
      <c r="L10" s="1">
        <f t="shared" si="1"/>
        <v>2252.64</v>
      </c>
      <c r="O10" s="17">
        <v>8</v>
      </c>
      <c r="P10" s="2" t="s">
        <v>116</v>
      </c>
      <c r="Q10" s="35"/>
      <c r="R10" s="36"/>
      <c r="S10" s="1">
        <f t="shared" si="2"/>
        <v>0</v>
      </c>
      <c r="V10" s="17">
        <v>8</v>
      </c>
      <c r="W10" s="2" t="s">
        <v>116</v>
      </c>
      <c r="X10" s="35">
        <v>13</v>
      </c>
      <c r="Y10" s="36">
        <v>76</v>
      </c>
      <c r="Z10" s="1">
        <f t="shared" si="3"/>
        <v>988</v>
      </c>
    </row>
    <row r="11" spans="1:26" ht="18.75" x14ac:dyDescent="0.3">
      <c r="A11" s="17">
        <v>9</v>
      </c>
      <c r="B11" s="2" t="s">
        <v>115</v>
      </c>
      <c r="C11" s="35"/>
      <c r="D11" s="36"/>
      <c r="E11" s="1">
        <f t="shared" si="0"/>
        <v>0</v>
      </c>
      <c r="H11" s="17">
        <v>9</v>
      </c>
      <c r="I11" s="2" t="s">
        <v>115</v>
      </c>
      <c r="J11" s="35"/>
      <c r="K11" s="36"/>
      <c r="L11" s="1">
        <f t="shared" si="1"/>
        <v>0</v>
      </c>
      <c r="O11" s="17">
        <v>9</v>
      </c>
      <c r="P11" s="2" t="s">
        <v>115</v>
      </c>
      <c r="Q11" s="35"/>
      <c r="R11" s="36"/>
      <c r="S11" s="1">
        <f t="shared" si="2"/>
        <v>0</v>
      </c>
      <c r="V11" s="17">
        <v>9</v>
      </c>
      <c r="W11" s="2" t="s">
        <v>115</v>
      </c>
      <c r="X11" s="35"/>
      <c r="Y11" s="36"/>
      <c r="Z11" s="1">
        <f t="shared" si="3"/>
        <v>0</v>
      </c>
    </row>
    <row r="12" spans="1:26" ht="18.75" x14ac:dyDescent="0.3">
      <c r="A12" s="17">
        <v>10</v>
      </c>
      <c r="B12" s="2" t="s">
        <v>96</v>
      </c>
      <c r="C12" s="35"/>
      <c r="D12" s="36"/>
      <c r="E12" s="1">
        <f t="shared" si="0"/>
        <v>0</v>
      </c>
      <c r="H12" s="17">
        <v>10</v>
      </c>
      <c r="I12" s="2" t="s">
        <v>96</v>
      </c>
      <c r="J12" s="35">
        <v>4.9000000000000004</v>
      </c>
      <c r="K12" s="36">
        <v>32</v>
      </c>
      <c r="L12" s="1">
        <f t="shared" si="1"/>
        <v>156.80000000000001</v>
      </c>
      <c r="O12" s="17">
        <v>10</v>
      </c>
      <c r="P12" s="2" t="s">
        <v>96</v>
      </c>
      <c r="Q12" s="35">
        <v>5.15</v>
      </c>
      <c r="R12" s="36">
        <v>32</v>
      </c>
      <c r="S12" s="1">
        <f t="shared" si="2"/>
        <v>164.8</v>
      </c>
      <c r="V12" s="17">
        <v>10</v>
      </c>
      <c r="W12" s="2" t="s">
        <v>96</v>
      </c>
      <c r="X12" s="35">
        <v>3.46</v>
      </c>
      <c r="Y12" s="36">
        <v>32</v>
      </c>
      <c r="Z12" s="1">
        <f t="shared" si="3"/>
        <v>110.72</v>
      </c>
    </row>
    <row r="13" spans="1:26" ht="18.75" x14ac:dyDescent="0.3">
      <c r="A13" s="17">
        <v>11</v>
      </c>
      <c r="B13" s="2" t="s">
        <v>109</v>
      </c>
      <c r="C13" s="35">
        <v>4.8</v>
      </c>
      <c r="D13" s="36">
        <v>44</v>
      </c>
      <c r="E13" s="1">
        <f t="shared" si="0"/>
        <v>211.2</v>
      </c>
      <c r="H13" s="17">
        <v>11</v>
      </c>
      <c r="I13" s="2" t="s">
        <v>109</v>
      </c>
      <c r="J13" s="35">
        <v>12.4</v>
      </c>
      <c r="K13" s="36">
        <v>49</v>
      </c>
      <c r="L13" s="1">
        <f t="shared" si="1"/>
        <v>607.6</v>
      </c>
      <c r="O13" s="17">
        <v>11</v>
      </c>
      <c r="P13" s="2" t="s">
        <v>109</v>
      </c>
      <c r="Q13" s="35">
        <v>6</v>
      </c>
      <c r="R13" s="36">
        <v>49</v>
      </c>
      <c r="S13" s="1">
        <f t="shared" si="2"/>
        <v>294</v>
      </c>
      <c r="V13" s="17">
        <v>11</v>
      </c>
      <c r="W13" s="2" t="s">
        <v>109</v>
      </c>
      <c r="X13" s="35">
        <v>2</v>
      </c>
      <c r="Y13" s="36">
        <v>49</v>
      </c>
      <c r="Z13" s="1">
        <f t="shared" si="3"/>
        <v>98</v>
      </c>
    </row>
    <row r="14" spans="1:26" ht="18.75" x14ac:dyDescent="0.3">
      <c r="A14" s="17">
        <v>12</v>
      </c>
      <c r="B14" s="2" t="s">
        <v>9</v>
      </c>
      <c r="C14" s="35">
        <f>59+20.1</f>
        <v>79.099999999999994</v>
      </c>
      <c r="D14" s="36">
        <v>22</v>
      </c>
      <c r="E14" s="1">
        <f t="shared" si="0"/>
        <v>1740.1999999999998</v>
      </c>
      <c r="H14" s="17">
        <v>12</v>
      </c>
      <c r="I14" s="2" t="s">
        <v>9</v>
      </c>
      <c r="J14" s="35">
        <v>30.8</v>
      </c>
      <c r="K14" s="36">
        <v>22</v>
      </c>
      <c r="L14" s="1">
        <f t="shared" si="1"/>
        <v>677.6</v>
      </c>
      <c r="O14" s="17">
        <v>12</v>
      </c>
      <c r="P14" s="2" t="s">
        <v>9</v>
      </c>
      <c r="Q14" s="35">
        <f>59+28.6</f>
        <v>87.6</v>
      </c>
      <c r="R14" s="36">
        <v>22</v>
      </c>
      <c r="S14" s="1">
        <f t="shared" si="2"/>
        <v>1927.1999999999998</v>
      </c>
      <c r="V14" s="17">
        <v>12</v>
      </c>
      <c r="W14" s="2" t="s">
        <v>9</v>
      </c>
      <c r="X14" s="35">
        <f>111.5+41.2</f>
        <v>152.69999999999999</v>
      </c>
      <c r="Y14" s="36">
        <v>22</v>
      </c>
      <c r="Z14" s="1">
        <f t="shared" si="3"/>
        <v>3359.3999999999996</v>
      </c>
    </row>
    <row r="15" spans="1:26" ht="18.75" x14ac:dyDescent="0.3">
      <c r="A15" s="17">
        <v>13</v>
      </c>
      <c r="B15" s="2" t="s">
        <v>4</v>
      </c>
      <c r="C15" s="35">
        <v>1046</v>
      </c>
      <c r="D15" s="36">
        <v>30</v>
      </c>
      <c r="E15" s="1">
        <f t="shared" si="0"/>
        <v>31380</v>
      </c>
      <c r="H15" s="17">
        <v>13</v>
      </c>
      <c r="I15" s="2" t="s">
        <v>4</v>
      </c>
      <c r="J15" s="35">
        <f>931.7+929.9</f>
        <v>1861.6</v>
      </c>
      <c r="K15" s="36">
        <v>30.5</v>
      </c>
      <c r="L15" s="1">
        <f t="shared" si="1"/>
        <v>56778.799999999996</v>
      </c>
      <c r="O15" s="17">
        <v>13</v>
      </c>
      <c r="P15" s="2" t="s">
        <v>4</v>
      </c>
      <c r="Q15" s="35">
        <f>1017+890.9+875.74</f>
        <v>2783.6400000000003</v>
      </c>
      <c r="R15" s="36">
        <v>29.5</v>
      </c>
      <c r="S15" s="1">
        <f t="shared" si="2"/>
        <v>82117.38</v>
      </c>
      <c r="V15" s="17">
        <v>13</v>
      </c>
      <c r="W15" s="2" t="s">
        <v>4</v>
      </c>
      <c r="X15" s="35">
        <f>926.2+920.3</f>
        <v>1846.5</v>
      </c>
      <c r="Y15" s="36">
        <v>28.5</v>
      </c>
      <c r="Z15" s="1">
        <f t="shared" si="3"/>
        <v>52625.25</v>
      </c>
    </row>
    <row r="16" spans="1:26" ht="18.75" x14ac:dyDescent="0.3">
      <c r="A16" s="17">
        <v>14</v>
      </c>
      <c r="B16" s="2" t="s">
        <v>35</v>
      </c>
      <c r="C16" s="35">
        <v>10</v>
      </c>
      <c r="D16" s="36">
        <v>14</v>
      </c>
      <c r="E16" s="1">
        <f t="shared" si="0"/>
        <v>140</v>
      </c>
      <c r="H16" s="17">
        <v>14</v>
      </c>
      <c r="I16" s="2" t="s">
        <v>35</v>
      </c>
      <c r="J16" s="35">
        <v>12</v>
      </c>
      <c r="K16" s="36">
        <v>14</v>
      </c>
      <c r="L16" s="1">
        <f t="shared" si="1"/>
        <v>168</v>
      </c>
      <c r="O16" s="17">
        <v>14</v>
      </c>
      <c r="P16" s="2" t="s">
        <v>35</v>
      </c>
      <c r="Q16" s="35">
        <v>12</v>
      </c>
      <c r="R16" s="36">
        <v>14</v>
      </c>
      <c r="S16" s="1">
        <f t="shared" si="2"/>
        <v>168</v>
      </c>
      <c r="V16" s="17">
        <v>14</v>
      </c>
      <c r="W16" s="2" t="s">
        <v>35</v>
      </c>
      <c r="X16" s="35">
        <v>12</v>
      </c>
      <c r="Y16" s="36">
        <v>14</v>
      </c>
      <c r="Z16" s="1">
        <f t="shared" si="3"/>
        <v>168</v>
      </c>
    </row>
    <row r="17" spans="1:26" ht="18.75" x14ac:dyDescent="0.3">
      <c r="A17" s="17">
        <v>15</v>
      </c>
      <c r="B17" s="2" t="s">
        <v>1</v>
      </c>
      <c r="C17" s="35"/>
      <c r="D17" s="36"/>
      <c r="E17" s="1">
        <f t="shared" si="0"/>
        <v>0</v>
      </c>
      <c r="H17" s="17">
        <v>15</v>
      </c>
      <c r="I17" s="2" t="s">
        <v>1</v>
      </c>
      <c r="J17" s="35">
        <v>17.899999999999999</v>
      </c>
      <c r="K17" s="36">
        <v>100</v>
      </c>
      <c r="L17" s="1">
        <f t="shared" si="1"/>
        <v>1789.9999999999998</v>
      </c>
      <c r="O17" s="17">
        <v>15</v>
      </c>
      <c r="P17" s="2" t="s">
        <v>1</v>
      </c>
      <c r="Q17" s="35"/>
      <c r="R17" s="36"/>
      <c r="S17" s="1">
        <f t="shared" si="2"/>
        <v>0</v>
      </c>
      <c r="V17" s="17">
        <v>15</v>
      </c>
      <c r="W17" s="2" t="s">
        <v>1</v>
      </c>
      <c r="X17" s="35">
        <v>22.3</v>
      </c>
      <c r="Y17" s="36">
        <v>98</v>
      </c>
      <c r="Z17" s="1">
        <f t="shared" si="3"/>
        <v>2185.4</v>
      </c>
    </row>
    <row r="18" spans="1:26" ht="18.75" x14ac:dyDescent="0.3">
      <c r="A18" s="17">
        <v>16</v>
      </c>
      <c r="B18" s="2" t="s">
        <v>95</v>
      </c>
      <c r="C18" s="35">
        <v>25.8</v>
      </c>
      <c r="D18" s="36">
        <v>95</v>
      </c>
      <c r="E18" s="1">
        <f t="shared" si="0"/>
        <v>2451</v>
      </c>
      <c r="H18" s="17">
        <v>16</v>
      </c>
      <c r="I18" s="2" t="s">
        <v>95</v>
      </c>
      <c r="J18" s="35"/>
      <c r="K18" s="36"/>
      <c r="L18" s="1">
        <f t="shared" si="1"/>
        <v>0</v>
      </c>
      <c r="O18" s="17">
        <v>16</v>
      </c>
      <c r="P18" s="2" t="s">
        <v>95</v>
      </c>
      <c r="Q18" s="35"/>
      <c r="R18" s="36"/>
      <c r="S18" s="1">
        <f t="shared" si="2"/>
        <v>0</v>
      </c>
      <c r="V18" s="17">
        <v>16</v>
      </c>
      <c r="W18" s="2" t="s">
        <v>95</v>
      </c>
      <c r="X18" s="35"/>
      <c r="Y18" s="36"/>
      <c r="Z18" s="1">
        <f t="shared" si="3"/>
        <v>0</v>
      </c>
    </row>
    <row r="19" spans="1:26" ht="18.75" x14ac:dyDescent="0.3">
      <c r="A19" s="17">
        <v>17</v>
      </c>
      <c r="B19" s="2" t="s">
        <v>66</v>
      </c>
      <c r="C19" s="35"/>
      <c r="D19" s="36"/>
      <c r="E19" s="1">
        <f t="shared" si="0"/>
        <v>0</v>
      </c>
      <c r="H19" s="17">
        <v>17</v>
      </c>
      <c r="I19" s="2" t="s">
        <v>66</v>
      </c>
      <c r="J19" s="35"/>
      <c r="K19" s="36"/>
      <c r="L19" s="1">
        <f t="shared" si="1"/>
        <v>0</v>
      </c>
      <c r="O19" s="17">
        <v>17</v>
      </c>
      <c r="P19" s="2" t="s">
        <v>66</v>
      </c>
      <c r="Q19" s="35"/>
      <c r="R19" s="36"/>
      <c r="S19" s="1">
        <f t="shared" si="2"/>
        <v>0</v>
      </c>
      <c r="V19" s="17">
        <v>17</v>
      </c>
      <c r="W19" s="2" t="s">
        <v>66</v>
      </c>
      <c r="X19" s="35"/>
      <c r="Y19" s="36"/>
      <c r="Z19" s="1">
        <f t="shared" si="3"/>
        <v>0</v>
      </c>
    </row>
    <row r="20" spans="1:26" ht="18.75" x14ac:dyDescent="0.3">
      <c r="A20" s="17">
        <v>18</v>
      </c>
      <c r="B20" s="2" t="s">
        <v>98</v>
      </c>
      <c r="C20" s="35"/>
      <c r="D20" s="36"/>
      <c r="E20" s="1">
        <f t="shared" si="0"/>
        <v>0</v>
      </c>
      <c r="H20" s="17">
        <v>18</v>
      </c>
      <c r="I20" s="2" t="s">
        <v>98</v>
      </c>
      <c r="J20" s="35"/>
      <c r="K20" s="36"/>
      <c r="L20" s="1">
        <f t="shared" si="1"/>
        <v>0</v>
      </c>
      <c r="O20" s="17">
        <v>18</v>
      </c>
      <c r="P20" s="2" t="s">
        <v>98</v>
      </c>
      <c r="Q20" s="35"/>
      <c r="R20" s="36"/>
      <c r="S20" s="1">
        <f t="shared" si="2"/>
        <v>0</v>
      </c>
      <c r="V20" s="17">
        <v>18</v>
      </c>
      <c r="W20" s="2" t="s">
        <v>98</v>
      </c>
      <c r="X20" s="35"/>
      <c r="Y20" s="36"/>
      <c r="Z20" s="1">
        <f t="shared" si="3"/>
        <v>0</v>
      </c>
    </row>
    <row r="21" spans="1:26" ht="18.75" x14ac:dyDescent="0.3">
      <c r="A21" s="17">
        <v>19</v>
      </c>
      <c r="B21" s="2" t="s">
        <v>150</v>
      </c>
      <c r="C21" s="35">
        <v>8.5</v>
      </c>
      <c r="D21" s="36">
        <v>18</v>
      </c>
      <c r="E21" s="1">
        <f t="shared" si="0"/>
        <v>153</v>
      </c>
      <c r="H21" s="17">
        <v>19</v>
      </c>
      <c r="I21" s="2" t="s">
        <v>150</v>
      </c>
      <c r="J21" s="35">
        <v>9</v>
      </c>
      <c r="K21" s="36">
        <v>20</v>
      </c>
      <c r="L21" s="1">
        <f t="shared" si="1"/>
        <v>180</v>
      </c>
      <c r="O21" s="17">
        <v>19</v>
      </c>
      <c r="P21" s="2" t="s">
        <v>86</v>
      </c>
      <c r="Q21" s="35"/>
      <c r="R21" s="36"/>
      <c r="S21" s="1">
        <f t="shared" si="2"/>
        <v>0</v>
      </c>
      <c r="V21" s="17">
        <v>19</v>
      </c>
      <c r="W21" s="2" t="s">
        <v>86</v>
      </c>
      <c r="X21" s="35"/>
      <c r="Y21" s="36"/>
      <c r="Z21" s="1">
        <f t="shared" si="3"/>
        <v>0</v>
      </c>
    </row>
    <row r="22" spans="1:26" ht="18.75" x14ac:dyDescent="0.3">
      <c r="A22" s="17">
        <v>20</v>
      </c>
      <c r="B22" s="2" t="s">
        <v>92</v>
      </c>
      <c r="C22" s="35"/>
      <c r="D22" s="36"/>
      <c r="E22" s="3">
        <f t="shared" si="0"/>
        <v>0</v>
      </c>
      <c r="H22" s="17">
        <v>20</v>
      </c>
      <c r="I22" s="2" t="s">
        <v>92</v>
      </c>
      <c r="J22" s="35"/>
      <c r="K22" s="36"/>
      <c r="L22" s="3">
        <f t="shared" si="1"/>
        <v>0</v>
      </c>
      <c r="O22" s="17">
        <v>20</v>
      </c>
      <c r="P22" s="2" t="s">
        <v>92</v>
      </c>
      <c r="Q22" s="35"/>
      <c r="R22" s="36"/>
      <c r="S22" s="3">
        <f t="shared" si="2"/>
        <v>0</v>
      </c>
      <c r="V22" s="17">
        <v>20</v>
      </c>
      <c r="W22" s="2" t="s">
        <v>92</v>
      </c>
      <c r="X22" s="35"/>
      <c r="Y22" s="36"/>
      <c r="Z22" s="3">
        <f t="shared" si="3"/>
        <v>0</v>
      </c>
    </row>
    <row r="23" spans="1:26" ht="18.75" x14ac:dyDescent="0.3">
      <c r="A23" s="17">
        <v>21</v>
      </c>
      <c r="B23" s="2" t="s">
        <v>2</v>
      </c>
      <c r="C23" s="35">
        <f>18.9+29.1</f>
        <v>48</v>
      </c>
      <c r="D23" s="36">
        <v>24</v>
      </c>
      <c r="E23" s="1">
        <f t="shared" si="0"/>
        <v>1152</v>
      </c>
      <c r="H23" s="17">
        <v>21</v>
      </c>
      <c r="I23" s="2" t="s">
        <v>2</v>
      </c>
      <c r="J23" s="35">
        <v>15.7</v>
      </c>
      <c r="K23" s="36">
        <v>24</v>
      </c>
      <c r="L23" s="1">
        <f t="shared" si="1"/>
        <v>376.79999999999995</v>
      </c>
      <c r="O23" s="17">
        <v>21</v>
      </c>
      <c r="P23" s="2" t="s">
        <v>2</v>
      </c>
      <c r="Q23" s="35">
        <v>20.9</v>
      </c>
      <c r="R23" s="36">
        <v>24</v>
      </c>
      <c r="S23" s="1">
        <f t="shared" si="2"/>
        <v>501.59999999999997</v>
      </c>
      <c r="V23" s="17">
        <v>21</v>
      </c>
      <c r="W23" s="2" t="s">
        <v>2</v>
      </c>
      <c r="X23" s="35">
        <v>24</v>
      </c>
      <c r="Y23" s="36">
        <v>24</v>
      </c>
      <c r="Z23" s="1">
        <f t="shared" si="3"/>
        <v>576</v>
      </c>
    </row>
    <row r="24" spans="1:26" ht="18.75" x14ac:dyDescent="0.3">
      <c r="A24" s="17">
        <v>22</v>
      </c>
      <c r="B24" s="2" t="s">
        <v>88</v>
      </c>
      <c r="C24" s="35"/>
      <c r="D24" s="36"/>
      <c r="E24" s="1">
        <f t="shared" si="0"/>
        <v>0</v>
      </c>
      <c r="H24" s="17">
        <v>22</v>
      </c>
      <c r="I24" s="2" t="s">
        <v>88</v>
      </c>
      <c r="J24" s="35"/>
      <c r="K24" s="36"/>
      <c r="L24" s="1">
        <f t="shared" si="1"/>
        <v>0</v>
      </c>
      <c r="O24" s="17">
        <v>22</v>
      </c>
      <c r="P24" s="2" t="s">
        <v>88</v>
      </c>
      <c r="Q24" s="35"/>
      <c r="R24" s="36"/>
      <c r="S24" s="1">
        <f t="shared" si="2"/>
        <v>0</v>
      </c>
      <c r="V24" s="17">
        <v>22</v>
      </c>
      <c r="W24" s="2" t="s">
        <v>88</v>
      </c>
      <c r="X24" s="35"/>
      <c r="Y24" s="36"/>
      <c r="Z24" s="1">
        <f t="shared" si="3"/>
        <v>0</v>
      </c>
    </row>
    <row r="25" spans="1:26" ht="18.75" x14ac:dyDescent="0.3">
      <c r="A25" s="17">
        <v>23</v>
      </c>
      <c r="B25" s="2" t="s">
        <v>10</v>
      </c>
      <c r="C25" s="35">
        <v>226.5</v>
      </c>
      <c r="D25" s="36">
        <v>13</v>
      </c>
      <c r="E25" s="1">
        <f t="shared" si="0"/>
        <v>2944.5</v>
      </c>
      <c r="H25" s="17">
        <v>23</v>
      </c>
      <c r="I25" s="2" t="s">
        <v>10</v>
      </c>
      <c r="J25" s="35">
        <v>79</v>
      </c>
      <c r="K25" s="36">
        <v>13</v>
      </c>
      <c r="L25" s="1">
        <f t="shared" si="1"/>
        <v>1027</v>
      </c>
      <c r="O25" s="17">
        <v>23</v>
      </c>
      <c r="P25" s="2" t="s">
        <v>10</v>
      </c>
      <c r="Q25" s="35">
        <f>45+92.5</f>
        <v>137.5</v>
      </c>
      <c r="R25" s="36">
        <v>13</v>
      </c>
      <c r="S25" s="1">
        <f t="shared" si="2"/>
        <v>1787.5</v>
      </c>
      <c r="V25" s="17">
        <v>23</v>
      </c>
      <c r="W25" s="2" t="s">
        <v>10</v>
      </c>
      <c r="X25" s="35">
        <v>166</v>
      </c>
      <c r="Y25" s="36">
        <v>13</v>
      </c>
      <c r="Z25" s="1">
        <f t="shared" si="3"/>
        <v>2158</v>
      </c>
    </row>
    <row r="26" spans="1:26" ht="18.75" x14ac:dyDescent="0.3">
      <c r="A26" s="17">
        <v>24</v>
      </c>
      <c r="B26" s="2" t="s">
        <v>80</v>
      </c>
      <c r="C26" s="35">
        <v>8.9499999999999993</v>
      </c>
      <c r="D26" s="36">
        <v>26</v>
      </c>
      <c r="E26" s="3">
        <f t="shared" si="0"/>
        <v>232.7</v>
      </c>
      <c r="H26" s="17">
        <v>24</v>
      </c>
      <c r="I26" s="2" t="s">
        <v>80</v>
      </c>
      <c r="J26" s="35"/>
      <c r="K26" s="36"/>
      <c r="L26" s="3">
        <f t="shared" si="1"/>
        <v>0</v>
      </c>
      <c r="O26" s="17">
        <v>24</v>
      </c>
      <c r="P26" s="2" t="s">
        <v>80</v>
      </c>
      <c r="Q26" s="35">
        <v>2.1</v>
      </c>
      <c r="R26" s="36">
        <v>26</v>
      </c>
      <c r="S26" s="3">
        <f t="shared" si="2"/>
        <v>54.6</v>
      </c>
      <c r="V26" s="17">
        <v>24</v>
      </c>
      <c r="W26" s="2" t="s">
        <v>80</v>
      </c>
      <c r="X26" s="35">
        <v>10</v>
      </c>
      <c r="Y26" s="36">
        <v>26</v>
      </c>
      <c r="Z26" s="3">
        <f t="shared" si="3"/>
        <v>260</v>
      </c>
    </row>
    <row r="27" spans="1:26" ht="18.75" x14ac:dyDescent="0.3">
      <c r="A27" s="17">
        <v>25</v>
      </c>
      <c r="B27" s="2" t="s">
        <v>75</v>
      </c>
      <c r="C27" s="35">
        <v>9.1</v>
      </c>
      <c r="D27" s="36">
        <v>65</v>
      </c>
      <c r="E27" s="3">
        <f t="shared" si="0"/>
        <v>591.5</v>
      </c>
      <c r="H27" s="17">
        <v>25</v>
      </c>
      <c r="I27" s="2" t="s">
        <v>75</v>
      </c>
      <c r="J27" s="35">
        <v>9.1</v>
      </c>
      <c r="K27" s="36">
        <v>65</v>
      </c>
      <c r="L27" s="3">
        <f t="shared" si="1"/>
        <v>591.5</v>
      </c>
      <c r="O27" s="17">
        <v>25</v>
      </c>
      <c r="P27" s="2" t="s">
        <v>75</v>
      </c>
      <c r="Q27" s="35">
        <v>10.1</v>
      </c>
      <c r="R27" s="36">
        <v>65</v>
      </c>
      <c r="S27" s="3">
        <f t="shared" si="2"/>
        <v>656.5</v>
      </c>
      <c r="V27" s="17">
        <v>25</v>
      </c>
      <c r="W27" s="2" t="s">
        <v>75</v>
      </c>
      <c r="X27" s="35">
        <v>4.2</v>
      </c>
      <c r="Y27" s="36">
        <v>65</v>
      </c>
      <c r="Z27" s="3">
        <f t="shared" si="3"/>
        <v>273</v>
      </c>
    </row>
    <row r="28" spans="1:26" ht="18.75" x14ac:dyDescent="0.3">
      <c r="A28" s="17">
        <v>26</v>
      </c>
      <c r="B28" s="2" t="s">
        <v>130</v>
      </c>
      <c r="C28" s="35"/>
      <c r="D28" s="36"/>
      <c r="E28" s="1">
        <f t="shared" si="0"/>
        <v>0</v>
      </c>
      <c r="H28" s="17">
        <v>26</v>
      </c>
      <c r="I28" s="2" t="s">
        <v>130</v>
      </c>
      <c r="J28" s="35"/>
      <c r="K28" s="36"/>
      <c r="L28" s="1">
        <f t="shared" si="1"/>
        <v>0</v>
      </c>
      <c r="O28" s="17">
        <v>26</v>
      </c>
      <c r="P28" s="2" t="s">
        <v>130</v>
      </c>
      <c r="Q28" s="35">
        <v>11.5</v>
      </c>
      <c r="R28" s="36">
        <v>76</v>
      </c>
      <c r="S28" s="1">
        <f t="shared" si="2"/>
        <v>874</v>
      </c>
      <c r="V28" s="17">
        <v>26</v>
      </c>
      <c r="W28" s="2" t="s">
        <v>130</v>
      </c>
      <c r="X28" s="35">
        <v>2.4</v>
      </c>
      <c r="Y28" s="36">
        <v>76</v>
      </c>
      <c r="Z28" s="1">
        <f t="shared" si="3"/>
        <v>182.4</v>
      </c>
    </row>
    <row r="29" spans="1:26" ht="18.75" x14ac:dyDescent="0.3">
      <c r="A29" s="17">
        <v>27</v>
      </c>
      <c r="B29" s="2" t="s">
        <v>7</v>
      </c>
      <c r="C29" s="35">
        <v>1.1000000000000001</v>
      </c>
      <c r="D29" s="36">
        <v>30</v>
      </c>
      <c r="E29" s="1">
        <f t="shared" si="0"/>
        <v>33</v>
      </c>
      <c r="H29" s="17">
        <v>27</v>
      </c>
      <c r="I29" s="2" t="s">
        <v>7</v>
      </c>
      <c r="J29" s="35">
        <v>7.05</v>
      </c>
      <c r="K29" s="36">
        <v>42</v>
      </c>
      <c r="L29" s="1">
        <f t="shared" si="1"/>
        <v>296.09999999999997</v>
      </c>
      <c r="O29" s="17">
        <v>27</v>
      </c>
      <c r="P29" s="2" t="s">
        <v>7</v>
      </c>
      <c r="Q29" s="35">
        <v>1.93</v>
      </c>
      <c r="R29" s="36">
        <v>46</v>
      </c>
      <c r="S29" s="1">
        <f t="shared" si="2"/>
        <v>88.78</v>
      </c>
      <c r="V29" s="17">
        <v>27</v>
      </c>
      <c r="W29" s="2" t="s">
        <v>7</v>
      </c>
      <c r="X29" s="35">
        <v>2.2999999999999998</v>
      </c>
      <c r="Y29" s="36">
        <v>50</v>
      </c>
      <c r="Z29" s="1">
        <f t="shared" si="3"/>
        <v>114.99999999999999</v>
      </c>
    </row>
    <row r="30" spans="1:26" ht="18.75" x14ac:dyDescent="0.3">
      <c r="A30" s="17">
        <v>28</v>
      </c>
      <c r="B30" s="2" t="s">
        <v>108</v>
      </c>
      <c r="C30" s="35"/>
      <c r="D30" s="36"/>
      <c r="E30" s="3">
        <f t="shared" si="0"/>
        <v>0</v>
      </c>
      <c r="H30" s="17">
        <v>28</v>
      </c>
      <c r="I30" s="2" t="s">
        <v>108</v>
      </c>
      <c r="J30" s="35">
        <v>11.4</v>
      </c>
      <c r="K30" s="36">
        <v>30</v>
      </c>
      <c r="L30" s="3">
        <f t="shared" si="1"/>
        <v>342</v>
      </c>
      <c r="O30" s="17">
        <v>28</v>
      </c>
      <c r="P30" s="2" t="s">
        <v>108</v>
      </c>
      <c r="Q30" s="35">
        <v>1.6</v>
      </c>
      <c r="R30" s="36">
        <v>52</v>
      </c>
      <c r="S30" s="3">
        <f t="shared" si="2"/>
        <v>83.2</v>
      </c>
      <c r="V30" s="17">
        <v>28</v>
      </c>
      <c r="W30" s="2" t="s">
        <v>108</v>
      </c>
      <c r="X30" s="35"/>
      <c r="Y30" s="36"/>
      <c r="Z30" s="3">
        <f t="shared" si="3"/>
        <v>0</v>
      </c>
    </row>
    <row r="31" spans="1:26" ht="18.75" x14ac:dyDescent="0.3">
      <c r="A31" s="17">
        <v>29</v>
      </c>
      <c r="B31" s="2" t="s">
        <v>67</v>
      </c>
      <c r="C31" s="35"/>
      <c r="D31" s="36"/>
      <c r="E31" s="1">
        <f t="shared" si="0"/>
        <v>0</v>
      </c>
      <c r="H31" s="17">
        <v>29</v>
      </c>
      <c r="I31" s="2" t="s">
        <v>67</v>
      </c>
      <c r="J31" s="35"/>
      <c r="K31" s="36"/>
      <c r="L31" s="1">
        <f t="shared" si="1"/>
        <v>0</v>
      </c>
      <c r="O31" s="17">
        <v>29</v>
      </c>
      <c r="P31" s="2" t="s">
        <v>67</v>
      </c>
      <c r="Q31" s="35"/>
      <c r="R31" s="36"/>
      <c r="S31" s="1">
        <f t="shared" si="2"/>
        <v>0</v>
      </c>
      <c r="V31" s="17">
        <v>29</v>
      </c>
      <c r="W31" s="2" t="s">
        <v>67</v>
      </c>
      <c r="X31" s="35"/>
      <c r="Y31" s="36"/>
      <c r="Z31" s="1">
        <f t="shared" si="3"/>
        <v>0</v>
      </c>
    </row>
    <row r="32" spans="1:26" ht="18.75" x14ac:dyDescent="0.3">
      <c r="A32" s="17">
        <v>30</v>
      </c>
      <c r="B32" s="2" t="s">
        <v>27</v>
      </c>
      <c r="C32" s="35">
        <v>10</v>
      </c>
      <c r="D32" s="36">
        <v>15</v>
      </c>
      <c r="E32" s="1">
        <f t="shared" si="0"/>
        <v>150</v>
      </c>
      <c r="H32" s="17">
        <v>30</v>
      </c>
      <c r="I32" s="2" t="s">
        <v>27</v>
      </c>
      <c r="J32" s="35">
        <v>2.65</v>
      </c>
      <c r="K32" s="36">
        <v>16</v>
      </c>
      <c r="L32" s="1">
        <f t="shared" si="1"/>
        <v>42.4</v>
      </c>
      <c r="O32" s="17">
        <v>30</v>
      </c>
      <c r="P32" s="2" t="s">
        <v>27</v>
      </c>
      <c r="Q32" s="35"/>
      <c r="R32" s="36"/>
      <c r="S32" s="1">
        <f t="shared" si="2"/>
        <v>0</v>
      </c>
      <c r="V32" s="17">
        <v>30</v>
      </c>
      <c r="W32" s="2" t="s">
        <v>27</v>
      </c>
      <c r="X32" s="35">
        <v>5.56</v>
      </c>
      <c r="Y32" s="36">
        <v>14</v>
      </c>
      <c r="Z32" s="1">
        <f t="shared" si="3"/>
        <v>77.839999999999989</v>
      </c>
    </row>
    <row r="33" spans="1:26" ht="18.75" x14ac:dyDescent="0.3">
      <c r="A33" s="17">
        <v>31</v>
      </c>
      <c r="B33" s="2" t="s">
        <v>13</v>
      </c>
      <c r="C33" s="35">
        <f>228+9.4</f>
        <v>237.4</v>
      </c>
      <c r="D33" s="36">
        <v>40</v>
      </c>
      <c r="E33" s="1">
        <f t="shared" si="0"/>
        <v>9496</v>
      </c>
      <c r="H33" s="17">
        <v>31</v>
      </c>
      <c r="I33" s="2" t="s">
        <v>13</v>
      </c>
      <c r="J33" s="35">
        <v>143</v>
      </c>
      <c r="K33" s="36">
        <v>40</v>
      </c>
      <c r="L33" s="1">
        <f t="shared" si="1"/>
        <v>5720</v>
      </c>
      <c r="O33" s="17">
        <v>31</v>
      </c>
      <c r="P33" s="2" t="s">
        <v>13</v>
      </c>
      <c r="Q33" s="35">
        <v>118</v>
      </c>
      <c r="R33" s="36">
        <v>39</v>
      </c>
      <c r="S33" s="1">
        <f t="shared" si="2"/>
        <v>4602</v>
      </c>
      <c r="V33" s="17">
        <v>31</v>
      </c>
      <c r="W33" s="2" t="s">
        <v>13</v>
      </c>
      <c r="X33" s="35">
        <v>188</v>
      </c>
      <c r="Y33" s="36">
        <v>39</v>
      </c>
      <c r="Z33" s="1">
        <f t="shared" si="3"/>
        <v>7332</v>
      </c>
    </row>
    <row r="34" spans="1:26" ht="18.75" x14ac:dyDescent="0.3">
      <c r="A34" s="17">
        <v>32</v>
      </c>
      <c r="B34" s="2" t="s">
        <v>139</v>
      </c>
      <c r="C34" s="35"/>
      <c r="D34" s="36"/>
      <c r="E34" s="3">
        <f t="shared" si="0"/>
        <v>0</v>
      </c>
      <c r="H34" s="17">
        <v>32</v>
      </c>
      <c r="I34" s="2" t="s">
        <v>139</v>
      </c>
      <c r="J34" s="35">
        <v>79</v>
      </c>
      <c r="K34" s="36">
        <v>42</v>
      </c>
      <c r="L34" s="3">
        <f t="shared" si="1"/>
        <v>3318</v>
      </c>
      <c r="O34" s="17">
        <v>32</v>
      </c>
      <c r="P34" s="2" t="s">
        <v>139</v>
      </c>
      <c r="Q34" s="35">
        <v>114.5</v>
      </c>
      <c r="R34" s="36">
        <v>41</v>
      </c>
      <c r="S34" s="3">
        <f t="shared" si="2"/>
        <v>4694.5</v>
      </c>
      <c r="V34" s="17">
        <v>32</v>
      </c>
      <c r="W34" s="2" t="s">
        <v>139</v>
      </c>
      <c r="X34" s="35">
        <v>101</v>
      </c>
      <c r="Y34" s="36">
        <v>42</v>
      </c>
      <c r="Z34" s="3">
        <f t="shared" si="3"/>
        <v>4242</v>
      </c>
    </row>
    <row r="35" spans="1:26" ht="18.75" x14ac:dyDescent="0.3">
      <c r="A35" s="17">
        <v>33</v>
      </c>
      <c r="B35" s="2" t="s">
        <v>142</v>
      </c>
      <c r="C35" s="35">
        <v>81.5</v>
      </c>
      <c r="D35" s="36">
        <v>43</v>
      </c>
      <c r="E35" s="1">
        <f t="shared" si="0"/>
        <v>3504.5</v>
      </c>
      <c r="H35" s="17">
        <v>33</v>
      </c>
      <c r="I35" s="2" t="s">
        <v>142</v>
      </c>
      <c r="J35" s="35"/>
      <c r="K35" s="36"/>
      <c r="L35" s="1">
        <f t="shared" si="1"/>
        <v>0</v>
      </c>
      <c r="O35" s="17">
        <v>33</v>
      </c>
      <c r="P35" s="2" t="s">
        <v>142</v>
      </c>
      <c r="Q35" s="35"/>
      <c r="R35" s="36"/>
      <c r="S35" s="1">
        <f t="shared" si="2"/>
        <v>0</v>
      </c>
      <c r="V35" s="17">
        <v>33</v>
      </c>
      <c r="W35" s="2" t="s">
        <v>142</v>
      </c>
      <c r="X35" s="35"/>
      <c r="Y35" s="36"/>
      <c r="Z35" s="1">
        <f t="shared" si="3"/>
        <v>0</v>
      </c>
    </row>
    <row r="36" spans="1:26" ht="18.75" x14ac:dyDescent="0.3">
      <c r="A36" s="17">
        <v>34</v>
      </c>
      <c r="B36" s="43" t="s">
        <v>146</v>
      </c>
      <c r="C36" s="35">
        <v>25.5</v>
      </c>
      <c r="D36" s="36">
        <v>58</v>
      </c>
      <c r="E36" s="1">
        <f t="shared" si="0"/>
        <v>1479</v>
      </c>
      <c r="H36" s="17">
        <v>34</v>
      </c>
      <c r="I36" s="43" t="s">
        <v>146</v>
      </c>
      <c r="J36" s="35">
        <v>25.5</v>
      </c>
      <c r="K36" s="36">
        <v>58</v>
      </c>
      <c r="L36" s="1">
        <f t="shared" si="1"/>
        <v>1479</v>
      </c>
      <c r="O36" s="17">
        <v>34</v>
      </c>
      <c r="P36" s="43" t="s">
        <v>146</v>
      </c>
      <c r="Q36" s="35">
        <v>25.5</v>
      </c>
      <c r="R36" s="36">
        <v>58</v>
      </c>
      <c r="S36" s="1">
        <f t="shared" si="2"/>
        <v>1479</v>
      </c>
      <c r="V36" s="17">
        <v>34</v>
      </c>
      <c r="W36" s="43" t="s">
        <v>146</v>
      </c>
      <c r="X36" s="35">
        <v>25.5</v>
      </c>
      <c r="Y36" s="36">
        <v>58</v>
      </c>
      <c r="Z36" s="1">
        <f t="shared" si="3"/>
        <v>1479</v>
      </c>
    </row>
    <row r="37" spans="1:26" ht="18.75" x14ac:dyDescent="0.3">
      <c r="A37" s="17">
        <v>35</v>
      </c>
      <c r="B37" s="43" t="s">
        <v>144</v>
      </c>
      <c r="C37" s="35">
        <v>23</v>
      </c>
      <c r="D37" s="36">
        <v>60</v>
      </c>
      <c r="E37" s="1">
        <f t="shared" si="0"/>
        <v>1380</v>
      </c>
      <c r="H37" s="17">
        <v>35</v>
      </c>
      <c r="I37" s="43" t="s">
        <v>144</v>
      </c>
      <c r="J37" s="35">
        <v>23</v>
      </c>
      <c r="K37" s="36">
        <v>60</v>
      </c>
      <c r="L37" s="1">
        <f t="shared" si="1"/>
        <v>1380</v>
      </c>
      <c r="O37" s="17">
        <v>35</v>
      </c>
      <c r="P37" s="43" t="s">
        <v>144</v>
      </c>
      <c r="Q37" s="35">
        <v>23</v>
      </c>
      <c r="R37" s="36">
        <v>60</v>
      </c>
      <c r="S37" s="1">
        <f t="shared" si="2"/>
        <v>1380</v>
      </c>
      <c r="V37" s="17">
        <v>35</v>
      </c>
      <c r="W37" s="43" t="s">
        <v>144</v>
      </c>
      <c r="X37" s="35">
        <v>23</v>
      </c>
      <c r="Y37" s="36">
        <v>60</v>
      </c>
      <c r="Z37" s="1">
        <f t="shared" si="3"/>
        <v>1380</v>
      </c>
    </row>
    <row r="38" spans="1:26" ht="18.75" x14ac:dyDescent="0.3">
      <c r="A38" s="17">
        <v>36</v>
      </c>
      <c r="B38" s="2" t="s">
        <v>132</v>
      </c>
      <c r="C38" s="34">
        <v>7.55</v>
      </c>
      <c r="D38" s="3">
        <v>50</v>
      </c>
      <c r="E38" s="1">
        <f t="shared" si="0"/>
        <v>377.5</v>
      </c>
      <c r="H38" s="17">
        <v>36</v>
      </c>
      <c r="I38" s="2" t="s">
        <v>132</v>
      </c>
      <c r="J38" s="34">
        <v>7.4</v>
      </c>
      <c r="K38" s="3">
        <v>50</v>
      </c>
      <c r="L38" s="1">
        <f t="shared" si="1"/>
        <v>370</v>
      </c>
      <c r="O38" s="17">
        <v>36</v>
      </c>
      <c r="P38" s="2" t="s">
        <v>132</v>
      </c>
      <c r="Q38" s="34">
        <v>8.57</v>
      </c>
      <c r="R38" s="3">
        <v>54</v>
      </c>
      <c r="S38" s="1">
        <f t="shared" si="2"/>
        <v>462.78000000000003</v>
      </c>
      <c r="V38" s="17">
        <v>36</v>
      </c>
      <c r="W38" s="2" t="s">
        <v>132</v>
      </c>
      <c r="X38" s="34">
        <v>8.5</v>
      </c>
      <c r="Y38" s="3">
        <v>50</v>
      </c>
      <c r="Z38" s="1">
        <f t="shared" si="3"/>
        <v>425</v>
      </c>
    </row>
    <row r="39" spans="1:26" ht="18.75" x14ac:dyDescent="0.3">
      <c r="A39" s="17">
        <v>37</v>
      </c>
      <c r="B39" s="2" t="s">
        <v>122</v>
      </c>
      <c r="C39" s="34"/>
      <c r="D39" s="3"/>
      <c r="E39" s="1">
        <f t="shared" si="0"/>
        <v>0</v>
      </c>
      <c r="H39" s="17">
        <v>37</v>
      </c>
      <c r="I39" s="2" t="s">
        <v>122</v>
      </c>
      <c r="J39" s="34">
        <v>39.200000000000003</v>
      </c>
      <c r="K39" s="3">
        <v>65</v>
      </c>
      <c r="L39" s="1">
        <f t="shared" si="1"/>
        <v>2548</v>
      </c>
      <c r="O39" s="17">
        <v>37</v>
      </c>
      <c r="P39" s="2" t="s">
        <v>122</v>
      </c>
      <c r="Q39" s="34">
        <v>33.9</v>
      </c>
      <c r="R39" s="3">
        <v>65</v>
      </c>
      <c r="S39" s="1">
        <f t="shared" si="2"/>
        <v>2203.5</v>
      </c>
      <c r="V39" s="17">
        <v>37</v>
      </c>
      <c r="W39" s="2" t="s">
        <v>122</v>
      </c>
      <c r="X39" s="34">
        <v>49</v>
      </c>
      <c r="Y39" s="3">
        <v>65</v>
      </c>
      <c r="Z39" s="1">
        <f t="shared" si="3"/>
        <v>3185</v>
      </c>
    </row>
    <row r="40" spans="1:26" ht="18.75" x14ac:dyDescent="0.3">
      <c r="A40" s="17">
        <v>38</v>
      </c>
      <c r="B40" s="2" t="s">
        <v>48</v>
      </c>
      <c r="C40" s="35">
        <v>12.45</v>
      </c>
      <c r="D40" s="36">
        <v>32</v>
      </c>
      <c r="E40" s="3">
        <f t="shared" si="0"/>
        <v>398.4</v>
      </c>
      <c r="H40" s="17">
        <v>38</v>
      </c>
      <c r="I40" s="2" t="s">
        <v>48</v>
      </c>
      <c r="J40" s="35">
        <v>16</v>
      </c>
      <c r="K40" s="36">
        <v>32</v>
      </c>
      <c r="L40" s="3">
        <f t="shared" si="1"/>
        <v>512</v>
      </c>
      <c r="O40" s="17">
        <v>38</v>
      </c>
      <c r="P40" s="2" t="s">
        <v>48</v>
      </c>
      <c r="Q40" s="35">
        <v>5.2</v>
      </c>
      <c r="R40" s="36">
        <v>32</v>
      </c>
      <c r="S40" s="3">
        <f t="shared" si="2"/>
        <v>166.4</v>
      </c>
      <c r="V40" s="17">
        <v>38</v>
      </c>
      <c r="W40" s="2" t="s">
        <v>48</v>
      </c>
      <c r="X40" s="35"/>
      <c r="Y40" s="36"/>
      <c r="Z40" s="3">
        <f t="shared" si="3"/>
        <v>0</v>
      </c>
    </row>
    <row r="41" spans="1:26" ht="18.75" x14ac:dyDescent="0.3">
      <c r="A41" s="17">
        <v>39</v>
      </c>
      <c r="B41" s="2" t="s">
        <v>48</v>
      </c>
      <c r="C41" s="35"/>
      <c r="D41" s="36"/>
      <c r="E41" s="1">
        <f t="shared" si="0"/>
        <v>0</v>
      </c>
      <c r="H41" s="17">
        <v>39</v>
      </c>
      <c r="I41" s="2" t="s">
        <v>48</v>
      </c>
      <c r="J41" s="35"/>
      <c r="K41" s="36"/>
      <c r="L41" s="1">
        <f t="shared" si="1"/>
        <v>0</v>
      </c>
      <c r="O41" s="17">
        <v>39</v>
      </c>
      <c r="P41" s="2" t="s">
        <v>48</v>
      </c>
      <c r="Q41" s="35"/>
      <c r="R41" s="36"/>
      <c r="S41" s="1">
        <f t="shared" si="2"/>
        <v>0</v>
      </c>
      <c r="V41" s="17">
        <v>39</v>
      </c>
      <c r="W41" s="2" t="s">
        <v>48</v>
      </c>
      <c r="X41" s="35"/>
      <c r="Y41" s="36"/>
      <c r="Z41" s="1">
        <f t="shared" si="3"/>
        <v>0</v>
      </c>
    </row>
    <row r="42" spans="1:26" ht="18.75" x14ac:dyDescent="0.3">
      <c r="A42" s="17">
        <v>40</v>
      </c>
      <c r="B42" s="2" t="s">
        <v>8</v>
      </c>
      <c r="C42" s="35">
        <v>22.5</v>
      </c>
      <c r="D42" s="36">
        <v>22</v>
      </c>
      <c r="E42" s="3">
        <f t="shared" si="0"/>
        <v>495</v>
      </c>
      <c r="H42" s="17">
        <v>40</v>
      </c>
      <c r="I42" s="2" t="s">
        <v>8</v>
      </c>
      <c r="J42" s="35">
        <v>1.25</v>
      </c>
      <c r="K42" s="36">
        <v>22</v>
      </c>
      <c r="L42" s="3">
        <f t="shared" si="1"/>
        <v>27.5</v>
      </c>
      <c r="O42" s="17">
        <v>40</v>
      </c>
      <c r="P42" s="2" t="s">
        <v>8</v>
      </c>
      <c r="Q42" s="35">
        <v>2.0699999999999998</v>
      </c>
      <c r="R42" s="36">
        <v>24</v>
      </c>
      <c r="S42" s="3">
        <f t="shared" si="2"/>
        <v>49.679999999999993</v>
      </c>
      <c r="V42" s="17">
        <v>40</v>
      </c>
      <c r="W42" s="2" t="s">
        <v>8</v>
      </c>
      <c r="X42" s="35">
        <v>14</v>
      </c>
      <c r="Y42" s="36">
        <v>24</v>
      </c>
      <c r="Z42" s="3">
        <f t="shared" si="3"/>
        <v>336</v>
      </c>
    </row>
    <row r="43" spans="1:26" ht="18.75" x14ac:dyDescent="0.3">
      <c r="A43" s="17">
        <v>41</v>
      </c>
      <c r="B43" s="2" t="s">
        <v>152</v>
      </c>
      <c r="C43" s="35">
        <v>10.9</v>
      </c>
      <c r="D43" s="36">
        <v>74</v>
      </c>
      <c r="E43" s="1">
        <f t="shared" si="0"/>
        <v>806.6</v>
      </c>
      <c r="H43" s="17">
        <v>41</v>
      </c>
      <c r="I43" s="2" t="s">
        <v>152</v>
      </c>
      <c r="J43" s="35">
        <v>6.95</v>
      </c>
      <c r="K43" s="36">
        <v>74</v>
      </c>
      <c r="L43" s="1">
        <f t="shared" si="1"/>
        <v>514.30000000000007</v>
      </c>
      <c r="O43" s="17">
        <v>41</v>
      </c>
      <c r="P43" s="2" t="s">
        <v>65</v>
      </c>
      <c r="Q43" s="35"/>
      <c r="R43" s="36"/>
      <c r="S43" s="1">
        <f t="shared" si="2"/>
        <v>0</v>
      </c>
      <c r="V43" s="17">
        <v>41</v>
      </c>
      <c r="W43" s="2" t="s">
        <v>65</v>
      </c>
      <c r="X43" s="35">
        <v>0.5</v>
      </c>
      <c r="Y43" s="36">
        <v>18</v>
      </c>
      <c r="Z43" s="1">
        <f t="shared" si="3"/>
        <v>9</v>
      </c>
    </row>
    <row r="44" spans="1:26" ht="18.75" x14ac:dyDescent="0.3">
      <c r="A44" s="17">
        <v>42</v>
      </c>
      <c r="B44" s="2" t="s">
        <v>93</v>
      </c>
      <c r="C44" s="35"/>
      <c r="D44" s="36"/>
      <c r="E44" s="1">
        <f t="shared" si="0"/>
        <v>0</v>
      </c>
      <c r="H44" s="17">
        <v>42</v>
      </c>
      <c r="I44" s="2" t="s">
        <v>93</v>
      </c>
      <c r="J44" s="35">
        <v>1.62</v>
      </c>
      <c r="K44" s="36">
        <v>40</v>
      </c>
      <c r="L44" s="1">
        <f t="shared" si="1"/>
        <v>64.800000000000011</v>
      </c>
      <c r="O44" s="17">
        <v>42</v>
      </c>
      <c r="P44" s="2" t="s">
        <v>93</v>
      </c>
      <c r="Q44" s="35"/>
      <c r="R44" s="36"/>
      <c r="S44" s="1">
        <f t="shared" si="2"/>
        <v>0</v>
      </c>
      <c r="V44" s="17">
        <v>42</v>
      </c>
      <c r="W44" s="2" t="s">
        <v>93</v>
      </c>
      <c r="X44" s="35"/>
      <c r="Y44" s="36"/>
      <c r="Z44" s="1">
        <f t="shared" si="3"/>
        <v>0</v>
      </c>
    </row>
    <row r="45" spans="1:26" ht="18.75" x14ac:dyDescent="0.3">
      <c r="A45" s="17">
        <v>43</v>
      </c>
      <c r="B45" s="2" t="s">
        <v>21</v>
      </c>
      <c r="C45" s="35">
        <v>1</v>
      </c>
      <c r="D45" s="36">
        <v>100</v>
      </c>
      <c r="E45" s="3">
        <f t="shared" si="0"/>
        <v>100</v>
      </c>
      <c r="H45" s="17">
        <v>43</v>
      </c>
      <c r="I45" s="2" t="s">
        <v>21</v>
      </c>
      <c r="J45" s="35"/>
      <c r="K45" s="36"/>
      <c r="L45" s="3">
        <f t="shared" si="1"/>
        <v>0</v>
      </c>
      <c r="O45" s="17">
        <v>43</v>
      </c>
      <c r="P45" s="2" t="s">
        <v>21</v>
      </c>
      <c r="Q45" s="35">
        <v>23.6</v>
      </c>
      <c r="R45" s="36">
        <v>100</v>
      </c>
      <c r="S45" s="3">
        <f t="shared" si="2"/>
        <v>2360</v>
      </c>
      <c r="V45" s="17">
        <v>43</v>
      </c>
      <c r="W45" s="2" t="s">
        <v>21</v>
      </c>
      <c r="X45" s="35"/>
      <c r="Y45" s="36"/>
      <c r="Z45" s="3">
        <f t="shared" si="3"/>
        <v>0</v>
      </c>
    </row>
    <row r="46" spans="1:26" ht="18.75" x14ac:dyDescent="0.3">
      <c r="A46" s="17">
        <v>44</v>
      </c>
      <c r="B46" s="2" t="s">
        <v>17</v>
      </c>
      <c r="C46" s="35">
        <v>4.3499999999999996</v>
      </c>
      <c r="D46" s="36">
        <v>54</v>
      </c>
      <c r="E46" s="1">
        <f t="shared" si="0"/>
        <v>234.89999999999998</v>
      </c>
      <c r="H46" s="17">
        <v>44</v>
      </c>
      <c r="I46" s="2" t="s">
        <v>17</v>
      </c>
      <c r="J46" s="35">
        <v>10</v>
      </c>
      <c r="K46" s="36">
        <v>60</v>
      </c>
      <c r="L46" s="1">
        <f t="shared" si="1"/>
        <v>600</v>
      </c>
      <c r="O46" s="17">
        <v>44</v>
      </c>
      <c r="P46" s="2" t="s">
        <v>17</v>
      </c>
      <c r="Q46" s="35">
        <v>27.22</v>
      </c>
      <c r="R46" s="36">
        <v>51</v>
      </c>
      <c r="S46" s="1">
        <f t="shared" si="2"/>
        <v>1388.22</v>
      </c>
      <c r="V46" s="17">
        <v>44</v>
      </c>
      <c r="W46" s="2" t="s">
        <v>17</v>
      </c>
      <c r="X46" s="35">
        <f>9.75+27.22</f>
        <v>36.97</v>
      </c>
      <c r="Y46" s="36">
        <v>51</v>
      </c>
      <c r="Z46" s="1">
        <f t="shared" si="3"/>
        <v>1885.47</v>
      </c>
    </row>
    <row r="47" spans="1:26" ht="18.75" x14ac:dyDescent="0.3">
      <c r="A47" s="17">
        <v>45</v>
      </c>
      <c r="B47" s="2" t="s">
        <v>50</v>
      </c>
      <c r="C47" s="35"/>
      <c r="D47" s="36"/>
      <c r="E47" s="1">
        <f t="shared" si="0"/>
        <v>0</v>
      </c>
      <c r="H47" s="17">
        <v>45</v>
      </c>
      <c r="I47" s="2" t="s">
        <v>50</v>
      </c>
      <c r="J47" s="35"/>
      <c r="K47" s="36"/>
      <c r="L47" s="1">
        <f t="shared" si="1"/>
        <v>0</v>
      </c>
      <c r="O47" s="17">
        <v>45</v>
      </c>
      <c r="P47" s="2" t="s">
        <v>50</v>
      </c>
      <c r="Q47" s="35"/>
      <c r="R47" s="36"/>
      <c r="S47" s="1">
        <f t="shared" si="2"/>
        <v>0</v>
      </c>
      <c r="V47" s="17">
        <v>45</v>
      </c>
      <c r="W47" s="2" t="s">
        <v>50</v>
      </c>
      <c r="X47" s="35"/>
      <c r="Y47" s="36"/>
      <c r="Z47" s="1">
        <f t="shared" si="3"/>
        <v>0</v>
      </c>
    </row>
    <row r="48" spans="1:26" ht="18.75" x14ac:dyDescent="0.3">
      <c r="A48" s="17">
        <v>46</v>
      </c>
      <c r="B48" s="2" t="s">
        <v>55</v>
      </c>
      <c r="C48" s="35">
        <v>64</v>
      </c>
      <c r="D48" s="36">
        <v>58</v>
      </c>
      <c r="E48" s="1">
        <f t="shared" si="0"/>
        <v>3712</v>
      </c>
      <c r="H48" s="17">
        <v>46</v>
      </c>
      <c r="I48" s="2" t="s">
        <v>55</v>
      </c>
      <c r="J48" s="35">
        <v>64</v>
      </c>
      <c r="K48" s="36">
        <v>58</v>
      </c>
      <c r="L48" s="1">
        <f t="shared" si="1"/>
        <v>3712</v>
      </c>
      <c r="O48" s="17">
        <v>46</v>
      </c>
      <c r="P48" s="2" t="s">
        <v>55</v>
      </c>
      <c r="Q48" s="35">
        <v>64</v>
      </c>
      <c r="R48" s="36">
        <v>58</v>
      </c>
      <c r="S48" s="1">
        <f t="shared" si="2"/>
        <v>3712</v>
      </c>
      <c r="V48" s="17">
        <v>46</v>
      </c>
      <c r="W48" s="2" t="s">
        <v>55</v>
      </c>
      <c r="X48" s="35">
        <v>64</v>
      </c>
      <c r="Y48" s="36">
        <v>58</v>
      </c>
      <c r="Z48" s="1">
        <f t="shared" si="3"/>
        <v>3712</v>
      </c>
    </row>
    <row r="49" spans="1:26" ht="18.75" x14ac:dyDescent="0.3">
      <c r="A49" s="17">
        <v>47</v>
      </c>
      <c r="B49" s="2" t="s">
        <v>57</v>
      </c>
      <c r="C49" s="35">
        <v>22.5</v>
      </c>
      <c r="D49" s="36">
        <v>46</v>
      </c>
      <c r="E49" s="1">
        <f t="shared" si="0"/>
        <v>1035</v>
      </c>
      <c r="H49" s="17">
        <v>47</v>
      </c>
      <c r="I49" s="2" t="s">
        <v>57</v>
      </c>
      <c r="J49" s="35">
        <v>22.5</v>
      </c>
      <c r="K49" s="36">
        <v>46</v>
      </c>
      <c r="L49" s="1">
        <f t="shared" si="1"/>
        <v>1035</v>
      </c>
      <c r="O49" s="17">
        <v>47</v>
      </c>
      <c r="P49" s="2" t="s">
        <v>57</v>
      </c>
      <c r="Q49" s="35">
        <v>22.5</v>
      </c>
      <c r="R49" s="36">
        <v>46</v>
      </c>
      <c r="S49" s="1">
        <f t="shared" si="2"/>
        <v>1035</v>
      </c>
      <c r="V49" s="17">
        <v>47</v>
      </c>
      <c r="W49" s="2" t="s">
        <v>57</v>
      </c>
      <c r="X49" s="35">
        <v>22.5</v>
      </c>
      <c r="Y49" s="36">
        <v>46</v>
      </c>
      <c r="Z49" s="1">
        <f t="shared" si="3"/>
        <v>1035</v>
      </c>
    </row>
    <row r="50" spans="1:26" ht="18.75" x14ac:dyDescent="0.3">
      <c r="A50" s="17">
        <v>48</v>
      </c>
      <c r="B50" s="2" t="s">
        <v>5</v>
      </c>
      <c r="C50" s="35">
        <v>27</v>
      </c>
      <c r="D50" s="36">
        <v>56</v>
      </c>
      <c r="E50" s="1">
        <f t="shared" si="0"/>
        <v>1512</v>
      </c>
      <c r="H50" s="17">
        <v>48</v>
      </c>
      <c r="I50" s="2" t="s">
        <v>5</v>
      </c>
      <c r="J50" s="35">
        <f>6.6+12.1</f>
        <v>18.7</v>
      </c>
      <c r="K50" s="36">
        <v>56</v>
      </c>
      <c r="L50" s="1">
        <f t="shared" si="1"/>
        <v>1047.2</v>
      </c>
      <c r="O50" s="17">
        <v>48</v>
      </c>
      <c r="P50" s="2" t="s">
        <v>5</v>
      </c>
      <c r="Q50" s="35"/>
      <c r="R50" s="36"/>
      <c r="S50" s="1">
        <f t="shared" si="2"/>
        <v>0</v>
      </c>
      <c r="V50" s="17">
        <v>48</v>
      </c>
      <c r="W50" s="2" t="s">
        <v>5</v>
      </c>
      <c r="X50" s="35">
        <v>3.5</v>
      </c>
      <c r="Y50" s="36">
        <v>56</v>
      </c>
      <c r="Z50" s="1">
        <f t="shared" si="3"/>
        <v>196</v>
      </c>
    </row>
    <row r="51" spans="1:26" ht="18.75" x14ac:dyDescent="0.3">
      <c r="A51" s="17">
        <v>49</v>
      </c>
      <c r="B51" s="2" t="s">
        <v>112</v>
      </c>
      <c r="C51" s="35"/>
      <c r="D51" s="36"/>
      <c r="E51" s="1">
        <f t="shared" si="0"/>
        <v>0</v>
      </c>
      <c r="H51" s="17">
        <v>49</v>
      </c>
      <c r="I51" s="2" t="s">
        <v>112</v>
      </c>
      <c r="J51" s="35"/>
      <c r="K51" s="36"/>
      <c r="L51" s="1">
        <f t="shared" si="1"/>
        <v>0</v>
      </c>
      <c r="O51" s="17">
        <v>49</v>
      </c>
      <c r="P51" s="2" t="s">
        <v>112</v>
      </c>
      <c r="Q51" s="35"/>
      <c r="R51" s="36"/>
      <c r="S51" s="1">
        <f t="shared" si="2"/>
        <v>0</v>
      </c>
      <c r="V51" s="17">
        <v>49</v>
      </c>
      <c r="W51" s="2" t="s">
        <v>112</v>
      </c>
      <c r="X51" s="35"/>
      <c r="Y51" s="36"/>
      <c r="Z51" s="1">
        <f t="shared" si="3"/>
        <v>0</v>
      </c>
    </row>
    <row r="52" spans="1:26" ht="18.75" x14ac:dyDescent="0.3">
      <c r="A52" s="17">
        <v>50</v>
      </c>
      <c r="B52" s="2" t="s">
        <v>137</v>
      </c>
      <c r="C52" s="35"/>
      <c r="D52" s="36"/>
      <c r="E52" s="1">
        <f t="shared" si="0"/>
        <v>0</v>
      </c>
      <c r="H52" s="17">
        <v>50</v>
      </c>
      <c r="I52" s="2" t="s">
        <v>137</v>
      </c>
      <c r="J52" s="35"/>
      <c r="K52" s="36"/>
      <c r="L52" s="1">
        <f t="shared" si="1"/>
        <v>0</v>
      </c>
      <c r="O52" s="17">
        <v>50</v>
      </c>
      <c r="P52" s="2" t="s">
        <v>137</v>
      </c>
      <c r="Q52" s="35"/>
      <c r="R52" s="36"/>
      <c r="S52" s="1">
        <f t="shared" si="2"/>
        <v>0</v>
      </c>
      <c r="V52" s="17">
        <v>50</v>
      </c>
      <c r="W52" s="2" t="s">
        <v>137</v>
      </c>
      <c r="X52" s="35"/>
      <c r="Y52" s="36"/>
      <c r="Z52" s="1">
        <f t="shared" si="3"/>
        <v>0</v>
      </c>
    </row>
    <row r="53" spans="1:26" ht="18.75" x14ac:dyDescent="0.3">
      <c r="A53" s="17">
        <v>51</v>
      </c>
      <c r="B53" s="2" t="s">
        <v>33</v>
      </c>
      <c r="C53" s="35">
        <f>11.85+105+11.2</f>
        <v>128.04999999999998</v>
      </c>
      <c r="D53" s="36">
        <v>31</v>
      </c>
      <c r="E53" s="1">
        <f t="shared" si="0"/>
        <v>3969.5499999999993</v>
      </c>
      <c r="H53" s="17">
        <v>51</v>
      </c>
      <c r="I53" s="2" t="s">
        <v>33</v>
      </c>
      <c r="J53" s="35">
        <v>664</v>
      </c>
      <c r="K53" s="36">
        <v>31</v>
      </c>
      <c r="L53" s="1">
        <f t="shared" si="1"/>
        <v>20584</v>
      </c>
      <c r="O53" s="17">
        <v>51</v>
      </c>
      <c r="P53" s="2" t="s">
        <v>33</v>
      </c>
      <c r="Q53" s="35">
        <f>354.5+31</f>
        <v>385.5</v>
      </c>
      <c r="R53" s="36">
        <v>30</v>
      </c>
      <c r="S53" s="1">
        <f t="shared" si="2"/>
        <v>11565</v>
      </c>
      <c r="V53" s="17">
        <v>51</v>
      </c>
      <c r="W53" s="2" t="s">
        <v>33</v>
      </c>
      <c r="X53" s="35"/>
      <c r="Y53" s="36"/>
      <c r="Z53" s="1">
        <f t="shared" si="3"/>
        <v>0</v>
      </c>
    </row>
    <row r="54" spans="1:26" ht="18.75" x14ac:dyDescent="0.3">
      <c r="A54" s="17">
        <v>52</v>
      </c>
      <c r="B54" s="2" t="s">
        <v>113</v>
      </c>
      <c r="C54" s="35"/>
      <c r="D54" s="36"/>
      <c r="E54" s="1">
        <f t="shared" si="0"/>
        <v>0</v>
      </c>
      <c r="H54" s="17">
        <v>52</v>
      </c>
      <c r="I54" s="2" t="s">
        <v>113</v>
      </c>
      <c r="J54" s="35"/>
      <c r="K54" s="36"/>
      <c r="L54" s="1">
        <f t="shared" si="1"/>
        <v>0</v>
      </c>
      <c r="O54" s="17">
        <v>52</v>
      </c>
      <c r="P54" s="2" t="s">
        <v>113</v>
      </c>
      <c r="Q54" s="35">
        <v>10</v>
      </c>
      <c r="R54" s="36">
        <v>58</v>
      </c>
      <c r="S54" s="1">
        <f t="shared" si="2"/>
        <v>580</v>
      </c>
      <c r="V54" s="17">
        <v>52</v>
      </c>
      <c r="W54" s="2" t="s">
        <v>113</v>
      </c>
      <c r="X54" s="35"/>
      <c r="Y54" s="36"/>
      <c r="Z54" s="1">
        <f t="shared" si="3"/>
        <v>0</v>
      </c>
    </row>
    <row r="55" spans="1:26" ht="18.75" x14ac:dyDescent="0.3">
      <c r="A55" s="17">
        <v>53</v>
      </c>
      <c r="B55" s="2" t="s">
        <v>81</v>
      </c>
      <c r="C55" s="35">
        <v>25</v>
      </c>
      <c r="D55" s="36">
        <v>60</v>
      </c>
      <c r="E55" s="1">
        <f t="shared" si="0"/>
        <v>1500</v>
      </c>
      <c r="H55" s="17">
        <v>53</v>
      </c>
      <c r="I55" s="2" t="s">
        <v>81</v>
      </c>
      <c r="J55" s="35"/>
      <c r="K55" s="36"/>
      <c r="L55" s="1">
        <f t="shared" si="1"/>
        <v>0</v>
      </c>
      <c r="O55" s="17">
        <v>53</v>
      </c>
      <c r="P55" s="2" t="s">
        <v>81</v>
      </c>
      <c r="Q55" s="35"/>
      <c r="R55" s="36"/>
      <c r="S55" s="1">
        <f t="shared" si="2"/>
        <v>0</v>
      </c>
      <c r="V55" s="17">
        <v>53</v>
      </c>
      <c r="W55" s="2" t="s">
        <v>81</v>
      </c>
      <c r="X55" s="35"/>
      <c r="Y55" s="36"/>
      <c r="Z55" s="1">
        <f t="shared" si="3"/>
        <v>0</v>
      </c>
    </row>
    <row r="56" spans="1:26" ht="18.75" x14ac:dyDescent="0.3">
      <c r="A56" s="17">
        <v>54</v>
      </c>
      <c r="B56" s="2" t="s">
        <v>151</v>
      </c>
      <c r="C56" s="35"/>
      <c r="D56" s="36"/>
      <c r="E56" s="1">
        <f t="shared" si="0"/>
        <v>0</v>
      </c>
      <c r="H56" s="17">
        <v>54</v>
      </c>
      <c r="I56" s="2" t="s">
        <v>151</v>
      </c>
      <c r="J56" s="35">
        <v>3</v>
      </c>
      <c r="K56" s="36">
        <v>50</v>
      </c>
      <c r="L56" s="1">
        <f t="shared" si="1"/>
        <v>150</v>
      </c>
      <c r="O56" s="17">
        <v>54</v>
      </c>
      <c r="P56" s="2" t="s">
        <v>141</v>
      </c>
      <c r="Q56" s="35"/>
      <c r="R56" s="36"/>
      <c r="S56" s="1">
        <f t="shared" si="2"/>
        <v>0</v>
      </c>
      <c r="V56" s="17">
        <v>54</v>
      </c>
      <c r="W56" s="2" t="s">
        <v>141</v>
      </c>
      <c r="X56" s="35"/>
      <c r="Y56" s="36"/>
      <c r="Z56" s="1">
        <f t="shared" si="3"/>
        <v>0</v>
      </c>
    </row>
    <row r="57" spans="1:26" ht="18.75" x14ac:dyDescent="0.3">
      <c r="A57" s="17">
        <v>55</v>
      </c>
      <c r="B57" s="2" t="s">
        <v>54</v>
      </c>
      <c r="C57" s="34"/>
      <c r="D57" s="3"/>
      <c r="E57" s="1">
        <f t="shared" si="0"/>
        <v>0</v>
      </c>
      <c r="H57" s="17">
        <v>55</v>
      </c>
      <c r="I57" s="2" t="s">
        <v>54</v>
      </c>
      <c r="J57" s="34"/>
      <c r="K57" s="3"/>
      <c r="L57" s="1">
        <f t="shared" si="1"/>
        <v>0</v>
      </c>
      <c r="O57" s="17">
        <v>55</v>
      </c>
      <c r="P57" s="2" t="s">
        <v>54</v>
      </c>
      <c r="Q57" s="34"/>
      <c r="R57" s="3"/>
      <c r="S57" s="1">
        <f t="shared" si="2"/>
        <v>0</v>
      </c>
      <c r="V57" s="17">
        <v>55</v>
      </c>
      <c r="W57" s="2" t="s">
        <v>54</v>
      </c>
      <c r="X57" s="34"/>
      <c r="Y57" s="3"/>
      <c r="Z57" s="1">
        <f t="shared" si="3"/>
        <v>0</v>
      </c>
    </row>
    <row r="58" spans="1:26" ht="18.75" x14ac:dyDescent="0.3">
      <c r="A58" s="17">
        <v>56</v>
      </c>
      <c r="B58" s="2" t="s">
        <v>138</v>
      </c>
      <c r="C58" s="35">
        <v>1.5</v>
      </c>
      <c r="D58" s="36">
        <v>38</v>
      </c>
      <c r="E58" s="1">
        <f t="shared" si="0"/>
        <v>57</v>
      </c>
      <c r="H58" s="17">
        <v>56</v>
      </c>
      <c r="I58" s="2" t="s">
        <v>138</v>
      </c>
      <c r="J58" s="35">
        <v>1.4</v>
      </c>
      <c r="K58" s="36">
        <v>38</v>
      </c>
      <c r="L58" s="1">
        <f t="shared" si="1"/>
        <v>53.199999999999996</v>
      </c>
      <c r="O58" s="17">
        <v>56</v>
      </c>
      <c r="P58" s="2" t="s">
        <v>138</v>
      </c>
      <c r="Q58" s="35">
        <v>4.16</v>
      </c>
      <c r="R58" s="36">
        <v>36</v>
      </c>
      <c r="S58" s="1">
        <f t="shared" si="2"/>
        <v>149.76</v>
      </c>
      <c r="V58" s="17">
        <v>56</v>
      </c>
      <c r="W58" s="2" t="s">
        <v>138</v>
      </c>
      <c r="X58" s="35">
        <v>7.1</v>
      </c>
      <c r="Y58" s="36">
        <v>48</v>
      </c>
      <c r="Z58" s="1">
        <f t="shared" si="3"/>
        <v>340.79999999999995</v>
      </c>
    </row>
    <row r="59" spans="1:26" ht="18.75" x14ac:dyDescent="0.3">
      <c r="A59" s="17">
        <v>57</v>
      </c>
      <c r="B59" s="2" t="s">
        <v>15</v>
      </c>
      <c r="C59" s="35">
        <v>12.3</v>
      </c>
      <c r="D59" s="36">
        <v>70</v>
      </c>
      <c r="E59" s="1">
        <f t="shared" si="0"/>
        <v>861</v>
      </c>
      <c r="H59" s="17">
        <v>57</v>
      </c>
      <c r="I59" s="2" t="s">
        <v>15</v>
      </c>
      <c r="J59" s="35">
        <v>19.600000000000001</v>
      </c>
      <c r="K59" s="36">
        <v>70</v>
      </c>
      <c r="L59" s="1">
        <f t="shared" si="1"/>
        <v>1372</v>
      </c>
      <c r="O59" s="17">
        <v>57</v>
      </c>
      <c r="P59" s="2" t="s">
        <v>15</v>
      </c>
      <c r="Q59" s="35">
        <v>24.5</v>
      </c>
      <c r="R59" s="36">
        <v>70</v>
      </c>
      <c r="S59" s="1">
        <f t="shared" si="2"/>
        <v>1715</v>
      </c>
      <c r="V59" s="17">
        <v>57</v>
      </c>
      <c r="W59" s="2" t="s">
        <v>15</v>
      </c>
      <c r="X59" s="35">
        <v>32</v>
      </c>
      <c r="Y59" s="36">
        <v>72</v>
      </c>
      <c r="Z59" s="1">
        <f t="shared" si="3"/>
        <v>2304</v>
      </c>
    </row>
    <row r="60" spans="1:26" ht="18.75" x14ac:dyDescent="0.3">
      <c r="A60" s="17">
        <v>58</v>
      </c>
      <c r="B60" s="2" t="s">
        <v>58</v>
      </c>
      <c r="C60" s="35">
        <v>15</v>
      </c>
      <c r="D60" s="36">
        <v>14</v>
      </c>
      <c r="E60" s="3">
        <f t="shared" si="0"/>
        <v>210</v>
      </c>
      <c r="H60" s="17">
        <v>58</v>
      </c>
      <c r="I60" s="2" t="s">
        <v>58</v>
      </c>
      <c r="J60" s="35">
        <v>15</v>
      </c>
      <c r="K60" s="36">
        <v>14</v>
      </c>
      <c r="L60" s="3">
        <f t="shared" si="1"/>
        <v>210</v>
      </c>
      <c r="O60" s="17">
        <v>58</v>
      </c>
      <c r="P60" s="2" t="s">
        <v>58</v>
      </c>
      <c r="Q60" s="35">
        <v>15</v>
      </c>
      <c r="R60" s="36">
        <v>14</v>
      </c>
      <c r="S60" s="3">
        <f t="shared" si="2"/>
        <v>210</v>
      </c>
      <c r="V60" s="17">
        <v>58</v>
      </c>
      <c r="W60" s="2" t="s">
        <v>58</v>
      </c>
      <c r="X60" s="35">
        <f>12+3</f>
        <v>15</v>
      </c>
      <c r="Y60" s="36">
        <v>14</v>
      </c>
      <c r="Z60" s="3">
        <f t="shared" si="3"/>
        <v>210</v>
      </c>
    </row>
    <row r="61" spans="1:26" ht="18.75" x14ac:dyDescent="0.3">
      <c r="A61" s="17">
        <v>59</v>
      </c>
      <c r="B61" s="2" t="s">
        <v>60</v>
      </c>
      <c r="C61" s="35"/>
      <c r="D61" s="36"/>
      <c r="E61" s="1">
        <f t="shared" si="0"/>
        <v>0</v>
      </c>
      <c r="H61" s="17">
        <v>59</v>
      </c>
      <c r="I61" s="2" t="s">
        <v>60</v>
      </c>
      <c r="J61" s="35"/>
      <c r="K61" s="36"/>
      <c r="L61" s="1">
        <f t="shared" si="1"/>
        <v>0</v>
      </c>
      <c r="O61" s="17">
        <v>59</v>
      </c>
      <c r="P61" s="2" t="s">
        <v>60</v>
      </c>
      <c r="Q61" s="35"/>
      <c r="R61" s="36"/>
      <c r="S61" s="1">
        <f t="shared" si="2"/>
        <v>0</v>
      </c>
      <c r="V61" s="17">
        <v>59</v>
      </c>
      <c r="W61" s="2" t="s">
        <v>60</v>
      </c>
      <c r="X61" s="35"/>
      <c r="Y61" s="36"/>
      <c r="Z61" s="1">
        <f t="shared" si="3"/>
        <v>0</v>
      </c>
    </row>
    <row r="62" spans="1:26" ht="18.75" x14ac:dyDescent="0.3">
      <c r="A62" s="17">
        <v>60</v>
      </c>
      <c r="B62" s="2" t="s">
        <v>31</v>
      </c>
      <c r="C62" s="35"/>
      <c r="D62" s="36"/>
      <c r="E62" s="3">
        <f t="shared" si="0"/>
        <v>0</v>
      </c>
      <c r="H62" s="17">
        <v>60</v>
      </c>
      <c r="I62" s="2" t="s">
        <v>31</v>
      </c>
      <c r="J62" s="35"/>
      <c r="K62" s="36"/>
      <c r="L62" s="3">
        <f t="shared" si="1"/>
        <v>0</v>
      </c>
      <c r="O62" s="17">
        <v>60</v>
      </c>
      <c r="P62" s="2" t="s">
        <v>31</v>
      </c>
      <c r="Q62" s="35"/>
      <c r="R62" s="36"/>
      <c r="S62" s="3">
        <f t="shared" si="2"/>
        <v>0</v>
      </c>
      <c r="V62" s="17">
        <v>60</v>
      </c>
      <c r="W62" s="2" t="s">
        <v>31</v>
      </c>
      <c r="X62" s="35"/>
      <c r="Y62" s="36"/>
      <c r="Z62" s="3">
        <f t="shared" si="3"/>
        <v>0</v>
      </c>
    </row>
    <row r="63" spans="1:26" ht="18.75" x14ac:dyDescent="0.3">
      <c r="A63" s="17">
        <v>61</v>
      </c>
      <c r="B63" s="2" t="s">
        <v>87</v>
      </c>
      <c r="C63" s="35"/>
      <c r="D63" s="36"/>
      <c r="E63" s="1">
        <f t="shared" si="0"/>
        <v>0</v>
      </c>
      <c r="H63" s="17">
        <v>61</v>
      </c>
      <c r="I63" s="2" t="s">
        <v>87</v>
      </c>
      <c r="J63" s="35">
        <v>7.5</v>
      </c>
      <c r="K63" s="36">
        <v>80</v>
      </c>
      <c r="L63" s="1">
        <f t="shared" si="1"/>
        <v>600</v>
      </c>
      <c r="O63" s="17">
        <v>61</v>
      </c>
      <c r="P63" s="2" t="s">
        <v>87</v>
      </c>
      <c r="Q63" s="35">
        <v>11</v>
      </c>
      <c r="R63" s="36">
        <v>80</v>
      </c>
      <c r="S63" s="1">
        <f t="shared" si="2"/>
        <v>880</v>
      </c>
      <c r="V63" s="17">
        <v>61</v>
      </c>
      <c r="W63" s="2" t="s">
        <v>87</v>
      </c>
      <c r="X63" s="35">
        <v>0.5</v>
      </c>
      <c r="Y63" s="36">
        <v>42</v>
      </c>
      <c r="Z63" s="1">
        <f t="shared" si="3"/>
        <v>21</v>
      </c>
    </row>
    <row r="64" spans="1:26" ht="18.75" x14ac:dyDescent="0.3">
      <c r="A64" s="17">
        <v>62</v>
      </c>
      <c r="B64" s="2" t="s">
        <v>63</v>
      </c>
      <c r="C64" s="35"/>
      <c r="D64" s="36"/>
      <c r="E64" s="1">
        <f t="shared" si="0"/>
        <v>0</v>
      </c>
      <c r="H64" s="17">
        <v>62</v>
      </c>
      <c r="I64" s="2" t="s">
        <v>63</v>
      </c>
      <c r="J64" s="35">
        <v>1</v>
      </c>
      <c r="K64" s="36">
        <v>780</v>
      </c>
      <c r="L64" s="1">
        <f t="shared" si="1"/>
        <v>780</v>
      </c>
      <c r="O64" s="17">
        <v>62</v>
      </c>
      <c r="P64" s="2" t="s">
        <v>63</v>
      </c>
      <c r="Q64" s="35"/>
      <c r="R64" s="36"/>
      <c r="S64" s="1">
        <f t="shared" si="2"/>
        <v>0</v>
      </c>
      <c r="V64" s="17">
        <v>62</v>
      </c>
      <c r="W64" s="2" t="s">
        <v>63</v>
      </c>
      <c r="X64" s="35">
        <v>1</v>
      </c>
      <c r="Y64" s="36">
        <v>780</v>
      </c>
      <c r="Z64" s="1">
        <f t="shared" si="3"/>
        <v>780</v>
      </c>
    </row>
    <row r="65" spans="1:26" ht="18.75" x14ac:dyDescent="0.3">
      <c r="A65" s="17">
        <v>63</v>
      </c>
      <c r="B65" s="2" t="s">
        <v>78</v>
      </c>
      <c r="C65" s="35"/>
      <c r="D65" s="36"/>
      <c r="E65" s="1">
        <f t="shared" si="0"/>
        <v>0</v>
      </c>
      <c r="H65" s="17">
        <v>63</v>
      </c>
      <c r="I65" s="2" t="s">
        <v>78</v>
      </c>
      <c r="J65" s="35"/>
      <c r="K65" s="36"/>
      <c r="L65" s="1">
        <f t="shared" si="1"/>
        <v>0</v>
      </c>
      <c r="O65" s="17">
        <v>63</v>
      </c>
      <c r="P65" s="2" t="s">
        <v>78</v>
      </c>
      <c r="Q65" s="35"/>
      <c r="R65" s="36"/>
      <c r="S65" s="1">
        <f t="shared" si="2"/>
        <v>0</v>
      </c>
      <c r="V65" s="17">
        <v>63</v>
      </c>
      <c r="W65" s="2" t="s">
        <v>78</v>
      </c>
      <c r="X65" s="35"/>
      <c r="Y65" s="36"/>
      <c r="Z65" s="1">
        <f t="shared" si="3"/>
        <v>0</v>
      </c>
    </row>
    <row r="66" spans="1:26" ht="18.75" x14ac:dyDescent="0.3">
      <c r="A66" s="17">
        <v>64</v>
      </c>
      <c r="B66" s="2" t="s">
        <v>59</v>
      </c>
      <c r="C66" s="35">
        <v>2.1800000000000002</v>
      </c>
      <c r="D66" s="36">
        <v>76</v>
      </c>
      <c r="E66" s="1">
        <f t="shared" si="0"/>
        <v>165.68</v>
      </c>
      <c r="H66" s="17">
        <v>64</v>
      </c>
      <c r="I66" s="2" t="s">
        <v>59</v>
      </c>
      <c r="J66" s="35">
        <v>0.88500000000000001</v>
      </c>
      <c r="K66" s="36">
        <v>76</v>
      </c>
      <c r="L66" s="1">
        <f t="shared" si="1"/>
        <v>67.260000000000005</v>
      </c>
      <c r="O66" s="17">
        <v>64</v>
      </c>
      <c r="P66" s="2" t="s">
        <v>59</v>
      </c>
      <c r="Q66" s="35">
        <v>1.4</v>
      </c>
      <c r="R66" s="36">
        <v>76</v>
      </c>
      <c r="S66" s="1">
        <f t="shared" si="2"/>
        <v>106.39999999999999</v>
      </c>
      <c r="V66" s="17">
        <v>64</v>
      </c>
      <c r="W66" s="2" t="s">
        <v>59</v>
      </c>
      <c r="X66" s="35">
        <v>2.14</v>
      </c>
      <c r="Y66" s="36">
        <v>76</v>
      </c>
      <c r="Z66" s="1">
        <f t="shared" si="3"/>
        <v>162.64000000000001</v>
      </c>
    </row>
    <row r="67" spans="1:26" ht="18.75" x14ac:dyDescent="0.3">
      <c r="A67" s="17">
        <v>65</v>
      </c>
      <c r="B67" s="2" t="s">
        <v>30</v>
      </c>
      <c r="C67" s="35">
        <v>10</v>
      </c>
      <c r="D67" s="36">
        <v>40</v>
      </c>
      <c r="E67" s="1">
        <f t="shared" si="0"/>
        <v>400</v>
      </c>
      <c r="H67" s="17">
        <v>65</v>
      </c>
      <c r="I67" s="2" t="s">
        <v>30</v>
      </c>
      <c r="J67" s="35">
        <v>15</v>
      </c>
      <c r="K67" s="36">
        <v>40</v>
      </c>
      <c r="L67" s="1">
        <f t="shared" si="1"/>
        <v>600</v>
      </c>
      <c r="O67" s="17">
        <v>65</v>
      </c>
      <c r="P67" s="2" t="s">
        <v>30</v>
      </c>
      <c r="Q67" s="35">
        <v>20</v>
      </c>
      <c r="R67" s="36">
        <v>45</v>
      </c>
      <c r="S67" s="1">
        <f t="shared" si="2"/>
        <v>900</v>
      </c>
      <c r="V67" s="17">
        <v>65</v>
      </c>
      <c r="W67" s="2" t="s">
        <v>30</v>
      </c>
      <c r="X67" s="35">
        <v>29</v>
      </c>
      <c r="Y67" s="36">
        <v>40</v>
      </c>
      <c r="Z67" s="1">
        <f t="shared" si="3"/>
        <v>1160</v>
      </c>
    </row>
    <row r="68" spans="1:26" ht="19.5" thickBot="1" x14ac:dyDescent="0.35">
      <c r="A68" s="17">
        <v>66</v>
      </c>
      <c r="B68" s="2" t="s">
        <v>117</v>
      </c>
      <c r="C68" s="34"/>
      <c r="D68" s="3"/>
      <c r="E68" s="1">
        <f t="shared" ref="E68" si="4">D68*C68</f>
        <v>0</v>
      </c>
      <c r="H68" s="17">
        <v>66</v>
      </c>
      <c r="I68" s="2" t="s">
        <v>117</v>
      </c>
      <c r="J68" s="34"/>
      <c r="K68" s="3"/>
      <c r="L68" s="1">
        <f t="shared" ref="L68" si="5">K68*J68</f>
        <v>0</v>
      </c>
      <c r="O68" s="17">
        <v>66</v>
      </c>
      <c r="P68" s="2" t="s">
        <v>117</v>
      </c>
      <c r="Q68" s="34"/>
      <c r="R68" s="3"/>
      <c r="S68" s="1">
        <f t="shared" ref="S68" si="6">R68*Q68</f>
        <v>0</v>
      </c>
      <c r="V68" s="17">
        <v>66</v>
      </c>
      <c r="W68" s="2" t="s">
        <v>117</v>
      </c>
      <c r="X68" s="34"/>
      <c r="Y68" s="3"/>
      <c r="Z68" s="1">
        <f t="shared" ref="Z68" si="7">Y68*X68</f>
        <v>0</v>
      </c>
    </row>
    <row r="69" spans="1:26" ht="19.5" thickBot="1" x14ac:dyDescent="0.35">
      <c r="B69" s="2"/>
      <c r="C69" s="34"/>
      <c r="D69" s="30" t="s">
        <v>40</v>
      </c>
      <c r="E69" s="31">
        <f>SUM(E3:E68)</f>
        <v>78508.809999999983</v>
      </c>
      <c r="I69" s="2"/>
      <c r="J69" s="34"/>
      <c r="K69" s="30" t="s">
        <v>40</v>
      </c>
      <c r="L69" s="31">
        <f>SUM(L3:L68)</f>
        <v>115507.4</v>
      </c>
      <c r="P69" s="2"/>
      <c r="Q69" s="34"/>
      <c r="R69" s="30" t="s">
        <v>40</v>
      </c>
      <c r="S69" s="31">
        <f>SUM(S3:S68)</f>
        <v>133224.79999999999</v>
      </c>
      <c r="W69" s="2"/>
      <c r="X69" s="34"/>
      <c r="Y69" s="30" t="s">
        <v>40</v>
      </c>
      <c r="Z69" s="31">
        <f>SUM(Z3:Z68)</f>
        <v>95717.92</v>
      </c>
    </row>
  </sheetData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workbookViewId="0">
      <selection activeCell="E73" sqref="E73"/>
    </sheetView>
  </sheetViews>
  <sheetFormatPr baseColWidth="10" defaultRowHeight="15" x14ac:dyDescent="0.25"/>
  <cols>
    <col min="1" max="1" width="11.42578125" style="17"/>
    <col min="2" max="2" width="24.28515625" customWidth="1"/>
    <col min="3" max="3" width="14.140625" bestFit="1" customWidth="1"/>
    <col min="4" max="4" width="12.28515625" bestFit="1" customWidth="1"/>
    <col min="5" max="5" width="17.42578125" bestFit="1" customWidth="1"/>
    <col min="7" max="7" width="11.42578125" style="17"/>
    <col min="8" max="8" width="24.28515625" customWidth="1"/>
    <col min="9" max="9" width="14.140625" bestFit="1" customWidth="1"/>
    <col min="10" max="10" width="12.28515625" bestFit="1" customWidth="1"/>
    <col min="11" max="11" width="17.42578125" bestFit="1" customWidth="1"/>
    <col min="13" max="13" width="11.42578125" style="17"/>
    <col min="14" max="14" width="24.28515625" customWidth="1"/>
    <col min="15" max="15" width="14.140625" bestFit="1" customWidth="1"/>
    <col min="16" max="16" width="12.28515625" bestFit="1" customWidth="1"/>
    <col min="17" max="17" width="17.42578125" bestFit="1" customWidth="1"/>
  </cols>
  <sheetData>
    <row r="1" spans="1:17" ht="18.75" x14ac:dyDescent="0.3">
      <c r="B1" s="2"/>
      <c r="C1" s="34"/>
      <c r="D1" s="3"/>
      <c r="E1" s="2"/>
      <c r="H1" s="2"/>
      <c r="I1" s="34"/>
      <c r="J1" s="3"/>
      <c r="K1" s="2"/>
      <c r="N1" s="2"/>
      <c r="O1" s="34"/>
      <c r="P1" s="3"/>
      <c r="Q1" s="2"/>
    </row>
    <row r="2" spans="1:17" ht="19.5" thickBot="1" x14ac:dyDescent="0.35">
      <c r="B2" s="45" t="s">
        <v>158</v>
      </c>
      <c r="C2" s="46"/>
      <c r="D2" s="47"/>
      <c r="E2" s="48"/>
      <c r="H2" s="24" t="s">
        <v>155</v>
      </c>
      <c r="I2" s="32"/>
      <c r="J2" s="26"/>
      <c r="K2" s="27"/>
      <c r="N2" s="24" t="s">
        <v>154</v>
      </c>
      <c r="O2" s="32"/>
      <c r="P2" s="26"/>
      <c r="Q2" s="27"/>
    </row>
    <row r="3" spans="1:17" ht="19.5" thickTop="1" x14ac:dyDescent="0.3">
      <c r="A3" s="17">
        <v>1</v>
      </c>
      <c r="B3" s="44" t="s">
        <v>145</v>
      </c>
      <c r="C3" s="37"/>
      <c r="D3" s="38"/>
      <c r="E3" s="1">
        <f t="shared" ref="E3:E68" si="0">D3*C3</f>
        <v>0</v>
      </c>
      <c r="G3" s="17">
        <v>1</v>
      </c>
      <c r="H3" s="44" t="s">
        <v>145</v>
      </c>
      <c r="I3" s="37"/>
      <c r="J3" s="38"/>
      <c r="K3" s="1">
        <f t="shared" ref="K3:K68" si="1">J3*I3</f>
        <v>0</v>
      </c>
      <c r="M3" s="17">
        <v>1</v>
      </c>
      <c r="N3" s="44" t="s">
        <v>145</v>
      </c>
      <c r="O3" s="37"/>
      <c r="P3" s="38"/>
      <c r="Q3" s="1">
        <f t="shared" ref="Q3:Q68" si="2">P3*O3</f>
        <v>0</v>
      </c>
    </row>
    <row r="4" spans="1:17" ht="18.75" x14ac:dyDescent="0.3">
      <c r="A4" s="17">
        <v>2</v>
      </c>
      <c r="B4" s="14" t="s">
        <v>131</v>
      </c>
      <c r="C4" s="33"/>
      <c r="D4" s="16"/>
      <c r="E4" s="1">
        <f t="shared" si="0"/>
        <v>0</v>
      </c>
      <c r="G4" s="17">
        <v>2</v>
      </c>
      <c r="H4" s="14" t="s">
        <v>131</v>
      </c>
      <c r="I4" s="33"/>
      <c r="J4" s="16"/>
      <c r="K4" s="1">
        <f t="shared" si="1"/>
        <v>0</v>
      </c>
      <c r="M4" s="17">
        <v>2</v>
      </c>
      <c r="N4" s="14" t="s">
        <v>131</v>
      </c>
      <c r="O4" s="33">
        <v>6</v>
      </c>
      <c r="P4" s="16">
        <v>38</v>
      </c>
      <c r="Q4" s="1">
        <f t="shared" si="2"/>
        <v>228</v>
      </c>
    </row>
    <row r="5" spans="1:17" ht="18.75" x14ac:dyDescent="0.3">
      <c r="A5" s="17">
        <v>3</v>
      </c>
      <c r="B5" s="14" t="s">
        <v>129</v>
      </c>
      <c r="C5" s="37"/>
      <c r="D5" s="38"/>
      <c r="E5" s="1">
        <f t="shared" si="0"/>
        <v>0</v>
      </c>
      <c r="G5" s="17">
        <v>3</v>
      </c>
      <c r="H5" s="14" t="s">
        <v>129</v>
      </c>
      <c r="I5" s="37"/>
      <c r="J5" s="38"/>
      <c r="K5" s="1">
        <f t="shared" si="1"/>
        <v>0</v>
      </c>
      <c r="M5" s="17">
        <v>3</v>
      </c>
      <c r="N5" s="14" t="s">
        <v>129</v>
      </c>
      <c r="O5" s="37"/>
      <c r="P5" s="38"/>
      <c r="Q5" s="1">
        <f t="shared" si="2"/>
        <v>0</v>
      </c>
    </row>
    <row r="6" spans="1:17" ht="18.75" x14ac:dyDescent="0.3">
      <c r="A6" s="17">
        <v>4</v>
      </c>
      <c r="B6" s="2" t="s">
        <v>123</v>
      </c>
      <c r="C6" s="34"/>
      <c r="D6" s="3"/>
      <c r="E6" s="1">
        <f t="shared" si="0"/>
        <v>0</v>
      </c>
      <c r="G6" s="17">
        <v>4</v>
      </c>
      <c r="H6" s="2" t="s">
        <v>123</v>
      </c>
      <c r="I6" s="34"/>
      <c r="J6" s="3"/>
      <c r="K6" s="1">
        <f t="shared" si="1"/>
        <v>0</v>
      </c>
      <c r="M6" s="17">
        <v>4</v>
      </c>
      <c r="N6" s="2" t="s">
        <v>123</v>
      </c>
      <c r="O6" s="34"/>
      <c r="P6" s="3"/>
      <c r="Q6" s="1">
        <f t="shared" si="2"/>
        <v>0</v>
      </c>
    </row>
    <row r="7" spans="1:17" ht="18.75" x14ac:dyDescent="0.3">
      <c r="A7" s="17">
        <v>5</v>
      </c>
      <c r="B7" s="2" t="s">
        <v>111</v>
      </c>
      <c r="C7" s="35"/>
      <c r="D7" s="36"/>
      <c r="E7" s="1">
        <f t="shared" si="0"/>
        <v>0</v>
      </c>
      <c r="G7" s="17">
        <v>5</v>
      </c>
      <c r="H7" s="2" t="s">
        <v>111</v>
      </c>
      <c r="I7" s="35"/>
      <c r="J7" s="36"/>
      <c r="K7" s="1">
        <f t="shared" si="1"/>
        <v>0</v>
      </c>
      <c r="M7" s="17">
        <v>5</v>
      </c>
      <c r="N7" s="2" t="s">
        <v>111</v>
      </c>
      <c r="O7" s="35"/>
      <c r="P7" s="36"/>
      <c r="Q7" s="1">
        <f t="shared" si="2"/>
        <v>0</v>
      </c>
    </row>
    <row r="8" spans="1:17" ht="18.75" x14ac:dyDescent="0.3">
      <c r="A8" s="17">
        <v>6</v>
      </c>
      <c r="B8" s="2" t="s">
        <v>44</v>
      </c>
      <c r="C8" s="35">
        <v>26.2</v>
      </c>
      <c r="D8" s="36">
        <v>18</v>
      </c>
      <c r="E8" s="1">
        <f t="shared" si="0"/>
        <v>471.59999999999997</v>
      </c>
      <c r="G8" s="17">
        <v>6</v>
      </c>
      <c r="H8" s="2" t="s">
        <v>44</v>
      </c>
      <c r="I8" s="35">
        <v>30.5</v>
      </c>
      <c r="J8" s="36">
        <v>17</v>
      </c>
      <c r="K8" s="1">
        <f t="shared" si="1"/>
        <v>518.5</v>
      </c>
      <c r="M8" s="17">
        <v>6</v>
      </c>
      <c r="N8" s="2" t="s">
        <v>44</v>
      </c>
      <c r="O8" s="35">
        <v>23.5</v>
      </c>
      <c r="P8" s="36">
        <v>17</v>
      </c>
      <c r="Q8" s="1">
        <f t="shared" si="2"/>
        <v>399.5</v>
      </c>
    </row>
    <row r="9" spans="1:17" ht="18.75" x14ac:dyDescent="0.3">
      <c r="A9" s="17">
        <v>7</v>
      </c>
      <c r="B9" s="2" t="s">
        <v>62</v>
      </c>
      <c r="C9" s="35">
        <v>124.8</v>
      </c>
      <c r="D9" s="36">
        <v>43</v>
      </c>
      <c r="E9" s="3">
        <f t="shared" si="0"/>
        <v>5366.4</v>
      </c>
      <c r="G9" s="17">
        <v>7</v>
      </c>
      <c r="H9" s="2" t="s">
        <v>62</v>
      </c>
      <c r="I9" s="35"/>
      <c r="J9" s="36"/>
      <c r="K9" s="3">
        <f t="shared" si="1"/>
        <v>0</v>
      </c>
      <c r="M9" s="17">
        <v>7</v>
      </c>
      <c r="N9" s="2" t="s">
        <v>62</v>
      </c>
      <c r="O9" s="35">
        <v>49.5</v>
      </c>
      <c r="P9" s="36">
        <v>40</v>
      </c>
      <c r="Q9" s="3">
        <f t="shared" si="2"/>
        <v>1980</v>
      </c>
    </row>
    <row r="10" spans="1:17" ht="18.75" x14ac:dyDescent="0.3">
      <c r="A10" s="17">
        <v>8</v>
      </c>
      <c r="B10" s="2" t="s">
        <v>116</v>
      </c>
      <c r="C10" s="35">
        <v>16</v>
      </c>
      <c r="D10" s="36">
        <v>76</v>
      </c>
      <c r="E10" s="1">
        <f t="shared" si="0"/>
        <v>1216</v>
      </c>
      <c r="G10" s="17">
        <v>8</v>
      </c>
      <c r="H10" s="2" t="s">
        <v>116</v>
      </c>
      <c r="I10" s="35">
        <v>23</v>
      </c>
      <c r="J10" s="36">
        <v>76</v>
      </c>
      <c r="K10" s="1">
        <f t="shared" si="1"/>
        <v>1748</v>
      </c>
      <c r="M10" s="17">
        <v>8</v>
      </c>
      <c r="N10" s="2" t="s">
        <v>116</v>
      </c>
      <c r="O10" s="35">
        <v>2.25</v>
      </c>
      <c r="P10" s="36">
        <v>76</v>
      </c>
      <c r="Q10" s="1">
        <f t="shared" si="2"/>
        <v>171</v>
      </c>
    </row>
    <row r="11" spans="1:17" ht="18.75" x14ac:dyDescent="0.3">
      <c r="A11" s="17">
        <v>9</v>
      </c>
      <c r="B11" s="2" t="s">
        <v>115</v>
      </c>
      <c r="C11" s="35"/>
      <c r="D11" s="36"/>
      <c r="E11" s="1">
        <f t="shared" si="0"/>
        <v>0</v>
      </c>
      <c r="G11" s="17">
        <v>9</v>
      </c>
      <c r="H11" s="2" t="s">
        <v>115</v>
      </c>
      <c r="I11" s="35"/>
      <c r="J11" s="36"/>
      <c r="K11" s="1">
        <f t="shared" si="1"/>
        <v>0</v>
      </c>
      <c r="M11" s="17">
        <v>9</v>
      </c>
      <c r="N11" s="2" t="s">
        <v>115</v>
      </c>
      <c r="O11" s="35">
        <v>19.8</v>
      </c>
      <c r="P11" s="36">
        <v>31.5</v>
      </c>
      <c r="Q11" s="1">
        <f t="shared" si="2"/>
        <v>623.70000000000005</v>
      </c>
    </row>
    <row r="12" spans="1:17" ht="18.75" x14ac:dyDescent="0.3">
      <c r="A12" s="17">
        <v>10</v>
      </c>
      <c r="B12" s="2" t="s">
        <v>96</v>
      </c>
      <c r="C12" s="35"/>
      <c r="D12" s="36"/>
      <c r="E12" s="1">
        <f t="shared" si="0"/>
        <v>0</v>
      </c>
      <c r="G12" s="17">
        <v>10</v>
      </c>
      <c r="H12" s="2" t="s">
        <v>96</v>
      </c>
      <c r="I12" s="35"/>
      <c r="J12" s="36"/>
      <c r="K12" s="1">
        <f t="shared" si="1"/>
        <v>0</v>
      </c>
      <c r="M12" s="17">
        <v>10</v>
      </c>
      <c r="N12" s="2" t="s">
        <v>96</v>
      </c>
      <c r="O12" s="35"/>
      <c r="P12" s="36"/>
      <c r="Q12" s="1">
        <f t="shared" si="2"/>
        <v>0</v>
      </c>
    </row>
    <row r="13" spans="1:17" ht="18.75" x14ac:dyDescent="0.3">
      <c r="A13" s="17">
        <v>11</v>
      </c>
      <c r="B13" s="2" t="s">
        <v>109</v>
      </c>
      <c r="C13" s="35">
        <v>8.15</v>
      </c>
      <c r="D13" s="36">
        <v>49</v>
      </c>
      <c r="E13" s="1">
        <f t="shared" si="0"/>
        <v>399.35</v>
      </c>
      <c r="G13" s="17">
        <v>11</v>
      </c>
      <c r="H13" s="2" t="s">
        <v>109</v>
      </c>
      <c r="I13" s="35">
        <v>2.38</v>
      </c>
      <c r="J13" s="36">
        <v>60</v>
      </c>
      <c r="K13" s="1">
        <f t="shared" si="1"/>
        <v>142.79999999999998</v>
      </c>
      <c r="M13" s="17">
        <v>11</v>
      </c>
      <c r="N13" s="2" t="s">
        <v>109</v>
      </c>
      <c r="O13" s="35">
        <v>10</v>
      </c>
      <c r="P13" s="36">
        <v>49</v>
      </c>
      <c r="Q13" s="1">
        <f t="shared" si="2"/>
        <v>490</v>
      </c>
    </row>
    <row r="14" spans="1:17" ht="18.75" x14ac:dyDescent="0.3">
      <c r="A14" s="17">
        <v>12</v>
      </c>
      <c r="B14" s="2" t="s">
        <v>9</v>
      </c>
      <c r="C14" s="35">
        <f>25.5+11.25+73.5</f>
        <v>110.25</v>
      </c>
      <c r="D14" s="36">
        <v>22</v>
      </c>
      <c r="E14" s="1">
        <f t="shared" si="0"/>
        <v>2425.5</v>
      </c>
      <c r="G14" s="17">
        <v>12</v>
      </c>
      <c r="H14" s="2" t="s">
        <v>9</v>
      </c>
      <c r="I14" s="35">
        <f>42+38.5</f>
        <v>80.5</v>
      </c>
      <c r="J14" s="36">
        <v>22</v>
      </c>
      <c r="K14" s="1">
        <f t="shared" si="1"/>
        <v>1771</v>
      </c>
      <c r="M14" s="17">
        <v>12</v>
      </c>
      <c r="N14" s="2" t="s">
        <v>9</v>
      </c>
      <c r="O14" s="35">
        <f>64+10.5</f>
        <v>74.5</v>
      </c>
      <c r="P14" s="36">
        <v>22</v>
      </c>
      <c r="Q14" s="1">
        <f t="shared" si="2"/>
        <v>1639</v>
      </c>
    </row>
    <row r="15" spans="1:17" ht="18.75" x14ac:dyDescent="0.3">
      <c r="A15" s="17">
        <v>13</v>
      </c>
      <c r="B15" s="2" t="s">
        <v>4</v>
      </c>
      <c r="C15" s="35">
        <f>906.2+903.1+786.5+940.7</f>
        <v>3536.5</v>
      </c>
      <c r="D15" s="36">
        <v>27</v>
      </c>
      <c r="E15" s="1">
        <f t="shared" si="0"/>
        <v>95485.5</v>
      </c>
      <c r="G15" s="17">
        <v>13</v>
      </c>
      <c r="H15" s="2" t="s">
        <v>4</v>
      </c>
      <c r="I15" s="35">
        <f>912.2+942.4+937.1+905.67+925.3</f>
        <v>4622.67</v>
      </c>
      <c r="J15" s="36">
        <v>34</v>
      </c>
      <c r="K15" s="1">
        <f t="shared" si="1"/>
        <v>157170.78</v>
      </c>
      <c r="M15" s="17">
        <v>13</v>
      </c>
      <c r="N15" s="2" t="s">
        <v>4</v>
      </c>
      <c r="O15" s="35">
        <v>929.9</v>
      </c>
      <c r="P15" s="36">
        <v>31</v>
      </c>
      <c r="Q15" s="1">
        <f t="shared" si="2"/>
        <v>28826.899999999998</v>
      </c>
    </row>
    <row r="16" spans="1:17" ht="18.75" x14ac:dyDescent="0.3">
      <c r="A16" s="17">
        <v>14</v>
      </c>
      <c r="B16" s="2" t="s">
        <v>35</v>
      </c>
      <c r="C16" s="35">
        <v>3</v>
      </c>
      <c r="D16" s="36">
        <v>14</v>
      </c>
      <c r="E16" s="1">
        <f t="shared" si="0"/>
        <v>42</v>
      </c>
      <c r="G16" s="17">
        <v>14</v>
      </c>
      <c r="H16" s="2" t="s">
        <v>35</v>
      </c>
      <c r="I16" s="35">
        <v>7</v>
      </c>
      <c r="J16" s="36">
        <v>14</v>
      </c>
      <c r="K16" s="1">
        <f t="shared" si="1"/>
        <v>98</v>
      </c>
      <c r="M16" s="17">
        <v>14</v>
      </c>
      <c r="N16" s="2" t="s">
        <v>35</v>
      </c>
      <c r="O16" s="35">
        <v>11</v>
      </c>
      <c r="P16" s="36">
        <v>14</v>
      </c>
      <c r="Q16" s="1">
        <f t="shared" si="2"/>
        <v>154</v>
      </c>
    </row>
    <row r="17" spans="1:17" ht="18.75" x14ac:dyDescent="0.3">
      <c r="A17" s="17">
        <v>15</v>
      </c>
      <c r="B17" s="2" t="s">
        <v>1</v>
      </c>
      <c r="C17" s="35"/>
      <c r="D17" s="36"/>
      <c r="E17" s="1">
        <f t="shared" si="0"/>
        <v>0</v>
      </c>
      <c r="G17" s="17">
        <v>15</v>
      </c>
      <c r="H17" s="2" t="s">
        <v>1</v>
      </c>
      <c r="I17" s="35">
        <v>32.450000000000003</v>
      </c>
      <c r="J17" s="36">
        <v>91</v>
      </c>
      <c r="K17" s="1">
        <f t="shared" si="1"/>
        <v>2952.9500000000003</v>
      </c>
      <c r="M17" s="17">
        <v>15</v>
      </c>
      <c r="N17" s="2" t="s">
        <v>1</v>
      </c>
      <c r="O17" s="35">
        <v>31.5</v>
      </c>
      <c r="P17" s="36">
        <v>91</v>
      </c>
      <c r="Q17" s="1">
        <f t="shared" si="2"/>
        <v>2866.5</v>
      </c>
    </row>
    <row r="18" spans="1:17" ht="18.75" x14ac:dyDescent="0.3">
      <c r="A18" s="17">
        <v>16</v>
      </c>
      <c r="B18" s="2" t="s">
        <v>95</v>
      </c>
      <c r="C18" s="35">
        <v>29</v>
      </c>
      <c r="D18" s="36">
        <v>91</v>
      </c>
      <c r="E18" s="1">
        <f t="shared" si="0"/>
        <v>2639</v>
      </c>
      <c r="G18" s="17">
        <v>16</v>
      </c>
      <c r="H18" s="2" t="s">
        <v>95</v>
      </c>
      <c r="I18" s="35"/>
      <c r="J18" s="36"/>
      <c r="K18" s="1">
        <f t="shared" si="1"/>
        <v>0</v>
      </c>
      <c r="M18" s="17">
        <v>16</v>
      </c>
      <c r="N18" s="2" t="s">
        <v>95</v>
      </c>
      <c r="O18" s="35"/>
      <c r="P18" s="36"/>
      <c r="Q18" s="1">
        <f t="shared" si="2"/>
        <v>0</v>
      </c>
    </row>
    <row r="19" spans="1:17" ht="18.75" x14ac:dyDescent="0.3">
      <c r="A19" s="17">
        <v>17</v>
      </c>
      <c r="B19" s="2" t="s">
        <v>66</v>
      </c>
      <c r="C19" s="35">
        <v>1.5</v>
      </c>
      <c r="D19" s="36">
        <v>60</v>
      </c>
      <c r="E19" s="1">
        <f t="shared" si="0"/>
        <v>90</v>
      </c>
      <c r="G19" s="17">
        <v>17</v>
      </c>
      <c r="H19" s="2" t="s">
        <v>66</v>
      </c>
      <c r="I19" s="35"/>
      <c r="J19" s="36"/>
      <c r="K19" s="1">
        <f t="shared" si="1"/>
        <v>0</v>
      </c>
      <c r="M19" s="17">
        <v>17</v>
      </c>
      <c r="N19" s="2" t="s">
        <v>66</v>
      </c>
      <c r="O19" s="35"/>
      <c r="P19" s="36"/>
      <c r="Q19" s="1">
        <f t="shared" si="2"/>
        <v>0</v>
      </c>
    </row>
    <row r="20" spans="1:17" ht="18.75" x14ac:dyDescent="0.3">
      <c r="A20" s="17">
        <v>18</v>
      </c>
      <c r="B20" s="2" t="s">
        <v>98</v>
      </c>
      <c r="C20" s="35"/>
      <c r="D20" s="36"/>
      <c r="E20" s="1">
        <f t="shared" si="0"/>
        <v>0</v>
      </c>
      <c r="G20" s="17">
        <v>18</v>
      </c>
      <c r="H20" s="2" t="s">
        <v>98</v>
      </c>
      <c r="I20" s="35"/>
      <c r="J20" s="36"/>
      <c r="K20" s="1">
        <f t="shared" si="1"/>
        <v>0</v>
      </c>
      <c r="M20" s="17">
        <v>18</v>
      </c>
      <c r="N20" s="2" t="s">
        <v>98</v>
      </c>
      <c r="O20" s="35"/>
      <c r="P20" s="36"/>
      <c r="Q20" s="1">
        <f t="shared" si="2"/>
        <v>0</v>
      </c>
    </row>
    <row r="21" spans="1:17" ht="18.75" x14ac:dyDescent="0.3">
      <c r="A21" s="17">
        <v>19</v>
      </c>
      <c r="B21" s="2" t="s">
        <v>86</v>
      </c>
      <c r="C21" s="35">
        <v>8.5</v>
      </c>
      <c r="D21" s="36">
        <v>12</v>
      </c>
      <c r="E21" s="1">
        <f t="shared" si="0"/>
        <v>102</v>
      </c>
      <c r="G21" s="17">
        <v>19</v>
      </c>
      <c r="H21" s="2" t="s">
        <v>150</v>
      </c>
      <c r="I21" s="35">
        <v>8.5</v>
      </c>
      <c r="J21" s="36">
        <v>18</v>
      </c>
      <c r="K21" s="1">
        <f t="shared" si="1"/>
        <v>153</v>
      </c>
      <c r="M21" s="17">
        <v>19</v>
      </c>
      <c r="N21" s="2" t="s">
        <v>150</v>
      </c>
      <c r="O21" s="35"/>
      <c r="P21" s="36"/>
      <c r="Q21" s="1">
        <f t="shared" si="2"/>
        <v>0</v>
      </c>
    </row>
    <row r="22" spans="1:17" ht="18.75" x14ac:dyDescent="0.3">
      <c r="A22" s="17">
        <v>20</v>
      </c>
      <c r="B22" s="2" t="s">
        <v>92</v>
      </c>
      <c r="C22" s="35"/>
      <c r="D22" s="36"/>
      <c r="E22" s="3">
        <f t="shared" si="0"/>
        <v>0</v>
      </c>
      <c r="G22" s="17">
        <v>20</v>
      </c>
      <c r="H22" s="2" t="s">
        <v>92</v>
      </c>
      <c r="I22" s="35"/>
      <c r="J22" s="36"/>
      <c r="K22" s="3">
        <f t="shared" si="1"/>
        <v>0</v>
      </c>
      <c r="M22" s="17">
        <v>20</v>
      </c>
      <c r="N22" s="2" t="s">
        <v>92</v>
      </c>
      <c r="O22" s="35"/>
      <c r="P22" s="36"/>
      <c r="Q22" s="3">
        <f t="shared" si="2"/>
        <v>0</v>
      </c>
    </row>
    <row r="23" spans="1:17" ht="18.75" x14ac:dyDescent="0.3">
      <c r="A23" s="17">
        <v>21</v>
      </c>
      <c r="B23" s="2" t="s">
        <v>2</v>
      </c>
      <c r="C23" s="35">
        <v>61.4</v>
      </c>
      <c r="D23" s="36">
        <v>24</v>
      </c>
      <c r="E23" s="1">
        <f t="shared" si="0"/>
        <v>1473.6</v>
      </c>
      <c r="G23" s="17">
        <v>21</v>
      </c>
      <c r="H23" s="2" t="s">
        <v>2</v>
      </c>
      <c r="I23" s="35"/>
      <c r="J23" s="36"/>
      <c r="K23" s="1">
        <f t="shared" si="1"/>
        <v>0</v>
      </c>
      <c r="M23" s="17">
        <v>21</v>
      </c>
      <c r="N23" s="2" t="s">
        <v>2</v>
      </c>
      <c r="O23" s="35">
        <v>26.5</v>
      </c>
      <c r="P23" s="36">
        <v>24</v>
      </c>
      <c r="Q23" s="1">
        <f t="shared" si="2"/>
        <v>636</v>
      </c>
    </row>
    <row r="24" spans="1:17" ht="18.75" x14ac:dyDescent="0.3">
      <c r="A24" s="17">
        <v>22</v>
      </c>
      <c r="B24" s="2" t="s">
        <v>88</v>
      </c>
      <c r="C24" s="35"/>
      <c r="D24" s="36"/>
      <c r="E24" s="1">
        <f t="shared" si="0"/>
        <v>0</v>
      </c>
      <c r="G24" s="17">
        <v>22</v>
      </c>
      <c r="H24" s="2" t="s">
        <v>88</v>
      </c>
      <c r="I24" s="35"/>
      <c r="J24" s="36"/>
      <c r="K24" s="1">
        <f t="shared" si="1"/>
        <v>0</v>
      </c>
      <c r="M24" s="17">
        <v>22</v>
      </c>
      <c r="N24" s="2" t="s">
        <v>88</v>
      </c>
      <c r="O24" s="35"/>
      <c r="P24" s="36"/>
      <c r="Q24" s="1">
        <f t="shared" si="2"/>
        <v>0</v>
      </c>
    </row>
    <row r="25" spans="1:17" ht="18.75" x14ac:dyDescent="0.3">
      <c r="A25" s="17">
        <v>23</v>
      </c>
      <c r="B25" s="2" t="s">
        <v>10</v>
      </c>
      <c r="C25" s="35">
        <f>50+150</f>
        <v>200</v>
      </c>
      <c r="D25" s="36">
        <v>12</v>
      </c>
      <c r="E25" s="1">
        <f t="shared" si="0"/>
        <v>2400</v>
      </c>
      <c r="G25" s="17">
        <v>23</v>
      </c>
      <c r="H25" s="2" t="s">
        <v>10</v>
      </c>
      <c r="I25" s="35">
        <v>2.95</v>
      </c>
      <c r="J25" s="36">
        <v>13</v>
      </c>
      <c r="K25" s="1">
        <f t="shared" si="1"/>
        <v>38.35</v>
      </c>
      <c r="M25" s="17">
        <v>23</v>
      </c>
      <c r="N25" s="2" t="s">
        <v>10</v>
      </c>
      <c r="O25" s="35">
        <f>68+63.3</f>
        <v>131.30000000000001</v>
      </c>
      <c r="P25" s="36">
        <v>13</v>
      </c>
      <c r="Q25" s="1">
        <f t="shared" si="2"/>
        <v>1706.9</v>
      </c>
    </row>
    <row r="26" spans="1:17" ht="18.75" x14ac:dyDescent="0.3">
      <c r="A26" s="17">
        <v>24</v>
      </c>
      <c r="B26" s="2" t="s">
        <v>80</v>
      </c>
      <c r="C26" s="35">
        <f>7.35+2.5</f>
        <v>9.85</v>
      </c>
      <c r="D26" s="36">
        <v>26</v>
      </c>
      <c r="E26" s="3">
        <f t="shared" si="0"/>
        <v>256.09999999999997</v>
      </c>
      <c r="G26" s="17">
        <v>24</v>
      </c>
      <c r="H26" s="2" t="s">
        <v>80</v>
      </c>
      <c r="I26" s="35"/>
      <c r="J26" s="36"/>
      <c r="K26" s="3">
        <f t="shared" si="1"/>
        <v>0</v>
      </c>
      <c r="M26" s="17">
        <v>24</v>
      </c>
      <c r="N26" s="2" t="s">
        <v>80</v>
      </c>
      <c r="O26" s="35">
        <f>11.5+4</f>
        <v>15.5</v>
      </c>
      <c r="P26" s="36">
        <v>26</v>
      </c>
      <c r="Q26" s="3">
        <f t="shared" si="2"/>
        <v>403</v>
      </c>
    </row>
    <row r="27" spans="1:17" ht="18.75" x14ac:dyDescent="0.3">
      <c r="A27" s="17">
        <v>25</v>
      </c>
      <c r="B27" s="2" t="s">
        <v>75</v>
      </c>
      <c r="C27" s="35">
        <v>2.1</v>
      </c>
      <c r="D27" s="36">
        <v>65</v>
      </c>
      <c r="E27" s="3">
        <f t="shared" si="0"/>
        <v>136.5</v>
      </c>
      <c r="G27" s="17">
        <v>25</v>
      </c>
      <c r="H27" s="2" t="s">
        <v>75</v>
      </c>
      <c r="I27" s="35"/>
      <c r="J27" s="36"/>
      <c r="K27" s="3">
        <f t="shared" si="1"/>
        <v>0</v>
      </c>
      <c r="M27" s="17">
        <v>25</v>
      </c>
      <c r="N27" s="2" t="s">
        <v>75</v>
      </c>
      <c r="O27" s="35"/>
      <c r="P27" s="36"/>
      <c r="Q27" s="3">
        <f t="shared" si="2"/>
        <v>0</v>
      </c>
    </row>
    <row r="28" spans="1:17" ht="18.75" x14ac:dyDescent="0.3">
      <c r="A28" s="17">
        <v>26</v>
      </c>
      <c r="B28" s="2" t="s">
        <v>159</v>
      </c>
      <c r="C28" s="35">
        <v>53.8</v>
      </c>
      <c r="D28" s="36">
        <v>67</v>
      </c>
      <c r="E28" s="1">
        <f t="shared" si="0"/>
        <v>3604.6</v>
      </c>
      <c r="G28" s="17">
        <v>26</v>
      </c>
      <c r="H28" s="2" t="s">
        <v>7</v>
      </c>
      <c r="I28" s="35">
        <v>14.25</v>
      </c>
      <c r="J28" s="36">
        <v>30</v>
      </c>
      <c r="K28" s="1">
        <f t="shared" si="1"/>
        <v>427.5</v>
      </c>
      <c r="M28" s="17">
        <v>26</v>
      </c>
      <c r="N28" s="2" t="s">
        <v>130</v>
      </c>
      <c r="O28" s="35"/>
      <c r="P28" s="36"/>
      <c r="Q28" s="1">
        <f t="shared" si="2"/>
        <v>0</v>
      </c>
    </row>
    <row r="29" spans="1:17" ht="18.75" x14ac:dyDescent="0.3">
      <c r="A29" s="17">
        <v>27</v>
      </c>
      <c r="B29" s="2" t="s">
        <v>7</v>
      </c>
      <c r="C29" s="35">
        <f>17.5+1.46</f>
        <v>18.96</v>
      </c>
      <c r="D29" s="36">
        <v>30</v>
      </c>
      <c r="E29" s="1">
        <f t="shared" si="0"/>
        <v>568.80000000000007</v>
      </c>
      <c r="G29" s="17">
        <v>27</v>
      </c>
      <c r="H29" s="2" t="s">
        <v>7</v>
      </c>
      <c r="I29" s="35">
        <v>7</v>
      </c>
      <c r="J29" s="36">
        <v>42</v>
      </c>
      <c r="K29" s="1">
        <f t="shared" si="1"/>
        <v>294</v>
      </c>
      <c r="M29" s="17">
        <v>27</v>
      </c>
      <c r="N29" s="2" t="s">
        <v>7</v>
      </c>
      <c r="O29" s="35">
        <v>19.600000000000001</v>
      </c>
      <c r="P29" s="36">
        <v>30</v>
      </c>
      <c r="Q29" s="1">
        <f t="shared" si="2"/>
        <v>588</v>
      </c>
    </row>
    <row r="30" spans="1:17" ht="18.75" x14ac:dyDescent="0.3">
      <c r="A30" s="17">
        <v>28</v>
      </c>
      <c r="B30" s="2" t="s">
        <v>108</v>
      </c>
      <c r="C30" s="35"/>
      <c r="D30" s="36"/>
      <c r="E30" s="3">
        <f t="shared" si="0"/>
        <v>0</v>
      </c>
      <c r="G30" s="17">
        <v>28</v>
      </c>
      <c r="H30" s="2" t="s">
        <v>108</v>
      </c>
      <c r="I30" s="35">
        <v>1.65</v>
      </c>
      <c r="J30" s="36">
        <v>42</v>
      </c>
      <c r="K30" s="3">
        <f t="shared" si="1"/>
        <v>69.3</v>
      </c>
      <c r="M30" s="17">
        <v>28</v>
      </c>
      <c r="N30" s="2" t="s">
        <v>108</v>
      </c>
      <c r="O30" s="35"/>
      <c r="P30" s="36"/>
      <c r="Q30" s="3">
        <f t="shared" si="2"/>
        <v>0</v>
      </c>
    </row>
    <row r="31" spans="1:17" ht="18.75" x14ac:dyDescent="0.3">
      <c r="A31" s="17">
        <v>29</v>
      </c>
      <c r="B31" s="2" t="s">
        <v>67</v>
      </c>
      <c r="C31" s="35"/>
      <c r="D31" s="36"/>
      <c r="E31" s="1">
        <f t="shared" si="0"/>
        <v>0</v>
      </c>
      <c r="G31" s="17">
        <v>29</v>
      </c>
      <c r="H31" s="2" t="s">
        <v>67</v>
      </c>
      <c r="I31" s="35"/>
      <c r="J31" s="36"/>
      <c r="K31" s="1">
        <f t="shared" si="1"/>
        <v>0</v>
      </c>
      <c r="M31" s="17">
        <v>29</v>
      </c>
      <c r="N31" s="2" t="s">
        <v>67</v>
      </c>
      <c r="O31" s="35"/>
      <c r="P31" s="36"/>
      <c r="Q31" s="1">
        <f t="shared" si="2"/>
        <v>0</v>
      </c>
    </row>
    <row r="32" spans="1:17" ht="18.75" x14ac:dyDescent="0.3">
      <c r="A32" s="17">
        <v>30</v>
      </c>
      <c r="B32" s="2" t="s">
        <v>27</v>
      </c>
      <c r="C32" s="35"/>
      <c r="D32" s="36"/>
      <c r="E32" s="1">
        <f t="shared" si="0"/>
        <v>0</v>
      </c>
      <c r="G32" s="17">
        <v>30</v>
      </c>
      <c r="H32" s="2" t="s">
        <v>27</v>
      </c>
      <c r="I32" s="35">
        <v>1</v>
      </c>
      <c r="J32" s="36">
        <v>16</v>
      </c>
      <c r="K32" s="1">
        <f t="shared" si="1"/>
        <v>16</v>
      </c>
      <c r="M32" s="17">
        <v>30</v>
      </c>
      <c r="N32" s="2" t="s">
        <v>27</v>
      </c>
      <c r="O32" s="35">
        <v>1</v>
      </c>
      <c r="P32" s="36">
        <v>16</v>
      </c>
      <c r="Q32" s="1">
        <f t="shared" si="2"/>
        <v>16</v>
      </c>
    </row>
    <row r="33" spans="1:17" ht="18.75" x14ac:dyDescent="0.3">
      <c r="A33" s="17">
        <v>31</v>
      </c>
      <c r="B33" s="2" t="s">
        <v>156</v>
      </c>
      <c r="C33" s="35">
        <v>50.5</v>
      </c>
      <c r="D33" s="36">
        <v>41</v>
      </c>
      <c r="E33" s="1">
        <f t="shared" si="0"/>
        <v>2070.5</v>
      </c>
      <c r="G33" s="17">
        <v>31</v>
      </c>
      <c r="H33" s="2" t="s">
        <v>156</v>
      </c>
      <c r="I33" s="35">
        <f>51+85.5</f>
        <v>136.5</v>
      </c>
      <c r="J33" s="36">
        <v>45</v>
      </c>
      <c r="K33" s="1">
        <f t="shared" si="1"/>
        <v>6142.5</v>
      </c>
      <c r="M33" s="17">
        <v>31</v>
      </c>
      <c r="N33" s="2" t="s">
        <v>13</v>
      </c>
      <c r="O33" s="35">
        <f>137+65.5</f>
        <v>202.5</v>
      </c>
      <c r="P33" s="36">
        <v>40</v>
      </c>
      <c r="Q33" s="1">
        <f t="shared" si="2"/>
        <v>8100</v>
      </c>
    </row>
    <row r="34" spans="1:17" ht="18.75" x14ac:dyDescent="0.3">
      <c r="A34" s="17">
        <v>32</v>
      </c>
      <c r="B34" s="2" t="s">
        <v>139</v>
      </c>
      <c r="C34" s="35">
        <v>112</v>
      </c>
      <c r="D34" s="36">
        <v>41</v>
      </c>
      <c r="E34" s="3">
        <f t="shared" si="0"/>
        <v>4592</v>
      </c>
      <c r="G34" s="17">
        <v>32</v>
      </c>
      <c r="H34" s="2" t="s">
        <v>139</v>
      </c>
      <c r="I34" s="35"/>
      <c r="J34" s="36"/>
      <c r="K34" s="3">
        <f t="shared" si="1"/>
        <v>0</v>
      </c>
      <c r="M34" s="17">
        <v>32</v>
      </c>
      <c r="N34" s="2" t="s">
        <v>139</v>
      </c>
      <c r="O34" s="35">
        <v>84.5</v>
      </c>
      <c r="P34" s="36">
        <v>43</v>
      </c>
      <c r="Q34" s="3">
        <f t="shared" si="2"/>
        <v>3633.5</v>
      </c>
    </row>
    <row r="35" spans="1:17" ht="18.75" x14ac:dyDescent="0.3">
      <c r="A35" s="17">
        <v>33</v>
      </c>
      <c r="B35" s="2" t="s">
        <v>142</v>
      </c>
      <c r="C35" s="35"/>
      <c r="D35" s="36"/>
      <c r="E35" s="1">
        <f t="shared" si="0"/>
        <v>0</v>
      </c>
      <c r="G35" s="17">
        <v>33</v>
      </c>
      <c r="H35" s="2" t="s">
        <v>142</v>
      </c>
      <c r="I35" s="35">
        <v>25.5</v>
      </c>
      <c r="J35" s="36">
        <v>58</v>
      </c>
      <c r="K35" s="1">
        <f t="shared" si="1"/>
        <v>1479</v>
      </c>
      <c r="M35" s="17">
        <v>33</v>
      </c>
      <c r="N35" s="2" t="s">
        <v>142</v>
      </c>
      <c r="O35" s="35">
        <v>25.5</v>
      </c>
      <c r="P35" s="36">
        <v>58</v>
      </c>
      <c r="Q35" s="1">
        <f t="shared" si="2"/>
        <v>1479</v>
      </c>
    </row>
    <row r="36" spans="1:17" ht="18.75" x14ac:dyDescent="0.3">
      <c r="A36" s="17">
        <v>34</v>
      </c>
      <c r="B36" s="43" t="s">
        <v>146</v>
      </c>
      <c r="C36" s="35"/>
      <c r="D36" s="36"/>
      <c r="E36" s="1">
        <f t="shared" si="0"/>
        <v>0</v>
      </c>
      <c r="G36" s="17">
        <v>34</v>
      </c>
      <c r="H36" s="43" t="s">
        <v>146</v>
      </c>
      <c r="I36" s="35"/>
      <c r="J36" s="36"/>
      <c r="K36" s="1">
        <f t="shared" si="1"/>
        <v>0</v>
      </c>
      <c r="M36" s="17">
        <v>34</v>
      </c>
      <c r="N36" s="43" t="s">
        <v>146</v>
      </c>
      <c r="O36" s="35"/>
      <c r="P36" s="36"/>
      <c r="Q36" s="1">
        <f t="shared" si="2"/>
        <v>0</v>
      </c>
    </row>
    <row r="37" spans="1:17" ht="18.75" x14ac:dyDescent="0.3">
      <c r="A37" s="17">
        <v>35</v>
      </c>
      <c r="B37" s="43" t="s">
        <v>144</v>
      </c>
      <c r="C37" s="35"/>
      <c r="D37" s="36"/>
      <c r="E37" s="1">
        <f t="shared" si="0"/>
        <v>0</v>
      </c>
      <c r="G37" s="17">
        <v>35</v>
      </c>
      <c r="H37" s="43" t="s">
        <v>144</v>
      </c>
      <c r="I37" s="35">
        <v>23</v>
      </c>
      <c r="J37" s="36">
        <v>60</v>
      </c>
      <c r="K37" s="1">
        <f t="shared" si="1"/>
        <v>1380</v>
      </c>
      <c r="M37" s="17">
        <v>35</v>
      </c>
      <c r="N37" s="43" t="s">
        <v>144</v>
      </c>
      <c r="O37" s="35">
        <v>23</v>
      </c>
      <c r="P37" s="36">
        <v>60</v>
      </c>
      <c r="Q37" s="1">
        <f t="shared" si="2"/>
        <v>1380</v>
      </c>
    </row>
    <row r="38" spans="1:17" ht="18.75" x14ac:dyDescent="0.3">
      <c r="A38" s="17">
        <v>36</v>
      </c>
      <c r="B38" s="43" t="s">
        <v>157</v>
      </c>
      <c r="C38" s="35">
        <f>7.5+66+6.9+10.3</f>
        <v>90.7</v>
      </c>
      <c r="D38" s="36">
        <v>40</v>
      </c>
      <c r="E38" s="1">
        <f t="shared" si="0"/>
        <v>3628</v>
      </c>
      <c r="G38" s="17">
        <v>36</v>
      </c>
      <c r="H38" s="43" t="s">
        <v>157</v>
      </c>
      <c r="I38" s="35">
        <v>27.4</v>
      </c>
      <c r="J38" s="36">
        <v>42</v>
      </c>
      <c r="K38" s="1">
        <f t="shared" si="1"/>
        <v>1150.8</v>
      </c>
      <c r="N38" s="43"/>
      <c r="O38" s="35"/>
      <c r="P38" s="36"/>
      <c r="Q38" s="1"/>
    </row>
    <row r="39" spans="1:17" ht="18.75" x14ac:dyDescent="0.3">
      <c r="A39" s="17">
        <v>37</v>
      </c>
      <c r="B39" s="2" t="s">
        <v>132</v>
      </c>
      <c r="C39" s="34">
        <v>1</v>
      </c>
      <c r="D39" s="3">
        <v>50</v>
      </c>
      <c r="E39" s="1">
        <f t="shared" si="0"/>
        <v>50</v>
      </c>
      <c r="G39" s="17">
        <v>37</v>
      </c>
      <c r="H39" s="2" t="s">
        <v>132</v>
      </c>
      <c r="I39" s="34">
        <v>2</v>
      </c>
      <c r="J39" s="3">
        <v>58</v>
      </c>
      <c r="K39" s="1">
        <f t="shared" si="1"/>
        <v>116</v>
      </c>
      <c r="M39" s="17">
        <v>36</v>
      </c>
      <c r="N39" s="2" t="s">
        <v>132</v>
      </c>
      <c r="O39" s="34">
        <v>5.3</v>
      </c>
      <c r="P39" s="3">
        <v>50</v>
      </c>
      <c r="Q39" s="1">
        <f t="shared" si="2"/>
        <v>265</v>
      </c>
    </row>
    <row r="40" spans="1:17" ht="18.75" x14ac:dyDescent="0.3">
      <c r="A40" s="17">
        <v>38</v>
      </c>
      <c r="B40" s="2" t="s">
        <v>122</v>
      </c>
      <c r="C40" s="34"/>
      <c r="D40" s="3"/>
      <c r="E40" s="1">
        <f t="shared" si="0"/>
        <v>0</v>
      </c>
      <c r="G40" s="17">
        <v>38</v>
      </c>
      <c r="H40" s="2" t="s">
        <v>122</v>
      </c>
      <c r="I40" s="34">
        <v>28</v>
      </c>
      <c r="J40" s="3">
        <v>65</v>
      </c>
      <c r="K40" s="1">
        <f t="shared" si="1"/>
        <v>1820</v>
      </c>
      <c r="M40" s="17">
        <v>37</v>
      </c>
      <c r="N40" s="2" t="s">
        <v>122</v>
      </c>
      <c r="O40" s="34">
        <v>37.1</v>
      </c>
      <c r="P40" s="3">
        <v>65</v>
      </c>
      <c r="Q40" s="1">
        <f t="shared" si="2"/>
        <v>2411.5</v>
      </c>
    </row>
    <row r="41" spans="1:17" ht="18.75" x14ac:dyDescent="0.3">
      <c r="A41" s="17">
        <v>39</v>
      </c>
      <c r="B41" s="2" t="s">
        <v>48</v>
      </c>
      <c r="C41" s="35"/>
      <c r="D41" s="36"/>
      <c r="E41" s="1">
        <f t="shared" si="0"/>
        <v>0</v>
      </c>
      <c r="G41" s="17">
        <v>39</v>
      </c>
      <c r="H41" s="2" t="s">
        <v>48</v>
      </c>
      <c r="I41" s="35">
        <v>6.95</v>
      </c>
      <c r="J41" s="36">
        <v>32</v>
      </c>
      <c r="K41" s="1">
        <f t="shared" si="1"/>
        <v>222.4</v>
      </c>
      <c r="M41" s="17">
        <v>38</v>
      </c>
      <c r="N41" s="2" t="s">
        <v>48</v>
      </c>
      <c r="O41" s="35">
        <v>11.2</v>
      </c>
      <c r="P41" s="36">
        <v>32</v>
      </c>
      <c r="Q41" s="3">
        <f t="shared" si="2"/>
        <v>358.4</v>
      </c>
    </row>
    <row r="42" spans="1:17" ht="18.75" x14ac:dyDescent="0.3">
      <c r="A42" s="17">
        <v>40</v>
      </c>
      <c r="B42" s="2" t="s">
        <v>48</v>
      </c>
      <c r="C42" s="35"/>
      <c r="D42" s="36"/>
      <c r="E42" s="1">
        <f t="shared" si="0"/>
        <v>0</v>
      </c>
      <c r="G42" s="17">
        <v>40</v>
      </c>
      <c r="H42" s="2" t="s">
        <v>48</v>
      </c>
      <c r="I42" s="35"/>
      <c r="J42" s="36"/>
      <c r="K42" s="1">
        <f t="shared" si="1"/>
        <v>0</v>
      </c>
      <c r="M42" s="17">
        <v>39</v>
      </c>
      <c r="N42" s="2" t="s">
        <v>48</v>
      </c>
      <c r="O42" s="35"/>
      <c r="P42" s="36"/>
      <c r="Q42" s="1">
        <f t="shared" si="2"/>
        <v>0</v>
      </c>
    </row>
    <row r="43" spans="1:17" ht="18.75" x14ac:dyDescent="0.3">
      <c r="A43" s="17">
        <v>41</v>
      </c>
      <c r="B43" s="2" t="s">
        <v>8</v>
      </c>
      <c r="C43" s="35">
        <f>5.3+15.5</f>
        <v>20.8</v>
      </c>
      <c r="D43" s="36">
        <v>25</v>
      </c>
      <c r="E43" s="3">
        <f t="shared" si="0"/>
        <v>520</v>
      </c>
      <c r="G43" s="17">
        <v>41</v>
      </c>
      <c r="H43" s="2" t="s">
        <v>8</v>
      </c>
      <c r="I43" s="35">
        <v>31.3</v>
      </c>
      <c r="J43" s="36">
        <v>22</v>
      </c>
      <c r="K43" s="3">
        <f t="shared" si="1"/>
        <v>688.6</v>
      </c>
      <c r="M43" s="17">
        <v>40</v>
      </c>
      <c r="N43" s="2" t="s">
        <v>8</v>
      </c>
      <c r="O43" s="35"/>
      <c r="P43" s="36"/>
      <c r="Q43" s="3">
        <f t="shared" si="2"/>
        <v>0</v>
      </c>
    </row>
    <row r="44" spans="1:17" ht="18.75" x14ac:dyDescent="0.3">
      <c r="A44" s="17">
        <v>42</v>
      </c>
      <c r="B44" s="2" t="s">
        <v>152</v>
      </c>
      <c r="C44" s="35">
        <v>8.75</v>
      </c>
      <c r="D44" s="36">
        <v>74</v>
      </c>
      <c r="E44" s="1">
        <f t="shared" si="0"/>
        <v>647.5</v>
      </c>
      <c r="G44" s="17">
        <v>42</v>
      </c>
      <c r="H44" s="2" t="s">
        <v>152</v>
      </c>
      <c r="I44" s="35">
        <v>5.75</v>
      </c>
      <c r="J44" s="36">
        <v>74</v>
      </c>
      <c r="K44" s="1">
        <f t="shared" si="1"/>
        <v>425.5</v>
      </c>
      <c r="M44" s="17">
        <v>41</v>
      </c>
      <c r="N44" s="2" t="s">
        <v>152</v>
      </c>
      <c r="O44" s="35">
        <v>6.4</v>
      </c>
      <c r="P44" s="36">
        <v>74</v>
      </c>
      <c r="Q44" s="1">
        <f t="shared" si="2"/>
        <v>473.6</v>
      </c>
    </row>
    <row r="45" spans="1:17" ht="18.75" x14ac:dyDescent="0.3">
      <c r="A45" s="17">
        <v>43</v>
      </c>
      <c r="B45" s="2" t="s">
        <v>93</v>
      </c>
      <c r="C45" s="35"/>
      <c r="D45" s="36"/>
      <c r="E45" s="1">
        <f t="shared" si="0"/>
        <v>0</v>
      </c>
      <c r="G45" s="17">
        <v>43</v>
      </c>
      <c r="H45" s="2" t="s">
        <v>93</v>
      </c>
      <c r="I45" s="35">
        <v>2</v>
      </c>
      <c r="J45" s="36">
        <v>40</v>
      </c>
      <c r="K45" s="1">
        <f t="shared" si="1"/>
        <v>80</v>
      </c>
      <c r="M45" s="17">
        <v>42</v>
      </c>
      <c r="N45" s="2" t="s">
        <v>93</v>
      </c>
      <c r="O45" s="35"/>
      <c r="P45" s="36"/>
      <c r="Q45" s="1">
        <f t="shared" si="2"/>
        <v>0</v>
      </c>
    </row>
    <row r="46" spans="1:17" ht="18.75" x14ac:dyDescent="0.3">
      <c r="A46" s="17">
        <v>44</v>
      </c>
      <c r="B46" s="2" t="s">
        <v>21</v>
      </c>
      <c r="C46" s="35">
        <v>5.95</v>
      </c>
      <c r="D46" s="36">
        <v>91</v>
      </c>
      <c r="E46" s="3">
        <f t="shared" si="0"/>
        <v>541.45000000000005</v>
      </c>
      <c r="G46" s="17">
        <v>44</v>
      </c>
      <c r="H46" s="2" t="s">
        <v>21</v>
      </c>
      <c r="I46" s="35"/>
      <c r="J46" s="36"/>
      <c r="K46" s="3">
        <f t="shared" si="1"/>
        <v>0</v>
      </c>
      <c r="M46" s="17">
        <v>43</v>
      </c>
      <c r="N46" s="2" t="s">
        <v>21</v>
      </c>
      <c r="O46" s="35"/>
      <c r="P46" s="36"/>
      <c r="Q46" s="3">
        <f t="shared" si="2"/>
        <v>0</v>
      </c>
    </row>
    <row r="47" spans="1:17" ht="18.75" x14ac:dyDescent="0.3">
      <c r="A47" s="17">
        <v>45</v>
      </c>
      <c r="B47" s="2" t="s">
        <v>17</v>
      </c>
      <c r="C47" s="35">
        <v>27.22</v>
      </c>
      <c r="D47" s="36">
        <v>51</v>
      </c>
      <c r="E47" s="1">
        <f t="shared" si="0"/>
        <v>1388.22</v>
      </c>
      <c r="G47" s="17">
        <v>45</v>
      </c>
      <c r="H47" s="2" t="s">
        <v>17</v>
      </c>
      <c r="I47" s="35">
        <v>27.22</v>
      </c>
      <c r="J47" s="36">
        <v>51</v>
      </c>
      <c r="K47" s="1">
        <f t="shared" si="1"/>
        <v>1388.22</v>
      </c>
      <c r="M47" s="17">
        <v>44</v>
      </c>
      <c r="N47" s="2" t="s">
        <v>17</v>
      </c>
      <c r="O47" s="35">
        <v>25.5</v>
      </c>
      <c r="P47" s="36">
        <v>51</v>
      </c>
      <c r="Q47" s="1">
        <f t="shared" si="2"/>
        <v>1300.5</v>
      </c>
    </row>
    <row r="48" spans="1:17" ht="18.75" x14ac:dyDescent="0.3">
      <c r="A48" s="17">
        <v>46</v>
      </c>
      <c r="B48" s="2" t="s">
        <v>50</v>
      </c>
      <c r="C48" s="35">
        <v>5</v>
      </c>
      <c r="D48" s="36">
        <v>54</v>
      </c>
      <c r="E48" s="1">
        <f t="shared" si="0"/>
        <v>270</v>
      </c>
      <c r="G48" s="17">
        <v>46</v>
      </c>
      <c r="H48" s="2" t="s">
        <v>50</v>
      </c>
      <c r="I48" s="35"/>
      <c r="J48" s="36"/>
      <c r="K48" s="1">
        <f t="shared" si="1"/>
        <v>0</v>
      </c>
      <c r="M48" s="17">
        <v>45</v>
      </c>
      <c r="N48" s="2" t="s">
        <v>50</v>
      </c>
      <c r="O48" s="35"/>
      <c r="P48" s="36"/>
      <c r="Q48" s="1">
        <f t="shared" si="2"/>
        <v>0</v>
      </c>
    </row>
    <row r="49" spans="1:17" ht="18.75" x14ac:dyDescent="0.3">
      <c r="A49" s="17">
        <v>47</v>
      </c>
      <c r="B49" s="2" t="s">
        <v>55</v>
      </c>
      <c r="C49" s="35">
        <v>53.5</v>
      </c>
      <c r="D49" s="36">
        <v>90</v>
      </c>
      <c r="E49" s="1">
        <f t="shared" si="0"/>
        <v>4815</v>
      </c>
      <c r="G49" s="17">
        <v>47</v>
      </c>
      <c r="H49" s="2" t="s">
        <v>55</v>
      </c>
      <c r="I49" s="35">
        <v>64</v>
      </c>
      <c r="J49" s="36">
        <v>58</v>
      </c>
      <c r="K49" s="1">
        <f t="shared" si="1"/>
        <v>3712</v>
      </c>
      <c r="M49" s="17">
        <v>46</v>
      </c>
      <c r="N49" s="2" t="s">
        <v>55</v>
      </c>
      <c r="O49" s="35">
        <v>64</v>
      </c>
      <c r="P49" s="36">
        <v>58</v>
      </c>
      <c r="Q49" s="1">
        <f t="shared" si="2"/>
        <v>3712</v>
      </c>
    </row>
    <row r="50" spans="1:17" ht="18.75" x14ac:dyDescent="0.3">
      <c r="A50" s="17">
        <v>48</v>
      </c>
      <c r="B50" s="2" t="s">
        <v>57</v>
      </c>
      <c r="C50" s="35">
        <v>37.6</v>
      </c>
      <c r="D50" s="36">
        <v>74</v>
      </c>
      <c r="E50" s="1">
        <f t="shared" si="0"/>
        <v>2782.4</v>
      </c>
      <c r="G50" s="17">
        <v>48</v>
      </c>
      <c r="H50" s="2" t="s">
        <v>57</v>
      </c>
      <c r="I50" s="35">
        <v>22.5</v>
      </c>
      <c r="J50" s="36">
        <v>46</v>
      </c>
      <c r="K50" s="1">
        <f t="shared" si="1"/>
        <v>1035</v>
      </c>
      <c r="M50" s="17">
        <v>47</v>
      </c>
      <c r="N50" s="2" t="s">
        <v>57</v>
      </c>
      <c r="O50" s="35">
        <v>22.5</v>
      </c>
      <c r="P50" s="36">
        <v>46</v>
      </c>
      <c r="Q50" s="1">
        <f t="shared" si="2"/>
        <v>1035</v>
      </c>
    </row>
    <row r="51" spans="1:17" ht="18.75" x14ac:dyDescent="0.3">
      <c r="A51" s="17">
        <v>49</v>
      </c>
      <c r="B51" s="2" t="s">
        <v>5</v>
      </c>
      <c r="C51" s="35"/>
      <c r="D51" s="36"/>
      <c r="E51" s="1">
        <f t="shared" si="0"/>
        <v>0</v>
      </c>
      <c r="G51" s="17">
        <v>49</v>
      </c>
      <c r="H51" s="2" t="s">
        <v>5</v>
      </c>
      <c r="I51" s="35">
        <v>20</v>
      </c>
      <c r="J51" s="36">
        <v>53</v>
      </c>
      <c r="K51" s="1">
        <f t="shared" si="1"/>
        <v>1060</v>
      </c>
      <c r="M51" s="17">
        <v>48</v>
      </c>
      <c r="N51" s="2" t="s">
        <v>5</v>
      </c>
      <c r="O51" s="35">
        <f>5.35+7.95+10.7</f>
        <v>24</v>
      </c>
      <c r="P51" s="36">
        <v>53</v>
      </c>
      <c r="Q51" s="1">
        <f t="shared" si="2"/>
        <v>1272</v>
      </c>
    </row>
    <row r="52" spans="1:17" ht="18.75" x14ac:dyDescent="0.3">
      <c r="A52" s="17">
        <v>50</v>
      </c>
      <c r="B52" s="2" t="s">
        <v>112</v>
      </c>
      <c r="C52" s="35"/>
      <c r="D52" s="36"/>
      <c r="E52" s="1">
        <f t="shared" si="0"/>
        <v>0</v>
      </c>
      <c r="G52" s="17">
        <v>50</v>
      </c>
      <c r="H52" s="2" t="s">
        <v>112</v>
      </c>
      <c r="I52" s="35"/>
      <c r="J52" s="36"/>
      <c r="K52" s="1">
        <f t="shared" si="1"/>
        <v>0</v>
      </c>
      <c r="M52" s="17">
        <v>49</v>
      </c>
      <c r="N52" s="2" t="s">
        <v>112</v>
      </c>
      <c r="O52" s="35">
        <v>280</v>
      </c>
      <c r="P52" s="36">
        <v>31.5</v>
      </c>
      <c r="Q52" s="1">
        <f t="shared" si="2"/>
        <v>8820</v>
      </c>
    </row>
    <row r="53" spans="1:17" ht="18.75" x14ac:dyDescent="0.3">
      <c r="A53" s="17">
        <v>51</v>
      </c>
      <c r="B53" s="2" t="s">
        <v>137</v>
      </c>
      <c r="C53" s="35"/>
      <c r="D53" s="36"/>
      <c r="E53" s="1">
        <f t="shared" si="0"/>
        <v>0</v>
      </c>
      <c r="G53" s="17">
        <v>51</v>
      </c>
      <c r="H53" s="2" t="s">
        <v>137</v>
      </c>
      <c r="I53" s="35"/>
      <c r="J53" s="36"/>
      <c r="K53" s="1">
        <f t="shared" si="1"/>
        <v>0</v>
      </c>
      <c r="M53" s="17">
        <v>50</v>
      </c>
      <c r="N53" s="2" t="s">
        <v>137</v>
      </c>
      <c r="O53" s="35"/>
      <c r="P53" s="36"/>
      <c r="Q53" s="1">
        <f t="shared" si="2"/>
        <v>0</v>
      </c>
    </row>
    <row r="54" spans="1:17" ht="18.75" x14ac:dyDescent="0.3">
      <c r="A54" s="17">
        <v>52</v>
      </c>
      <c r="B54" s="2" t="s">
        <v>33</v>
      </c>
      <c r="C54" s="35">
        <f>299+11.3</f>
        <v>310.3</v>
      </c>
      <c r="D54" s="36">
        <v>30</v>
      </c>
      <c r="E54" s="1">
        <f t="shared" si="0"/>
        <v>9309</v>
      </c>
      <c r="G54" s="17">
        <v>52</v>
      </c>
      <c r="H54" s="2" t="s">
        <v>33</v>
      </c>
      <c r="I54" s="35">
        <v>460</v>
      </c>
      <c r="J54" s="36">
        <v>35</v>
      </c>
      <c r="K54" s="1">
        <f t="shared" si="1"/>
        <v>16100</v>
      </c>
      <c r="M54" s="17">
        <v>51</v>
      </c>
      <c r="N54" s="2" t="s">
        <v>33</v>
      </c>
      <c r="O54" s="35">
        <v>135</v>
      </c>
      <c r="P54" s="36">
        <v>31.5</v>
      </c>
      <c r="Q54" s="1">
        <f t="shared" si="2"/>
        <v>4252.5</v>
      </c>
    </row>
    <row r="55" spans="1:17" ht="18.75" x14ac:dyDescent="0.3">
      <c r="A55" s="17">
        <v>53</v>
      </c>
      <c r="B55" s="2" t="s">
        <v>113</v>
      </c>
      <c r="C55" s="35"/>
      <c r="D55" s="36"/>
      <c r="E55" s="1">
        <f t="shared" si="0"/>
        <v>0</v>
      </c>
      <c r="G55" s="17">
        <v>53</v>
      </c>
      <c r="H55" s="2" t="s">
        <v>113</v>
      </c>
      <c r="I55" s="35"/>
      <c r="J55" s="36"/>
      <c r="K55" s="1">
        <f t="shared" si="1"/>
        <v>0</v>
      </c>
      <c r="M55" s="17">
        <v>52</v>
      </c>
      <c r="N55" s="2" t="s">
        <v>113</v>
      </c>
      <c r="O55" s="35"/>
      <c r="P55" s="36"/>
      <c r="Q55" s="1">
        <f t="shared" si="2"/>
        <v>0</v>
      </c>
    </row>
    <row r="56" spans="1:17" ht="18.75" x14ac:dyDescent="0.3">
      <c r="A56" s="17">
        <v>54</v>
      </c>
      <c r="B56" s="2" t="s">
        <v>81</v>
      </c>
      <c r="C56" s="35"/>
      <c r="D56" s="36"/>
      <c r="E56" s="1">
        <f t="shared" si="0"/>
        <v>0</v>
      </c>
      <c r="G56" s="17">
        <v>54</v>
      </c>
      <c r="H56" s="2" t="s">
        <v>81</v>
      </c>
      <c r="I56" s="35"/>
      <c r="J56" s="36"/>
      <c r="K56" s="1">
        <f t="shared" si="1"/>
        <v>0</v>
      </c>
      <c r="M56" s="17">
        <v>53</v>
      </c>
      <c r="N56" s="2" t="s">
        <v>81</v>
      </c>
      <c r="O56" s="35"/>
      <c r="P56" s="36"/>
      <c r="Q56" s="1">
        <f t="shared" si="2"/>
        <v>0</v>
      </c>
    </row>
    <row r="57" spans="1:17" ht="18.75" x14ac:dyDescent="0.3">
      <c r="A57" s="17">
        <v>55</v>
      </c>
      <c r="B57" s="2" t="s">
        <v>151</v>
      </c>
      <c r="C57" s="35"/>
      <c r="D57" s="36"/>
      <c r="E57" s="1">
        <f t="shared" si="0"/>
        <v>0</v>
      </c>
      <c r="G57" s="17">
        <v>55</v>
      </c>
      <c r="H57" s="2" t="s">
        <v>151</v>
      </c>
      <c r="I57" s="35"/>
      <c r="J57" s="36"/>
      <c r="K57" s="1">
        <f t="shared" si="1"/>
        <v>0</v>
      </c>
      <c r="M57" s="17">
        <v>54</v>
      </c>
      <c r="N57" s="2" t="s">
        <v>151</v>
      </c>
      <c r="O57" s="35"/>
      <c r="P57" s="36"/>
      <c r="Q57" s="1">
        <f t="shared" si="2"/>
        <v>0</v>
      </c>
    </row>
    <row r="58" spans="1:17" ht="18.75" x14ac:dyDescent="0.3">
      <c r="A58" s="17">
        <v>56</v>
      </c>
      <c r="B58" s="2" t="s">
        <v>54</v>
      </c>
      <c r="C58" s="34">
        <v>22.3</v>
      </c>
      <c r="D58" s="3">
        <v>58</v>
      </c>
      <c r="E58" s="1">
        <f t="shared" si="0"/>
        <v>1293.4000000000001</v>
      </c>
      <c r="G58" s="17">
        <v>56</v>
      </c>
      <c r="H58" s="2" t="s">
        <v>54</v>
      </c>
      <c r="I58" s="34"/>
      <c r="J58" s="3"/>
      <c r="K58" s="1">
        <f t="shared" si="1"/>
        <v>0</v>
      </c>
      <c r="M58" s="17">
        <v>55</v>
      </c>
      <c r="N58" s="2" t="s">
        <v>54</v>
      </c>
      <c r="O58" s="34"/>
      <c r="P58" s="3"/>
      <c r="Q58" s="1">
        <f t="shared" si="2"/>
        <v>0</v>
      </c>
    </row>
    <row r="59" spans="1:17" ht="18.75" x14ac:dyDescent="0.3">
      <c r="A59" s="17">
        <v>57</v>
      </c>
      <c r="B59" s="2" t="s">
        <v>138</v>
      </c>
      <c r="C59" s="35">
        <v>2</v>
      </c>
      <c r="D59" s="36">
        <v>38</v>
      </c>
      <c r="E59" s="1">
        <f t="shared" si="0"/>
        <v>76</v>
      </c>
      <c r="G59" s="17">
        <v>57</v>
      </c>
      <c r="H59" s="2" t="s">
        <v>138</v>
      </c>
      <c r="I59" s="35">
        <v>1.9</v>
      </c>
      <c r="J59" s="36">
        <v>38</v>
      </c>
      <c r="K59" s="1">
        <f t="shared" si="1"/>
        <v>72.2</v>
      </c>
      <c r="M59" s="17">
        <v>56</v>
      </c>
      <c r="N59" s="2" t="s">
        <v>138</v>
      </c>
      <c r="O59" s="35"/>
      <c r="P59" s="36"/>
      <c r="Q59" s="1">
        <f t="shared" si="2"/>
        <v>0</v>
      </c>
    </row>
    <row r="60" spans="1:17" ht="18.75" x14ac:dyDescent="0.3">
      <c r="A60" s="17">
        <v>58</v>
      </c>
      <c r="B60" s="2" t="s">
        <v>15</v>
      </c>
      <c r="C60" s="35">
        <v>6</v>
      </c>
      <c r="D60" s="36">
        <v>72</v>
      </c>
      <c r="E60" s="1">
        <f t="shared" si="0"/>
        <v>432</v>
      </c>
      <c r="G60" s="17">
        <v>58</v>
      </c>
      <c r="H60" s="2" t="s">
        <v>15</v>
      </c>
      <c r="I60" s="35">
        <v>14.5</v>
      </c>
      <c r="J60" s="36">
        <v>70</v>
      </c>
      <c r="K60" s="1">
        <f t="shared" si="1"/>
        <v>1015</v>
      </c>
      <c r="M60" s="17">
        <v>57</v>
      </c>
      <c r="N60" s="2" t="s">
        <v>15</v>
      </c>
      <c r="O60" s="35">
        <v>35.15</v>
      </c>
      <c r="P60" s="36">
        <v>72</v>
      </c>
      <c r="Q60" s="1">
        <f t="shared" si="2"/>
        <v>2530.7999999999997</v>
      </c>
    </row>
    <row r="61" spans="1:17" ht="18.75" x14ac:dyDescent="0.3">
      <c r="A61" s="17">
        <v>59</v>
      </c>
      <c r="B61" s="2" t="s">
        <v>58</v>
      </c>
      <c r="C61" s="35">
        <v>12</v>
      </c>
      <c r="D61" s="36">
        <v>14</v>
      </c>
      <c r="E61" s="3">
        <f t="shared" si="0"/>
        <v>168</v>
      </c>
      <c r="G61" s="17">
        <v>59</v>
      </c>
      <c r="H61" s="2" t="s">
        <v>58</v>
      </c>
      <c r="I61" s="35">
        <v>15</v>
      </c>
      <c r="J61" s="36">
        <v>14</v>
      </c>
      <c r="K61" s="3">
        <f t="shared" si="1"/>
        <v>210</v>
      </c>
      <c r="M61" s="17">
        <v>58</v>
      </c>
      <c r="N61" s="2" t="s">
        <v>58</v>
      </c>
      <c r="O61" s="35">
        <v>11</v>
      </c>
      <c r="P61" s="36">
        <v>14</v>
      </c>
      <c r="Q61" s="3">
        <f t="shared" si="2"/>
        <v>154</v>
      </c>
    </row>
    <row r="62" spans="1:17" ht="18.75" x14ac:dyDescent="0.3">
      <c r="A62" s="17">
        <v>60</v>
      </c>
      <c r="B62" s="2" t="s">
        <v>60</v>
      </c>
      <c r="C62" s="35"/>
      <c r="D62" s="36"/>
      <c r="E62" s="1">
        <f t="shared" si="0"/>
        <v>0</v>
      </c>
      <c r="G62" s="17">
        <v>60</v>
      </c>
      <c r="H62" s="2" t="s">
        <v>60</v>
      </c>
      <c r="I62" s="35"/>
      <c r="J62" s="36"/>
      <c r="K62" s="1">
        <f t="shared" si="1"/>
        <v>0</v>
      </c>
      <c r="M62" s="17">
        <v>59</v>
      </c>
      <c r="N62" s="2" t="s">
        <v>60</v>
      </c>
      <c r="O62" s="35"/>
      <c r="P62" s="36"/>
      <c r="Q62" s="1">
        <f t="shared" si="2"/>
        <v>0</v>
      </c>
    </row>
    <row r="63" spans="1:17" ht="18.75" x14ac:dyDescent="0.3">
      <c r="A63" s="17">
        <v>61</v>
      </c>
      <c r="B63" s="2" t="s">
        <v>31</v>
      </c>
      <c r="C63" s="35"/>
      <c r="D63" s="36"/>
      <c r="E63" s="3">
        <f t="shared" si="0"/>
        <v>0</v>
      </c>
      <c r="G63" s="17">
        <v>61</v>
      </c>
      <c r="H63" s="2" t="s">
        <v>31</v>
      </c>
      <c r="I63" s="35"/>
      <c r="J63" s="36"/>
      <c r="K63" s="3">
        <f t="shared" si="1"/>
        <v>0</v>
      </c>
      <c r="M63" s="17">
        <v>60</v>
      </c>
      <c r="N63" s="2" t="s">
        <v>31</v>
      </c>
      <c r="O63" s="35"/>
      <c r="P63" s="36"/>
      <c r="Q63" s="3">
        <f t="shared" si="2"/>
        <v>0</v>
      </c>
    </row>
    <row r="64" spans="1:17" ht="18.75" x14ac:dyDescent="0.3">
      <c r="A64" s="17">
        <v>62</v>
      </c>
      <c r="B64" s="2" t="s">
        <v>87</v>
      </c>
      <c r="C64" s="35">
        <v>9</v>
      </c>
      <c r="D64" s="36">
        <v>80</v>
      </c>
      <c r="E64" s="1">
        <f t="shared" si="0"/>
        <v>720</v>
      </c>
      <c r="G64" s="17">
        <v>62</v>
      </c>
      <c r="H64" s="2" t="s">
        <v>87</v>
      </c>
      <c r="I64" s="35">
        <v>8</v>
      </c>
      <c r="J64" s="36">
        <v>80</v>
      </c>
      <c r="K64" s="1">
        <f t="shared" si="1"/>
        <v>640</v>
      </c>
      <c r="M64" s="17">
        <v>61</v>
      </c>
      <c r="N64" s="2" t="s">
        <v>87</v>
      </c>
      <c r="O64" s="35">
        <v>9.5</v>
      </c>
      <c r="P64" s="36">
        <v>80</v>
      </c>
      <c r="Q64" s="1">
        <f t="shared" si="2"/>
        <v>760</v>
      </c>
    </row>
    <row r="65" spans="1:17" ht="18.75" x14ac:dyDescent="0.3">
      <c r="A65" s="17">
        <v>63</v>
      </c>
      <c r="B65" s="2" t="s">
        <v>63</v>
      </c>
      <c r="C65" s="35"/>
      <c r="D65" s="36"/>
      <c r="E65" s="1">
        <f t="shared" si="0"/>
        <v>0</v>
      </c>
      <c r="G65" s="17">
        <v>63</v>
      </c>
      <c r="H65" s="2" t="s">
        <v>63</v>
      </c>
      <c r="I65" s="35"/>
      <c r="J65" s="36"/>
      <c r="K65" s="1">
        <f t="shared" si="1"/>
        <v>0</v>
      </c>
      <c r="M65" s="17">
        <v>62</v>
      </c>
      <c r="N65" s="2" t="s">
        <v>63</v>
      </c>
      <c r="O65" s="35">
        <v>1</v>
      </c>
      <c r="P65" s="36">
        <v>780</v>
      </c>
      <c r="Q65" s="1">
        <f t="shared" si="2"/>
        <v>780</v>
      </c>
    </row>
    <row r="66" spans="1:17" ht="18.75" x14ac:dyDescent="0.3">
      <c r="A66" s="17">
        <v>64</v>
      </c>
      <c r="B66" s="2" t="s">
        <v>78</v>
      </c>
      <c r="C66" s="35"/>
      <c r="D66" s="36"/>
      <c r="E66" s="1">
        <f t="shared" si="0"/>
        <v>0</v>
      </c>
      <c r="G66" s="17">
        <v>64</v>
      </c>
      <c r="H66" s="2" t="s">
        <v>78</v>
      </c>
      <c r="I66" s="35"/>
      <c r="J66" s="36"/>
      <c r="K66" s="1">
        <f t="shared" si="1"/>
        <v>0</v>
      </c>
      <c r="M66" s="17">
        <v>63</v>
      </c>
      <c r="N66" s="2" t="s">
        <v>78</v>
      </c>
      <c r="O66" s="35"/>
      <c r="P66" s="36"/>
      <c r="Q66" s="1">
        <f t="shared" si="2"/>
        <v>0</v>
      </c>
    </row>
    <row r="67" spans="1:17" ht="18.75" x14ac:dyDescent="0.3">
      <c r="A67" s="17">
        <v>65</v>
      </c>
      <c r="B67" s="2" t="s">
        <v>59</v>
      </c>
      <c r="C67" s="35"/>
      <c r="D67" s="36"/>
      <c r="E67" s="1">
        <f t="shared" si="0"/>
        <v>0</v>
      </c>
      <c r="G67" s="17">
        <v>65</v>
      </c>
      <c r="H67" s="2" t="s">
        <v>59</v>
      </c>
      <c r="I67" s="35">
        <v>1.645</v>
      </c>
      <c r="J67" s="36">
        <v>76</v>
      </c>
      <c r="K67" s="1">
        <f t="shared" si="1"/>
        <v>125.02</v>
      </c>
      <c r="M67" s="17">
        <v>64</v>
      </c>
      <c r="N67" s="2" t="s">
        <v>59</v>
      </c>
      <c r="O67" s="35">
        <v>1.905</v>
      </c>
      <c r="P67" s="36">
        <v>76</v>
      </c>
      <c r="Q67" s="1">
        <f t="shared" si="2"/>
        <v>144.78</v>
      </c>
    </row>
    <row r="68" spans="1:17" ht="18.75" x14ac:dyDescent="0.3">
      <c r="A68" s="17">
        <v>66</v>
      </c>
      <c r="B68" s="2" t="s">
        <v>30</v>
      </c>
      <c r="C68" s="35">
        <v>12</v>
      </c>
      <c r="D68" s="36">
        <v>40</v>
      </c>
      <c r="E68" s="1">
        <f t="shared" si="0"/>
        <v>480</v>
      </c>
      <c r="G68" s="17">
        <v>66</v>
      </c>
      <c r="H68" s="2" t="s">
        <v>30</v>
      </c>
      <c r="I68" s="35">
        <v>23</v>
      </c>
      <c r="J68" s="36">
        <v>40</v>
      </c>
      <c r="K68" s="1">
        <f t="shared" si="1"/>
        <v>920</v>
      </c>
      <c r="M68" s="17">
        <v>65</v>
      </c>
      <c r="N68" s="2" t="s">
        <v>30</v>
      </c>
      <c r="O68" s="35">
        <v>1</v>
      </c>
      <c r="P68" s="36">
        <v>40</v>
      </c>
      <c r="Q68" s="1">
        <f t="shared" si="2"/>
        <v>40</v>
      </c>
    </row>
    <row r="69" spans="1:17" ht="19.5" thickBot="1" x14ac:dyDescent="0.35">
      <c r="A69" s="17">
        <v>67</v>
      </c>
      <c r="B69" s="2" t="s">
        <v>117</v>
      </c>
      <c r="C69" s="34"/>
      <c r="D69" s="3"/>
      <c r="E69" s="1">
        <f t="shared" ref="E69" si="3">D69*C69</f>
        <v>0</v>
      </c>
      <c r="G69" s="17">
        <v>67</v>
      </c>
      <c r="H69" s="2" t="s">
        <v>117</v>
      </c>
      <c r="I69" s="34"/>
      <c r="J69" s="3"/>
      <c r="K69" s="1">
        <f t="shared" ref="K69" si="4">J69*I69</f>
        <v>0</v>
      </c>
      <c r="M69" s="17">
        <v>66</v>
      </c>
      <c r="N69" s="2" t="s">
        <v>117</v>
      </c>
      <c r="O69" s="34"/>
      <c r="P69" s="3"/>
      <c r="Q69" s="1">
        <f t="shared" ref="Q69" si="5">P69*O69</f>
        <v>0</v>
      </c>
    </row>
    <row r="70" spans="1:17" ht="19.5" thickBot="1" x14ac:dyDescent="0.35">
      <c r="B70" s="2"/>
      <c r="C70" s="34"/>
      <c r="D70" s="30" t="s">
        <v>40</v>
      </c>
      <c r="E70" s="31">
        <f>SUM(E3:E69)</f>
        <v>150460.42000000001</v>
      </c>
      <c r="H70" s="2"/>
      <c r="I70" s="34"/>
      <c r="J70" s="30" t="s">
        <v>40</v>
      </c>
      <c r="K70" s="31">
        <f>SUM(K3:K69)</f>
        <v>205182.41999999998</v>
      </c>
      <c r="N70" s="2"/>
      <c r="O70" s="34"/>
      <c r="P70" s="30" t="s">
        <v>40</v>
      </c>
      <c r="Q70" s="31">
        <f>SUM(Q3:Q69)</f>
        <v>83631.08</v>
      </c>
    </row>
  </sheetData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ABRIL 2015</vt:lpstr>
      <vt:lpstr>MAYO 2015</vt:lpstr>
      <vt:lpstr>JUNIO 2015</vt:lpstr>
      <vt:lpstr>JULIO 2015</vt:lpstr>
      <vt:lpstr>AGOSTO 2015</vt:lpstr>
      <vt:lpstr>SEPTIEMBRE 2015</vt:lpstr>
      <vt:lpstr>OCTUBRE 2015</vt:lpstr>
      <vt:lpstr>NOVIEMBRE 2015</vt:lpstr>
      <vt:lpstr>DICIEMBRE 2015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2016-01-20T16:43:40Z</cp:lastPrinted>
  <dcterms:created xsi:type="dcterms:W3CDTF">2015-05-09T17:51:02Z</dcterms:created>
  <dcterms:modified xsi:type="dcterms:W3CDTF">2016-01-20T16:43:43Z</dcterms:modified>
</cp:coreProperties>
</file>