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00" windowWidth="22995" windowHeight="91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U152" i="1" l="1"/>
  <c r="S152" i="1"/>
  <c r="R152" i="1"/>
  <c r="G152" i="1"/>
  <c r="H152" i="1" s="1"/>
  <c r="W151" i="1"/>
  <c r="T151" i="1"/>
  <c r="X151" i="1" s="1"/>
  <c r="Y151" i="1" s="1"/>
  <c r="H151" i="1"/>
  <c r="P150" i="1"/>
  <c r="F150" i="1"/>
  <c r="H150" i="1" s="1"/>
  <c r="G149" i="1"/>
  <c r="F149" i="1"/>
  <c r="E149" i="1"/>
  <c r="U149" i="1" s="1"/>
  <c r="U148" i="1"/>
  <c r="S148" i="1"/>
  <c r="R148" i="1"/>
  <c r="G148" i="1"/>
  <c r="H148" i="1" s="1"/>
  <c r="U147" i="1"/>
  <c r="S147" i="1"/>
  <c r="R147" i="1"/>
  <c r="G147" i="1"/>
  <c r="H147" i="1" s="1"/>
  <c r="W146" i="1"/>
  <c r="F146" i="1"/>
  <c r="T146" i="1" s="1"/>
  <c r="X146" i="1" s="1"/>
  <c r="Y146" i="1" s="1"/>
  <c r="P145" i="1"/>
  <c r="F145" i="1"/>
  <c r="H145" i="1" s="1"/>
  <c r="W144" i="1"/>
  <c r="F144" i="1"/>
  <c r="T144" i="1" s="1"/>
  <c r="X144" i="1" s="1"/>
  <c r="Y144" i="1" s="1"/>
  <c r="W143" i="1"/>
  <c r="F143" i="1"/>
  <c r="T143" i="1" s="1"/>
  <c r="X143" i="1" s="1"/>
  <c r="Y143" i="1" s="1"/>
  <c r="P142" i="1"/>
  <c r="F142" i="1"/>
  <c r="H142" i="1" s="1"/>
  <c r="U141" i="1"/>
  <c r="S141" i="1"/>
  <c r="R141" i="1"/>
  <c r="H141" i="1"/>
  <c r="U140" i="1"/>
  <c r="S140" i="1"/>
  <c r="R140" i="1"/>
  <c r="H140" i="1"/>
  <c r="P139" i="1"/>
  <c r="F139" i="1"/>
  <c r="H139" i="1" s="1"/>
  <c r="P138" i="1"/>
  <c r="F138" i="1"/>
  <c r="H138" i="1" s="1"/>
  <c r="W137" i="1"/>
  <c r="F137" i="1"/>
  <c r="T137" i="1" s="1"/>
  <c r="X137" i="1" s="1"/>
  <c r="Y137" i="1" s="1"/>
  <c r="W136" i="1"/>
  <c r="F136" i="1"/>
  <c r="T136" i="1" s="1"/>
  <c r="X136" i="1" s="1"/>
  <c r="Y136" i="1" s="1"/>
  <c r="W135" i="1"/>
  <c r="F135" i="1"/>
  <c r="T135" i="1" s="1"/>
  <c r="X135" i="1" s="1"/>
  <c r="Y135" i="1" s="1"/>
  <c r="W134" i="1"/>
  <c r="F134" i="1"/>
  <c r="T134" i="1" s="1"/>
  <c r="X134" i="1" s="1"/>
  <c r="Y134" i="1" s="1"/>
  <c r="F133" i="1"/>
  <c r="H133" i="1" s="1"/>
  <c r="G132" i="1"/>
  <c r="R133" i="1" s="1"/>
  <c r="F132" i="1"/>
  <c r="F131" i="1"/>
  <c r="H131" i="1" s="1"/>
  <c r="P130" i="1"/>
  <c r="G130" i="1"/>
  <c r="R131" i="1" s="1"/>
  <c r="F130" i="1"/>
  <c r="P129" i="1"/>
  <c r="X129" i="1" s="1"/>
  <c r="F129" i="1"/>
  <c r="H129" i="1" s="1"/>
  <c r="X128" i="1"/>
  <c r="W128" i="1"/>
  <c r="F128" i="1"/>
  <c r="H128" i="1" s="1"/>
  <c r="U127" i="1"/>
  <c r="S127" i="1"/>
  <c r="R127" i="1"/>
  <c r="H127" i="1"/>
  <c r="U126" i="1"/>
  <c r="S126" i="1"/>
  <c r="R126" i="1"/>
  <c r="H126" i="1"/>
  <c r="Q125" i="1"/>
  <c r="G125" i="1"/>
  <c r="F125" i="1"/>
  <c r="E125" i="1"/>
  <c r="U125" i="1" s="1"/>
  <c r="X123" i="1"/>
  <c r="W123" i="1"/>
  <c r="F123" i="1"/>
  <c r="H123" i="1" s="1"/>
  <c r="Q122" i="1"/>
  <c r="G122" i="1"/>
  <c r="F122" i="1"/>
  <c r="E122" i="1"/>
  <c r="U122" i="1" s="1"/>
  <c r="P121" i="1"/>
  <c r="H121" i="1"/>
  <c r="W120" i="1"/>
  <c r="F120" i="1"/>
  <c r="T120" i="1" s="1"/>
  <c r="X120" i="1" s="1"/>
  <c r="Y120" i="1" s="1"/>
  <c r="P119" i="1"/>
  <c r="F119" i="1"/>
  <c r="H119" i="1" s="1"/>
  <c r="W118" i="1"/>
  <c r="F118" i="1"/>
  <c r="T118" i="1" s="1"/>
  <c r="X118" i="1" s="1"/>
  <c r="Y118" i="1" s="1"/>
  <c r="W117" i="1"/>
  <c r="F117" i="1"/>
  <c r="T117" i="1" s="1"/>
  <c r="X117" i="1" s="1"/>
  <c r="Y117" i="1" s="1"/>
  <c r="P116" i="1"/>
  <c r="F116" i="1"/>
  <c r="H116" i="1" s="1"/>
  <c r="W115" i="1"/>
  <c r="F115" i="1"/>
  <c r="T115" i="1" s="1"/>
  <c r="X115" i="1" s="1"/>
  <c r="Y115" i="1" s="1"/>
  <c r="F114" i="1"/>
  <c r="H114" i="1" s="1"/>
  <c r="G113" i="1"/>
  <c r="R114" i="1" s="1"/>
  <c r="F113" i="1"/>
  <c r="P112" i="1"/>
  <c r="F112" i="1"/>
  <c r="H112" i="1" s="1"/>
  <c r="U111" i="1"/>
  <c r="S111" i="1"/>
  <c r="R111" i="1"/>
  <c r="H111" i="1"/>
  <c r="Q110" i="1"/>
  <c r="G110" i="1"/>
  <c r="F110" i="1"/>
  <c r="E110" i="1"/>
  <c r="U110" i="1" s="1"/>
  <c r="G109" i="1"/>
  <c r="F109" i="1"/>
  <c r="E109" i="1"/>
  <c r="U109" i="1" s="1"/>
  <c r="U108" i="1"/>
  <c r="S108" i="1"/>
  <c r="R108" i="1"/>
  <c r="H108" i="1"/>
  <c r="P107" i="1"/>
  <c r="F107" i="1"/>
  <c r="H107" i="1" s="1"/>
  <c r="P106" i="1"/>
  <c r="F106" i="1"/>
  <c r="H106" i="1" s="1"/>
  <c r="W105" i="1"/>
  <c r="F105" i="1"/>
  <c r="T105" i="1" s="1"/>
  <c r="X105" i="1" s="1"/>
  <c r="Y105" i="1" s="1"/>
  <c r="W104" i="1"/>
  <c r="F104" i="1"/>
  <c r="T104" i="1" s="1"/>
  <c r="X104" i="1" s="1"/>
  <c r="Y104" i="1" s="1"/>
  <c r="P103" i="1"/>
  <c r="F103" i="1"/>
  <c r="H103" i="1" s="1"/>
  <c r="W102" i="1"/>
  <c r="F102" i="1"/>
  <c r="T102" i="1" s="1"/>
  <c r="X102" i="1" s="1"/>
  <c r="Y102" i="1" s="1"/>
  <c r="W101" i="1"/>
  <c r="F101" i="1"/>
  <c r="T101" i="1" s="1"/>
  <c r="X101" i="1" s="1"/>
  <c r="Y101" i="1" s="1"/>
  <c r="F100" i="1"/>
  <c r="H100" i="1" s="1"/>
  <c r="P99" i="1"/>
  <c r="G99" i="1"/>
  <c r="R100" i="1" s="1"/>
  <c r="F99" i="1"/>
  <c r="P98" i="1"/>
  <c r="F98" i="1"/>
  <c r="H98" i="1" s="1"/>
  <c r="P97" i="1"/>
  <c r="F97" i="1"/>
  <c r="H97" i="1" s="1"/>
  <c r="X96" i="1"/>
  <c r="Y96" i="1" s="1"/>
  <c r="W96" i="1"/>
  <c r="H96" i="1"/>
  <c r="P95" i="1"/>
  <c r="X95" i="1" s="1"/>
  <c r="F95" i="1"/>
  <c r="H95" i="1" s="1"/>
  <c r="U94" i="1"/>
  <c r="S94" i="1"/>
  <c r="R94" i="1"/>
  <c r="H94" i="1"/>
  <c r="U93" i="1"/>
  <c r="S93" i="1"/>
  <c r="R93" i="1"/>
  <c r="H93" i="1"/>
  <c r="U92" i="1"/>
  <c r="S92" i="1"/>
  <c r="R92" i="1"/>
  <c r="H92" i="1"/>
  <c r="Q91" i="1"/>
  <c r="G91" i="1"/>
  <c r="F91" i="1"/>
  <c r="E91" i="1"/>
  <c r="U91" i="1" s="1"/>
  <c r="P89" i="1"/>
  <c r="F89" i="1"/>
  <c r="H89" i="1" s="1"/>
  <c r="W88" i="1"/>
  <c r="F88" i="1"/>
  <c r="T88" i="1" s="1"/>
  <c r="X88" i="1" s="1"/>
  <c r="Y88" i="1" s="1"/>
  <c r="W87" i="1"/>
  <c r="F87" i="1"/>
  <c r="T87" i="1" s="1"/>
  <c r="X87" i="1" s="1"/>
  <c r="Y87" i="1" s="1"/>
  <c r="P86" i="1"/>
  <c r="F86" i="1"/>
  <c r="H86" i="1" s="1"/>
  <c r="Q85" i="1"/>
  <c r="G85" i="1"/>
  <c r="F85" i="1"/>
  <c r="E85" i="1"/>
  <c r="U85" i="1" s="1"/>
  <c r="X84" i="1"/>
  <c r="Y84" i="1" s="1"/>
  <c r="W84" i="1"/>
  <c r="H84" i="1"/>
  <c r="W83" i="1"/>
  <c r="F83" i="1"/>
  <c r="T83" i="1" s="1"/>
  <c r="X83" i="1" s="1"/>
  <c r="Y83" i="1" s="1"/>
  <c r="P82" i="1"/>
  <c r="F82" i="1"/>
  <c r="H82" i="1" s="1"/>
  <c r="P81" i="1"/>
  <c r="F81" i="1"/>
  <c r="H81" i="1" s="1"/>
  <c r="U80" i="1"/>
  <c r="S80" i="1"/>
  <c r="R80" i="1"/>
  <c r="F80" i="1"/>
  <c r="U79" i="1"/>
  <c r="S79" i="1"/>
  <c r="R79" i="1"/>
  <c r="F79" i="1"/>
  <c r="W78" i="1"/>
  <c r="F78" i="1"/>
  <c r="T78" i="1" s="1"/>
  <c r="X78" i="1" s="1"/>
  <c r="Y78" i="1" s="1"/>
  <c r="P77" i="1"/>
  <c r="F77" i="1"/>
  <c r="H77" i="1" s="1"/>
  <c r="P76" i="1"/>
  <c r="X76" i="1" s="1"/>
  <c r="F76" i="1"/>
  <c r="H76" i="1" s="1"/>
  <c r="U75" i="1"/>
  <c r="S75" i="1"/>
  <c r="R75" i="1"/>
  <c r="F75" i="1"/>
  <c r="F74" i="1"/>
  <c r="H74" i="1" s="1"/>
  <c r="G73" i="1"/>
  <c r="R74" i="1" s="1"/>
  <c r="F73" i="1"/>
  <c r="U72" i="1"/>
  <c r="S72" i="1"/>
  <c r="R72" i="1"/>
  <c r="F72" i="1"/>
  <c r="U71" i="1"/>
  <c r="S71" i="1"/>
  <c r="R71" i="1"/>
  <c r="G71" i="1"/>
  <c r="F71" i="1"/>
  <c r="P70" i="1"/>
  <c r="F70" i="1"/>
  <c r="H70" i="1" s="1"/>
  <c r="P69" i="1"/>
  <c r="F69" i="1"/>
  <c r="H69" i="1" s="1"/>
  <c r="W68" i="1"/>
  <c r="F68" i="1"/>
  <c r="T68" i="1" s="1"/>
  <c r="X68" i="1" s="1"/>
  <c r="Y68" i="1" s="1"/>
  <c r="F67" i="1"/>
  <c r="H67" i="1" s="1"/>
  <c r="P66" i="1"/>
  <c r="G66" i="1"/>
  <c r="R67" i="1" s="1"/>
  <c r="F66" i="1"/>
  <c r="P65" i="1"/>
  <c r="F65" i="1"/>
  <c r="H65" i="1" s="1"/>
  <c r="P64" i="1"/>
  <c r="X64" i="1" s="1"/>
  <c r="F64" i="1"/>
  <c r="H64" i="1" s="1"/>
  <c r="U63" i="1"/>
  <c r="S63" i="1"/>
  <c r="R63" i="1"/>
  <c r="H63" i="1"/>
  <c r="U62" i="1"/>
  <c r="S62" i="1"/>
  <c r="R62" i="1"/>
  <c r="H62" i="1"/>
  <c r="U61" i="1"/>
  <c r="S61" i="1"/>
  <c r="R61" i="1"/>
  <c r="G61" i="1"/>
  <c r="H61" i="1" s="1"/>
  <c r="U60" i="1"/>
  <c r="S60" i="1"/>
  <c r="R60" i="1"/>
  <c r="G60" i="1"/>
  <c r="H60" i="1" s="1"/>
  <c r="X58" i="1"/>
  <c r="Y58" i="1" s="1"/>
  <c r="W58" i="1"/>
  <c r="H58" i="1"/>
  <c r="P57" i="1"/>
  <c r="F57" i="1"/>
  <c r="H57" i="1" s="1"/>
  <c r="P56" i="1"/>
  <c r="F56" i="1"/>
  <c r="H56" i="1" s="1"/>
  <c r="W55" i="1"/>
  <c r="F55" i="1"/>
  <c r="T55" i="1" s="1"/>
  <c r="X55" i="1" s="1"/>
  <c r="Y55" i="1" s="1"/>
  <c r="W54" i="1"/>
  <c r="F54" i="1"/>
  <c r="T54" i="1" s="1"/>
  <c r="X54" i="1" s="1"/>
  <c r="Y54" i="1" s="1"/>
  <c r="X53" i="1"/>
  <c r="Y53" i="1" s="1"/>
  <c r="W53" i="1"/>
  <c r="H53" i="1"/>
  <c r="Q52" i="1"/>
  <c r="G52" i="1"/>
  <c r="F52" i="1"/>
  <c r="E52" i="1"/>
  <c r="U52" i="1" s="1"/>
  <c r="P51" i="1"/>
  <c r="F51" i="1"/>
  <c r="H51" i="1" s="1"/>
  <c r="U50" i="1"/>
  <c r="S50" i="1"/>
  <c r="R50" i="1"/>
  <c r="G50" i="1"/>
  <c r="H50" i="1" s="1"/>
  <c r="U49" i="1"/>
  <c r="S49" i="1"/>
  <c r="R49" i="1"/>
  <c r="G49" i="1"/>
  <c r="H49" i="1" s="1"/>
  <c r="P48" i="1"/>
  <c r="F48" i="1"/>
  <c r="H48" i="1" s="1"/>
  <c r="P47" i="1"/>
  <c r="F47" i="1"/>
  <c r="H47" i="1" s="1"/>
  <c r="P46" i="1"/>
  <c r="X46" i="1" s="1"/>
  <c r="F46" i="1"/>
  <c r="H46" i="1" s="1"/>
  <c r="U45" i="1"/>
  <c r="S45" i="1"/>
  <c r="R45" i="1"/>
  <c r="G45" i="1"/>
  <c r="F45" i="1"/>
  <c r="X45" i="1" s="1"/>
  <c r="Y45" i="1" s="1"/>
  <c r="U44" i="1"/>
  <c r="S44" i="1"/>
  <c r="R44" i="1"/>
  <c r="G44" i="1"/>
  <c r="H44" i="1" s="1"/>
  <c r="F43" i="1"/>
  <c r="H43" i="1" s="1"/>
  <c r="G42" i="1"/>
  <c r="R43" i="1" s="1"/>
  <c r="F42" i="1"/>
  <c r="U41" i="1"/>
  <c r="S41" i="1"/>
  <c r="R41" i="1"/>
  <c r="G41" i="1"/>
  <c r="H41" i="1" s="1"/>
  <c r="U40" i="1"/>
  <c r="S40" i="1"/>
  <c r="R40" i="1"/>
  <c r="G40" i="1"/>
  <c r="H40" i="1" s="1"/>
  <c r="P39" i="1"/>
  <c r="F39" i="1"/>
  <c r="H39" i="1" s="1"/>
  <c r="W38" i="1"/>
  <c r="F38" i="1"/>
  <c r="T38" i="1" s="1"/>
  <c r="X38" i="1" s="1"/>
  <c r="Y38" i="1" s="1"/>
  <c r="F37" i="1"/>
  <c r="H37" i="1" s="1"/>
  <c r="P36" i="1"/>
  <c r="G36" i="1"/>
  <c r="R37" i="1" s="1"/>
  <c r="F36" i="1"/>
  <c r="P35" i="1"/>
  <c r="F35" i="1"/>
  <c r="H35" i="1" s="1"/>
  <c r="P34" i="1"/>
  <c r="X34" i="1" s="1"/>
  <c r="F34" i="1"/>
  <c r="H34" i="1" s="1"/>
  <c r="U33" i="1"/>
  <c r="S33" i="1"/>
  <c r="R33" i="1"/>
  <c r="H33" i="1"/>
  <c r="U32" i="1"/>
  <c r="S32" i="1"/>
  <c r="R32" i="1"/>
  <c r="H32" i="1"/>
  <c r="U31" i="1"/>
  <c r="S31" i="1"/>
  <c r="R31" i="1"/>
  <c r="H31" i="1"/>
  <c r="U30" i="1"/>
  <c r="S30" i="1"/>
  <c r="R30" i="1"/>
  <c r="H30" i="1"/>
  <c r="P28" i="1"/>
  <c r="F28" i="1"/>
  <c r="H28" i="1" s="1"/>
  <c r="X27" i="1"/>
  <c r="Y27" i="1" s="1"/>
  <c r="W27" i="1"/>
  <c r="H27" i="1"/>
  <c r="W26" i="1"/>
  <c r="F26" i="1"/>
  <c r="T26" i="1" s="1"/>
  <c r="X26" i="1" s="1"/>
  <c r="Y26" i="1" s="1"/>
  <c r="P25" i="1"/>
  <c r="F25" i="1"/>
  <c r="H25" i="1" s="1"/>
  <c r="U24" i="1"/>
  <c r="S24" i="1"/>
  <c r="R24" i="1"/>
  <c r="H24" i="1"/>
  <c r="U23" i="1"/>
  <c r="S23" i="1"/>
  <c r="R23" i="1"/>
  <c r="H23" i="1"/>
  <c r="X22" i="1"/>
  <c r="Y22" i="1" s="1"/>
  <c r="W22" i="1"/>
  <c r="H22" i="1"/>
  <c r="P21" i="1"/>
  <c r="F21" i="1"/>
  <c r="H21" i="1" s="1"/>
  <c r="U20" i="1"/>
  <c r="S20" i="1"/>
  <c r="R20" i="1"/>
  <c r="H20" i="1"/>
  <c r="U19" i="1"/>
  <c r="S19" i="1"/>
  <c r="R19" i="1"/>
  <c r="H19" i="1"/>
  <c r="P18" i="1"/>
  <c r="X18" i="1" s="1"/>
  <c r="F18" i="1"/>
  <c r="H18" i="1" s="1"/>
  <c r="W17" i="1"/>
  <c r="F17" i="1"/>
  <c r="T17" i="1" s="1"/>
  <c r="X17" i="1" s="1"/>
  <c r="Y17" i="1" s="1"/>
  <c r="P16" i="1"/>
  <c r="F16" i="1"/>
  <c r="H16" i="1" s="1"/>
  <c r="W15" i="1"/>
  <c r="F15" i="1"/>
  <c r="T15" i="1" s="1"/>
  <c r="X15" i="1" s="1"/>
  <c r="Y15" i="1" s="1"/>
  <c r="U14" i="1"/>
  <c r="S14" i="1"/>
  <c r="R14" i="1"/>
  <c r="G14" i="1"/>
  <c r="F14" i="1"/>
  <c r="X14" i="1" s="1"/>
  <c r="Y14" i="1" s="1"/>
  <c r="F13" i="1"/>
  <c r="H13" i="1" s="1"/>
  <c r="G12" i="1"/>
  <c r="R13" i="1" s="1"/>
  <c r="F12" i="1"/>
  <c r="G11" i="1"/>
  <c r="F11" i="1"/>
  <c r="G10" i="1"/>
  <c r="R10" i="1" s="1"/>
  <c r="F10" i="1"/>
  <c r="U9" i="1"/>
  <c r="S9" i="1"/>
  <c r="R9" i="1"/>
  <c r="G9" i="1"/>
  <c r="H9" i="1" s="1"/>
  <c r="P8" i="1"/>
  <c r="F8" i="1"/>
  <c r="H8" i="1" s="1"/>
  <c r="W7" i="1"/>
  <c r="F7" i="1"/>
  <c r="T7" i="1" s="1"/>
  <c r="X7" i="1" s="1"/>
  <c r="Y7" i="1" s="1"/>
  <c r="G6" i="1"/>
  <c r="F6" i="1"/>
  <c r="G5" i="1"/>
  <c r="R5" i="1" s="1"/>
  <c r="F5" i="1"/>
  <c r="P4" i="1"/>
  <c r="F4" i="1"/>
  <c r="H4" i="1" s="1"/>
  <c r="R6" i="1" l="1"/>
  <c r="R11" i="1"/>
  <c r="H14" i="1"/>
  <c r="Y18" i="1"/>
  <c r="Y34" i="1"/>
  <c r="H45" i="1"/>
  <c r="Y46" i="1"/>
  <c r="H52" i="1"/>
  <c r="Y64" i="1"/>
  <c r="H71" i="1"/>
  <c r="Y76" i="1"/>
  <c r="H85" i="1"/>
  <c r="H91" i="1"/>
  <c r="Y95" i="1"/>
  <c r="H109" i="1"/>
  <c r="H110" i="1"/>
  <c r="H122" i="1"/>
  <c r="Y123" i="1"/>
  <c r="H125" i="1"/>
  <c r="Y128" i="1"/>
  <c r="Y129" i="1"/>
  <c r="H149" i="1"/>
  <c r="X152" i="1"/>
  <c r="Y152" i="1" s="1"/>
  <c r="W4" i="1"/>
  <c r="T4" i="1" s="1"/>
  <c r="X4" i="1" s="1"/>
  <c r="Y4" i="1" s="1"/>
  <c r="H5" i="1"/>
  <c r="Q5" i="1"/>
  <c r="H6" i="1"/>
  <c r="Q6" i="1"/>
  <c r="H7" i="1"/>
  <c r="W8" i="1"/>
  <c r="T8" i="1" s="1"/>
  <c r="X8" i="1" s="1"/>
  <c r="Y8" i="1" s="1"/>
  <c r="W9" i="1"/>
  <c r="T9" i="1" s="1"/>
  <c r="X9" i="1" s="1"/>
  <c r="Y9" i="1" s="1"/>
  <c r="H10" i="1"/>
  <c r="Q10" i="1"/>
  <c r="H11" i="1"/>
  <c r="Q11" i="1"/>
  <c r="H12" i="1"/>
  <c r="Q12" i="1"/>
  <c r="R12" i="1"/>
  <c r="Q13" i="1"/>
  <c r="W14" i="1"/>
  <c r="H15" i="1"/>
  <c r="W16" i="1"/>
  <c r="T16" i="1" s="1"/>
  <c r="X16" i="1" s="1"/>
  <c r="Y16" i="1" s="1"/>
  <c r="H17" i="1"/>
  <c r="W18" i="1"/>
  <c r="W19" i="1"/>
  <c r="T19" i="1" s="1"/>
  <c r="X19" i="1" s="1"/>
  <c r="Y19" i="1" s="1"/>
  <c r="W20" i="1"/>
  <c r="T20" i="1" s="1"/>
  <c r="X20" i="1" s="1"/>
  <c r="Y20" i="1" s="1"/>
  <c r="W21" i="1"/>
  <c r="T21" i="1" s="1"/>
  <c r="X21" i="1" s="1"/>
  <c r="Y21" i="1" s="1"/>
  <c r="W23" i="1"/>
  <c r="T23" i="1" s="1"/>
  <c r="X23" i="1" s="1"/>
  <c r="Y23" i="1" s="1"/>
  <c r="W24" i="1"/>
  <c r="T24" i="1" s="1"/>
  <c r="X24" i="1" s="1"/>
  <c r="Y24" i="1" s="1"/>
  <c r="W25" i="1"/>
  <c r="T25" i="1" s="1"/>
  <c r="X25" i="1" s="1"/>
  <c r="Y25" i="1" s="1"/>
  <c r="H26" i="1"/>
  <c r="W28" i="1"/>
  <c r="T28" i="1" s="1"/>
  <c r="X28" i="1" s="1"/>
  <c r="Y28" i="1" s="1"/>
  <c r="W30" i="1"/>
  <c r="T30" i="1" s="1"/>
  <c r="X30" i="1" s="1"/>
  <c r="Y30" i="1" s="1"/>
  <c r="W31" i="1"/>
  <c r="T31" i="1" s="1"/>
  <c r="X31" i="1" s="1"/>
  <c r="Y31" i="1" s="1"/>
  <c r="W32" i="1"/>
  <c r="T32" i="1" s="1"/>
  <c r="X32" i="1" s="1"/>
  <c r="Y32" i="1" s="1"/>
  <c r="W33" i="1"/>
  <c r="T33" i="1" s="1"/>
  <c r="X33" i="1" s="1"/>
  <c r="Y33" i="1" s="1"/>
  <c r="W34" i="1"/>
  <c r="W35" i="1"/>
  <c r="T35" i="1" s="1"/>
  <c r="X35" i="1" s="1"/>
  <c r="Y35" i="1" s="1"/>
  <c r="H36" i="1"/>
  <c r="Q36" i="1"/>
  <c r="R36" i="1"/>
  <c r="W36" i="1"/>
  <c r="T36" i="1" s="1"/>
  <c r="Q37" i="1"/>
  <c r="H38" i="1"/>
  <c r="W39" i="1"/>
  <c r="T39" i="1" s="1"/>
  <c r="X39" i="1" s="1"/>
  <c r="Y39" i="1" s="1"/>
  <c r="W40" i="1"/>
  <c r="T40" i="1" s="1"/>
  <c r="X40" i="1" s="1"/>
  <c r="Y40" i="1" s="1"/>
  <c r="W41" i="1"/>
  <c r="T41" i="1" s="1"/>
  <c r="X41" i="1" s="1"/>
  <c r="Y41" i="1" s="1"/>
  <c r="H42" i="1"/>
  <c r="Q42" i="1"/>
  <c r="R42" i="1"/>
  <c r="Q43" i="1"/>
  <c r="W44" i="1"/>
  <c r="T44" i="1" s="1"/>
  <c r="X44" i="1" s="1"/>
  <c r="Y44" i="1" s="1"/>
  <c r="W45" i="1"/>
  <c r="W46" i="1"/>
  <c r="W47" i="1"/>
  <c r="T47" i="1" s="1"/>
  <c r="X47" i="1" s="1"/>
  <c r="Y47" i="1" s="1"/>
  <c r="W48" i="1"/>
  <c r="T48" i="1" s="1"/>
  <c r="X48" i="1" s="1"/>
  <c r="Y48" i="1" s="1"/>
  <c r="W49" i="1"/>
  <c r="T49" i="1" s="1"/>
  <c r="X49" i="1" s="1"/>
  <c r="Y49" i="1" s="1"/>
  <c r="W50" i="1"/>
  <c r="T50" i="1" s="1"/>
  <c r="X50" i="1" s="1"/>
  <c r="Y50" i="1" s="1"/>
  <c r="W51" i="1"/>
  <c r="T51" i="1" s="1"/>
  <c r="X51" i="1" s="1"/>
  <c r="Y51" i="1" s="1"/>
  <c r="R52" i="1"/>
  <c r="S52" i="1"/>
  <c r="W52" i="1"/>
  <c r="T52" i="1" s="1"/>
  <c r="H54" i="1"/>
  <c r="H55" i="1"/>
  <c r="W56" i="1"/>
  <c r="T56" i="1" s="1"/>
  <c r="X56" i="1" s="1"/>
  <c r="Y56" i="1" s="1"/>
  <c r="W57" i="1"/>
  <c r="T57" i="1" s="1"/>
  <c r="X57" i="1" s="1"/>
  <c r="Y57" i="1" s="1"/>
  <c r="W60" i="1"/>
  <c r="T60" i="1" s="1"/>
  <c r="X60" i="1" s="1"/>
  <c r="Y60" i="1" s="1"/>
  <c r="W61" i="1"/>
  <c r="T61" i="1" s="1"/>
  <c r="X61" i="1" s="1"/>
  <c r="Y61" i="1" s="1"/>
  <c r="W62" i="1"/>
  <c r="T62" i="1" s="1"/>
  <c r="X62" i="1" s="1"/>
  <c r="Y62" i="1" s="1"/>
  <c r="W63" i="1"/>
  <c r="T63" i="1" s="1"/>
  <c r="X63" i="1" s="1"/>
  <c r="Y63" i="1" s="1"/>
  <c r="W64" i="1"/>
  <c r="W65" i="1"/>
  <c r="T65" i="1" s="1"/>
  <c r="X65" i="1" s="1"/>
  <c r="Y65" i="1" s="1"/>
  <c r="H66" i="1"/>
  <c r="Q66" i="1"/>
  <c r="R66" i="1"/>
  <c r="W66" i="1"/>
  <c r="T66" i="1" s="1"/>
  <c r="Q67" i="1"/>
  <c r="H68" i="1"/>
  <c r="W69" i="1"/>
  <c r="T69" i="1" s="1"/>
  <c r="X69" i="1" s="1"/>
  <c r="Y69" i="1" s="1"/>
  <c r="W70" i="1"/>
  <c r="T70" i="1" s="1"/>
  <c r="X70" i="1" s="1"/>
  <c r="Y70" i="1" s="1"/>
  <c r="W71" i="1"/>
  <c r="T71" i="1" s="1"/>
  <c r="X71" i="1" s="1"/>
  <c r="Y71" i="1" s="1"/>
  <c r="H72" i="1"/>
  <c r="W72" i="1"/>
  <c r="T72" i="1" s="1"/>
  <c r="X72" i="1" s="1"/>
  <c r="Y72" i="1" s="1"/>
  <c r="H73" i="1"/>
  <c r="Q73" i="1"/>
  <c r="R73" i="1"/>
  <c r="Q74" i="1"/>
  <c r="H75" i="1"/>
  <c r="W75" i="1"/>
  <c r="T75" i="1" s="1"/>
  <c r="X75" i="1" s="1"/>
  <c r="Y75" i="1" s="1"/>
  <c r="W76" i="1"/>
  <c r="W77" i="1"/>
  <c r="T77" i="1" s="1"/>
  <c r="X77" i="1" s="1"/>
  <c r="Y77" i="1" s="1"/>
  <c r="H78" i="1"/>
  <c r="H79" i="1"/>
  <c r="W79" i="1"/>
  <c r="T79" i="1" s="1"/>
  <c r="X79" i="1" s="1"/>
  <c r="Y79" i="1" s="1"/>
  <c r="H80" i="1"/>
  <c r="W80" i="1"/>
  <c r="T80" i="1" s="1"/>
  <c r="X80" i="1" s="1"/>
  <c r="Y80" i="1" s="1"/>
  <c r="W81" i="1"/>
  <c r="T81" i="1" s="1"/>
  <c r="X81" i="1" s="1"/>
  <c r="Y81" i="1" s="1"/>
  <c r="W82" i="1"/>
  <c r="T82" i="1" s="1"/>
  <c r="X82" i="1" s="1"/>
  <c r="Y82" i="1" s="1"/>
  <c r="H83" i="1"/>
  <c r="R85" i="1"/>
  <c r="S85" i="1"/>
  <c r="W85" i="1"/>
  <c r="T85" i="1" s="1"/>
  <c r="W86" i="1"/>
  <c r="T86" i="1" s="1"/>
  <c r="X86" i="1" s="1"/>
  <c r="Y86" i="1" s="1"/>
  <c r="H87" i="1"/>
  <c r="H88" i="1"/>
  <c r="W89" i="1"/>
  <c r="T89" i="1" s="1"/>
  <c r="X89" i="1" s="1"/>
  <c r="Y89" i="1" s="1"/>
  <c r="R91" i="1"/>
  <c r="S91" i="1"/>
  <c r="W91" i="1"/>
  <c r="T91" i="1" s="1"/>
  <c r="W92" i="1"/>
  <c r="T92" i="1" s="1"/>
  <c r="X92" i="1" s="1"/>
  <c r="Y92" i="1" s="1"/>
  <c r="W93" i="1"/>
  <c r="T93" i="1" s="1"/>
  <c r="X93" i="1" s="1"/>
  <c r="Y93" i="1" s="1"/>
  <c r="W94" i="1"/>
  <c r="T94" i="1" s="1"/>
  <c r="X94" i="1" s="1"/>
  <c r="Y94" i="1" s="1"/>
  <c r="W95" i="1"/>
  <c r="W97" i="1"/>
  <c r="T97" i="1" s="1"/>
  <c r="X97" i="1" s="1"/>
  <c r="Y97" i="1" s="1"/>
  <c r="W98" i="1"/>
  <c r="T98" i="1" s="1"/>
  <c r="X98" i="1" s="1"/>
  <c r="Y98" i="1" s="1"/>
  <c r="H99" i="1"/>
  <c r="Q99" i="1"/>
  <c r="R99" i="1"/>
  <c r="W99" i="1"/>
  <c r="T99" i="1" s="1"/>
  <c r="Q100" i="1"/>
  <c r="H101" i="1"/>
  <c r="H102" i="1"/>
  <c r="W103" i="1"/>
  <c r="T103" i="1" s="1"/>
  <c r="X103" i="1" s="1"/>
  <c r="Y103" i="1" s="1"/>
  <c r="H104" i="1"/>
  <c r="H105" i="1"/>
  <c r="W106" i="1"/>
  <c r="T106" i="1" s="1"/>
  <c r="X106" i="1" s="1"/>
  <c r="Y106" i="1" s="1"/>
  <c r="W107" i="1"/>
  <c r="T107" i="1" s="1"/>
  <c r="X107" i="1" s="1"/>
  <c r="Y107" i="1" s="1"/>
  <c r="W108" i="1"/>
  <c r="T108" i="1" s="1"/>
  <c r="X108" i="1" s="1"/>
  <c r="Y108" i="1" s="1"/>
  <c r="R109" i="1"/>
  <c r="S109" i="1"/>
  <c r="W109" i="1"/>
  <c r="T109" i="1" s="1"/>
  <c r="R110" i="1"/>
  <c r="S110" i="1"/>
  <c r="W110" i="1"/>
  <c r="T110" i="1" s="1"/>
  <c r="W111" i="1"/>
  <c r="T111" i="1" s="1"/>
  <c r="X111" i="1" s="1"/>
  <c r="Y111" i="1" s="1"/>
  <c r="W112" i="1"/>
  <c r="T112" i="1" s="1"/>
  <c r="X112" i="1" s="1"/>
  <c r="Y112" i="1" s="1"/>
  <c r="H113" i="1"/>
  <c r="Q113" i="1"/>
  <c r="R113" i="1"/>
  <c r="Q114" i="1"/>
  <c r="H115" i="1"/>
  <c r="W116" i="1"/>
  <c r="T116" i="1" s="1"/>
  <c r="X116" i="1" s="1"/>
  <c r="Y116" i="1" s="1"/>
  <c r="H117" i="1"/>
  <c r="H118" i="1"/>
  <c r="W119" i="1"/>
  <c r="T119" i="1" s="1"/>
  <c r="X119" i="1" s="1"/>
  <c r="Y119" i="1" s="1"/>
  <c r="H120" i="1"/>
  <c r="W121" i="1"/>
  <c r="T121" i="1" s="1"/>
  <c r="X121" i="1" s="1"/>
  <c r="Y121" i="1" s="1"/>
  <c r="R122" i="1"/>
  <c r="S122" i="1"/>
  <c r="W122" i="1"/>
  <c r="T122" i="1" s="1"/>
  <c r="R125" i="1"/>
  <c r="S125" i="1"/>
  <c r="W125" i="1"/>
  <c r="T125" i="1" s="1"/>
  <c r="W126" i="1"/>
  <c r="T126" i="1" s="1"/>
  <c r="X126" i="1" s="1"/>
  <c r="Y126" i="1" s="1"/>
  <c r="W127" i="1"/>
  <c r="T127" i="1" s="1"/>
  <c r="X127" i="1" s="1"/>
  <c r="Y127" i="1" s="1"/>
  <c r="W129" i="1"/>
  <c r="H130" i="1"/>
  <c r="Q130" i="1"/>
  <c r="R130" i="1"/>
  <c r="W130" i="1"/>
  <c r="T130" i="1" s="1"/>
  <c r="Q131" i="1"/>
  <c r="H132" i="1"/>
  <c r="Q132" i="1"/>
  <c r="R132" i="1"/>
  <c r="Q133" i="1"/>
  <c r="H134" i="1"/>
  <c r="H135" i="1"/>
  <c r="H136" i="1"/>
  <c r="H137" i="1"/>
  <c r="W138" i="1"/>
  <c r="T138" i="1" s="1"/>
  <c r="X138" i="1" s="1"/>
  <c r="Y138" i="1" s="1"/>
  <c r="W139" i="1"/>
  <c r="T139" i="1" s="1"/>
  <c r="X139" i="1" s="1"/>
  <c r="Y139" i="1" s="1"/>
  <c r="W140" i="1"/>
  <c r="T140" i="1" s="1"/>
  <c r="X140" i="1" s="1"/>
  <c r="Y140" i="1" s="1"/>
  <c r="W141" i="1"/>
  <c r="T141" i="1" s="1"/>
  <c r="X141" i="1" s="1"/>
  <c r="Y141" i="1" s="1"/>
  <c r="W142" i="1"/>
  <c r="T142" i="1" s="1"/>
  <c r="X142" i="1" s="1"/>
  <c r="Y142" i="1" s="1"/>
  <c r="H143" i="1"/>
  <c r="H144" i="1"/>
  <c r="W145" i="1"/>
  <c r="T145" i="1" s="1"/>
  <c r="X145" i="1" s="1"/>
  <c r="Y145" i="1" s="1"/>
  <c r="H146" i="1"/>
  <c r="W147" i="1"/>
  <c r="T147" i="1" s="1"/>
  <c r="X147" i="1" s="1"/>
  <c r="Y147" i="1" s="1"/>
  <c r="W148" i="1"/>
  <c r="T148" i="1" s="1"/>
  <c r="X148" i="1" s="1"/>
  <c r="Y148" i="1" s="1"/>
  <c r="R149" i="1"/>
  <c r="S149" i="1"/>
  <c r="W149" i="1"/>
  <c r="W150" i="1"/>
  <c r="T150" i="1" s="1"/>
  <c r="X150" i="1" s="1"/>
  <c r="Y150" i="1" s="1"/>
  <c r="W152" i="1"/>
  <c r="X149" i="1" l="1"/>
  <c r="Y149" i="1" s="1"/>
  <c r="X130" i="1"/>
  <c r="Y130" i="1" s="1"/>
  <c r="X125" i="1"/>
  <c r="Y125" i="1" s="1"/>
  <c r="X122" i="1"/>
  <c r="Y122" i="1" s="1"/>
  <c r="X110" i="1"/>
  <c r="Y110" i="1" s="1"/>
  <c r="X109" i="1"/>
  <c r="Y109" i="1" s="1"/>
  <c r="X99" i="1"/>
  <c r="Y99" i="1" s="1"/>
  <c r="X91" i="1"/>
  <c r="Y91" i="1" s="1"/>
  <c r="X85" i="1"/>
  <c r="Y85" i="1" s="1"/>
  <c r="X66" i="1"/>
  <c r="Y66" i="1" s="1"/>
  <c r="X52" i="1"/>
  <c r="Y52" i="1" s="1"/>
  <c r="X36" i="1"/>
  <c r="Y36" i="1" s="1"/>
  <c r="W133" i="1"/>
  <c r="T133" i="1" s="1"/>
  <c r="X133" i="1" s="1"/>
  <c r="Y133" i="1" s="1"/>
  <c r="W132" i="1"/>
  <c r="T132" i="1" s="1"/>
  <c r="X132" i="1" s="1"/>
  <c r="Y132" i="1" s="1"/>
  <c r="W131" i="1"/>
  <c r="T131" i="1" s="1"/>
  <c r="X131" i="1" s="1"/>
  <c r="Y131" i="1" s="1"/>
  <c r="W114" i="1"/>
  <c r="T114" i="1" s="1"/>
  <c r="X114" i="1" s="1"/>
  <c r="Y114" i="1" s="1"/>
  <c r="W113" i="1"/>
  <c r="T113" i="1" s="1"/>
  <c r="X113" i="1" s="1"/>
  <c r="Y113" i="1" s="1"/>
  <c r="W100" i="1"/>
  <c r="T100" i="1" s="1"/>
  <c r="X100" i="1" s="1"/>
  <c r="Y100" i="1" s="1"/>
  <c r="W74" i="1"/>
  <c r="T74" i="1" s="1"/>
  <c r="X74" i="1" s="1"/>
  <c r="Y74" i="1" s="1"/>
  <c r="W73" i="1"/>
  <c r="T73" i="1" s="1"/>
  <c r="X73" i="1" s="1"/>
  <c r="Y73" i="1" s="1"/>
  <c r="W67" i="1"/>
  <c r="T67" i="1" s="1"/>
  <c r="X67" i="1" s="1"/>
  <c r="Y67" i="1" s="1"/>
  <c r="W43" i="1"/>
  <c r="T43" i="1" s="1"/>
  <c r="X43" i="1" s="1"/>
  <c r="Y43" i="1" s="1"/>
  <c r="W42" i="1"/>
  <c r="T42" i="1" s="1"/>
  <c r="X42" i="1" s="1"/>
  <c r="Y42" i="1" s="1"/>
  <c r="W37" i="1"/>
  <c r="T37" i="1" s="1"/>
  <c r="X37" i="1" s="1"/>
  <c r="Y37" i="1" s="1"/>
  <c r="W13" i="1"/>
  <c r="T13" i="1" s="1"/>
  <c r="X13" i="1" s="1"/>
  <c r="Y13" i="1" s="1"/>
  <c r="W12" i="1"/>
  <c r="T12" i="1" s="1"/>
  <c r="X12" i="1" s="1"/>
  <c r="Y12" i="1" s="1"/>
  <c r="W11" i="1"/>
  <c r="T11" i="1" s="1"/>
  <c r="X11" i="1" s="1"/>
  <c r="Y11" i="1" s="1"/>
  <c r="W10" i="1"/>
  <c r="T10" i="1" s="1"/>
  <c r="X10" i="1" s="1"/>
  <c r="Y10" i="1" s="1"/>
  <c r="W6" i="1"/>
  <c r="T6" i="1" s="1"/>
  <c r="X6" i="1" s="1"/>
  <c r="Y6" i="1" s="1"/>
  <c r="W5" i="1"/>
  <c r="T5" i="1" s="1"/>
  <c r="X5" i="1" s="1"/>
  <c r="Y5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AA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<sst xmlns="http://schemas.openxmlformats.org/spreadsheetml/2006/main" count="984" uniqueCount="258">
  <si>
    <t>Diciembre 15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</si>
  <si>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</si>
  <si>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</si>
  <si>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</si>
  <si>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</si>
  <si>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</si>
  <si>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</si>
  <si>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</si>
  <si>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</si>
  <si>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</si>
  <si>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</si>
  <si>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</si>
  <si>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</si>
  <si>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</si>
  <si>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</si>
  <si>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</si>
  <si>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</si>
  <si>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</si>
  <si>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</si>
  <si>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</si>
  <si>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</si>
  <si>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</si>
  <si>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</si>
  <si>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</si>
  <si>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</si>
  <si>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</si>
  <si>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Seaboard</t>
  </si>
  <si>
    <t>21 combos</t>
  </si>
  <si>
    <t>nlp15-160</t>
  </si>
  <si>
    <t>Sanchez</t>
  </si>
  <si>
    <t>ma</t>
  </si>
  <si>
    <t>hoja + 10.5 ma 24 nov</t>
  </si>
  <si>
    <t>Farmland</t>
  </si>
  <si>
    <t>Smith Farm</t>
  </si>
  <si>
    <t>18 combos</t>
  </si>
  <si>
    <t>nl15-192</t>
  </si>
  <si>
    <t>hoja + 10 ma 24 nov</t>
  </si>
  <si>
    <t>Cuero Belly Fco</t>
  </si>
  <si>
    <t>2 combos</t>
  </si>
  <si>
    <t>20 combos</t>
  </si>
  <si>
    <t>nl15-193</t>
  </si>
  <si>
    <t>Tamez</t>
  </si>
  <si>
    <t>Indiana</t>
  </si>
  <si>
    <t>19 combos</t>
  </si>
  <si>
    <t>nlin15-10</t>
  </si>
  <si>
    <t>hoja + 10.75 ju 26 nov</t>
  </si>
  <si>
    <t>Canal de cerdo</t>
  </si>
  <si>
    <t>Nu3</t>
  </si>
  <si>
    <t>Agrop El Topete</t>
  </si>
  <si>
    <t>fact 4033</t>
  </si>
  <si>
    <t>nl15-194</t>
  </si>
  <si>
    <t>Cruz</t>
  </si>
  <si>
    <t>mi</t>
  </si>
  <si>
    <t>hoja + 10 ju 24 nov</t>
  </si>
  <si>
    <t>Maple</t>
  </si>
  <si>
    <t>Garcia</t>
  </si>
  <si>
    <t>hoja + 9 ju 24 nov</t>
  </si>
  <si>
    <t>Caña de lomo</t>
  </si>
  <si>
    <t>128 cajas</t>
  </si>
  <si>
    <t>San Fandila</t>
  </si>
  <si>
    <t>fact 6655, 6656</t>
  </si>
  <si>
    <t>Cuero Belly Cong</t>
  </si>
  <si>
    <t>660 cajas</t>
  </si>
  <si>
    <t>Cano</t>
  </si>
  <si>
    <t>ju</t>
  </si>
  <si>
    <t>nlp15-162</t>
  </si>
  <si>
    <t>Flores</t>
  </si>
  <si>
    <t>hoja + 10.5 vi 27 nov</t>
  </si>
  <si>
    <t>nlp15-163</t>
  </si>
  <si>
    <t>Andes</t>
  </si>
  <si>
    <t>hoja + 15 vi 27 nov</t>
  </si>
  <si>
    <t>Agrop La Chemita</t>
  </si>
  <si>
    <t>fact 2425</t>
  </si>
  <si>
    <t>Agrop Las Reses</t>
  </si>
  <si>
    <t>fact 5126</t>
  </si>
  <si>
    <t>nlp15-164</t>
  </si>
  <si>
    <t>vi</t>
  </si>
  <si>
    <t>hoja + 10.5 lu 30 nov</t>
  </si>
  <si>
    <t xml:space="preserve">Contra </t>
  </si>
  <si>
    <t>Swift</t>
  </si>
  <si>
    <t>Ryc Alimentos</t>
  </si>
  <si>
    <t>586 cajas</t>
  </si>
  <si>
    <t>fact 815283</t>
  </si>
  <si>
    <t>fact 2434</t>
  </si>
  <si>
    <t>fact 5139</t>
  </si>
  <si>
    <t>nl15-195</t>
  </si>
  <si>
    <t>sa</t>
  </si>
  <si>
    <t>hoja + 10 lu 30 nov</t>
  </si>
  <si>
    <t>nl15-216 alb</t>
  </si>
  <si>
    <t>AA Trading</t>
  </si>
  <si>
    <t>25 combos</t>
  </si>
  <si>
    <t>fact 3408</t>
  </si>
  <si>
    <t>nlin15-11</t>
  </si>
  <si>
    <t>hoja + 10.75 lu 30 nov</t>
  </si>
  <si>
    <t>fact 4052</t>
  </si>
  <si>
    <t>do</t>
  </si>
  <si>
    <t>fact 2442</t>
  </si>
  <si>
    <t>fact 5151</t>
  </si>
  <si>
    <t>lu</t>
  </si>
  <si>
    <t>fact 4057</t>
  </si>
  <si>
    <t>hoja + 15 lu 30 nov</t>
  </si>
  <si>
    <t>nlp15-165</t>
  </si>
  <si>
    <t>hoja + 10.5 ju 3 dic</t>
  </si>
  <si>
    <t>nl15-196</t>
  </si>
  <si>
    <t>hoja + 10 ju 03 dic</t>
  </si>
  <si>
    <t>nl15-197</t>
  </si>
  <si>
    <t>Lucio</t>
  </si>
  <si>
    <t>nlin15-12</t>
  </si>
  <si>
    <t>hoja + 10.75 ju 03 dic</t>
  </si>
  <si>
    <t>Agrop La Gaby</t>
  </si>
  <si>
    <t>fact 3956</t>
  </si>
  <si>
    <t>fact 3955</t>
  </si>
  <si>
    <t>nl15-198</t>
  </si>
  <si>
    <t>fact 4067</t>
  </si>
  <si>
    <t>fact 6704, 6720</t>
  </si>
  <si>
    <t>fact 816896</t>
  </si>
  <si>
    <t>hoja + 15.5 ju 3 dic</t>
  </si>
  <si>
    <t>nlp15-166</t>
  </si>
  <si>
    <t>hoja + 10.5 vi 4 dic</t>
  </si>
  <si>
    <t>nlp15-167</t>
  </si>
  <si>
    <t>fact 4073</t>
  </si>
  <si>
    <t>fact 3861</t>
  </si>
  <si>
    <t>nlp15-168</t>
  </si>
  <si>
    <t>hoja + 10.5 lu 7 dic</t>
  </si>
  <si>
    <t>fact 2452, 2454</t>
  </si>
  <si>
    <t>Cimeira</t>
  </si>
  <si>
    <t>fact 1126</t>
  </si>
  <si>
    <t>nl15-199</t>
  </si>
  <si>
    <t>hoja + 10 lu 7 dic</t>
  </si>
  <si>
    <t>nl15-217</t>
  </si>
  <si>
    <t>nl15-218 ALB</t>
  </si>
  <si>
    <t>nlin15-13</t>
  </si>
  <si>
    <t>hoja + 10.75 lu 7 dic</t>
  </si>
  <si>
    <t>fact 2480</t>
  </si>
  <si>
    <t>fact 4086</t>
  </si>
  <si>
    <t>fact 5181</t>
  </si>
  <si>
    <t>fact 4090</t>
  </si>
  <si>
    <t>fact 4088</t>
  </si>
  <si>
    <t>hoja + 15 lu 7 dic</t>
  </si>
  <si>
    <t>nlp15-169</t>
  </si>
  <si>
    <t>hoja + 10.5 ju 10 dic</t>
  </si>
  <si>
    <t>nl15-200</t>
  </si>
  <si>
    <t>hoja + 10 ju 10 dic</t>
  </si>
  <si>
    <t>nl15-201</t>
  </si>
  <si>
    <t>nl15-229</t>
  </si>
  <si>
    <t>hoja + 10 mi 09 dic</t>
  </si>
  <si>
    <t>nlin15-14</t>
  </si>
  <si>
    <t>hoja + 10.75 ju 10 dic</t>
  </si>
  <si>
    <t>fact 4092 (249)</t>
  </si>
  <si>
    <t>fact 4093 (130)</t>
  </si>
  <si>
    <t>18  combos</t>
  </si>
  <si>
    <t>nl15-202</t>
  </si>
  <si>
    <t>fact 4101 (99)</t>
  </si>
  <si>
    <t>fact 819504</t>
  </si>
  <si>
    <t>hoja + 15.5 ju 10 dic</t>
  </si>
  <si>
    <t>nlp15-170</t>
  </si>
  <si>
    <t>hoja + 10.5 vi 11 dic</t>
  </si>
  <si>
    <t>nlp15-171</t>
  </si>
  <si>
    <t>fact 5194  (229)</t>
  </si>
  <si>
    <t>fact 5198  (120)</t>
  </si>
  <si>
    <t>nlp15-172</t>
  </si>
  <si>
    <t>hoja + 10.5 lu 14 dic</t>
  </si>
  <si>
    <t>22 combos</t>
  </si>
  <si>
    <t xml:space="preserve">nl15-223 </t>
  </si>
  <si>
    <t>hoja + 10 vi 11 dic</t>
  </si>
  <si>
    <t>nl15-224 ALB</t>
  </si>
  <si>
    <t>Viansa</t>
  </si>
  <si>
    <t>fact 4114, 4115</t>
  </si>
  <si>
    <t>nl15-203</t>
  </si>
  <si>
    <t>hoja + 10 lu 14 dic</t>
  </si>
  <si>
    <t>nl15-219</t>
  </si>
  <si>
    <t>nl15-220 ALB</t>
  </si>
  <si>
    <t>nlp15-173</t>
  </si>
  <si>
    <t>hoja + 10.5 ma 15 dic</t>
  </si>
  <si>
    <t>fact 4122 (249), 4125 (210)</t>
  </si>
  <si>
    <t>fact 2484 (130)</t>
  </si>
  <si>
    <t>fact 4126</t>
  </si>
  <si>
    <t>fact 3995</t>
  </si>
  <si>
    <t>hoja + 15 lu 14 dic</t>
  </si>
  <si>
    <t>Grupo America</t>
  </si>
  <si>
    <t>fact 14993</t>
  </si>
  <si>
    <t>nlp15-174</t>
  </si>
  <si>
    <t>nlin15-15</t>
  </si>
  <si>
    <t>hoja + 10.75 lu 14 dic</t>
  </si>
  <si>
    <t>nl15-204</t>
  </si>
  <si>
    <t>hoja + 10 mi 16 dic</t>
  </si>
  <si>
    <t>nl15-205</t>
  </si>
  <si>
    <t>nl15-206</t>
  </si>
  <si>
    <t>nl15-221 ALB</t>
  </si>
  <si>
    <t>hoja + 10 ju 17 dic</t>
  </si>
  <si>
    <t xml:space="preserve">nl15-225 </t>
  </si>
  <si>
    <t>nl15-226</t>
  </si>
  <si>
    <t>nlin15-16</t>
  </si>
  <si>
    <t>hoja + 10.75 ju 17 dic</t>
  </si>
  <si>
    <t>nlp15-175</t>
  </si>
  <si>
    <t>hoja + 10.5 ju 17 dic</t>
  </si>
  <si>
    <t>fact 4008</t>
  </si>
  <si>
    <t>Agrop El Top y Gaby</t>
  </si>
  <si>
    <t>fact 4142, 4000</t>
  </si>
  <si>
    <t>fact 4012</t>
  </si>
  <si>
    <t>fact 4147</t>
  </si>
  <si>
    <t>nl15-207</t>
  </si>
  <si>
    <t>nl15-208</t>
  </si>
  <si>
    <t xml:space="preserve">nl15-209 </t>
  </si>
  <si>
    <t>nlp15-176</t>
  </si>
  <si>
    <t>nlp15-177</t>
  </si>
  <si>
    <t>Vaca</t>
  </si>
  <si>
    <t>nlp15-178</t>
  </si>
  <si>
    <t>nlp15-179</t>
  </si>
  <si>
    <t>Contreras</t>
  </si>
  <si>
    <t>hoja + 10.5 vi 18 dic</t>
  </si>
  <si>
    <t>nlp15-180</t>
  </si>
  <si>
    <t>Brujas</t>
  </si>
  <si>
    <t>CANCELADA</t>
  </si>
  <si>
    <t>nlin15-17</t>
  </si>
  <si>
    <t>nollego</t>
  </si>
  <si>
    <t>hoja + 10.75 vi 18 dic</t>
  </si>
  <si>
    <t>Agrop Topete y Chemita</t>
  </si>
  <si>
    <t>fact 4158, 4155, 2502</t>
  </si>
  <si>
    <t>pernil con piel</t>
  </si>
  <si>
    <t>fact 821966</t>
  </si>
  <si>
    <t>Agrop El Dorado</t>
  </si>
  <si>
    <t>fact 86 y 87</t>
  </si>
  <si>
    <t>fact 4168</t>
  </si>
  <si>
    <t>fact 97</t>
  </si>
  <si>
    <t>fact 822471</t>
  </si>
  <si>
    <t>hoja + 15 lu 21 dic</t>
  </si>
  <si>
    <t>nl15-210</t>
  </si>
  <si>
    <t>hoja + 10 mi 22 dic</t>
  </si>
  <si>
    <t>nl15-211</t>
  </si>
  <si>
    <t>nl15-212ALB</t>
  </si>
  <si>
    <t>nl15-222</t>
  </si>
  <si>
    <t xml:space="preserve">nl15-227 </t>
  </si>
  <si>
    <t>Sagot</t>
  </si>
  <si>
    <t xml:space="preserve">nl15-228 </t>
  </si>
  <si>
    <t>nlin15-18</t>
  </si>
  <si>
    <t>hoja + 10.75 ma 22 dic</t>
  </si>
  <si>
    <t>nlp15-181</t>
  </si>
  <si>
    <t>Negrete</t>
  </si>
  <si>
    <t>hoja + 10.5 m 22 dic</t>
  </si>
  <si>
    <t>fact 4172</t>
  </si>
  <si>
    <t>fact 4173</t>
  </si>
  <si>
    <t>nl15-213</t>
  </si>
  <si>
    <t>TN</t>
  </si>
  <si>
    <t>hoja + 10 vi 25 dic</t>
  </si>
  <si>
    <t>nl15-214 ALB</t>
  </si>
  <si>
    <t>nl15-215 ALB</t>
  </si>
  <si>
    <t>nlp15-182</t>
  </si>
  <si>
    <t>leopoldo</t>
  </si>
  <si>
    <t>hoja + 10.5 ma 22 dic</t>
  </si>
  <si>
    <t>nlp15-183</t>
  </si>
  <si>
    <t>fact 2513</t>
  </si>
  <si>
    <t>fact 4186</t>
  </si>
  <si>
    <t>fact 6904, 6905, 6906</t>
  </si>
  <si>
    <t>nlp15-184</t>
  </si>
  <si>
    <t>hoja + 10.5 vi 25 dic</t>
  </si>
  <si>
    <t>nlp15-185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</si>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</sst>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DD1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17" fontId="0" fillId="0" borderId="0" xfId="0" quotePrefix="1" applyNumberForma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0" borderId="0" xfId="0" applyFont="1"/>
    <xf numFmtId="0" fontId="0" fillId="2" borderId="2" xfId="0" applyFont="1" applyFill="1" applyBorder="1" applyAlignment="1">
      <alignment textRotation="255"/>
    </xf>
    <xf numFmtId="0" fontId="0" fillId="0" borderId="3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3" borderId="0" xfId="0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5" fontId="2" fillId="0" borderId="0" xfId="0" applyNumberFormat="1" applyFont="1" applyFill="1" applyBorder="1"/>
    <xf numFmtId="164" fontId="2" fillId="4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5" fontId="0" fillId="5" borderId="0" xfId="0" applyNumberFormat="1" applyFont="1" applyFill="1" applyBorder="1"/>
    <xf numFmtId="165" fontId="0" fillId="0" borderId="0" xfId="0" applyNumberFormat="1" applyFont="1" applyFill="1" applyBorder="1"/>
    <xf numFmtId="164" fontId="2" fillId="0" borderId="0" xfId="0" applyNumberFormat="1" applyFont="1" applyFill="1" applyBorder="1"/>
    <xf numFmtId="164" fontId="0" fillId="2" borderId="0" xfId="0" applyNumberFormat="1" applyFont="1" applyFill="1" applyBorder="1"/>
    <xf numFmtId="0" fontId="0" fillId="0" borderId="0" xfId="0" applyFill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6" borderId="2" xfId="0" applyFont="1" applyFill="1" applyBorder="1" applyAlignment="1">
      <alignment textRotation="255"/>
    </xf>
    <xf numFmtId="0" fontId="0" fillId="0" borderId="7" xfId="0" applyFont="1" applyFill="1" applyBorder="1"/>
    <xf numFmtId="0" fontId="0" fillId="0" borderId="8" xfId="0" applyFont="1" applyFill="1" applyBorder="1"/>
    <xf numFmtId="0" fontId="2" fillId="0" borderId="8" xfId="0" applyFont="1" applyFill="1" applyBorder="1"/>
    <xf numFmtId="4" fontId="2" fillId="0" borderId="8" xfId="0" applyNumberFormat="1" applyFont="1" applyFill="1" applyBorder="1"/>
    <xf numFmtId="4" fontId="0" fillId="0" borderId="8" xfId="0" applyNumberFormat="1" applyFont="1" applyFill="1" applyBorder="1"/>
    <xf numFmtId="15" fontId="0" fillId="0" borderId="8" xfId="0" applyNumberFormat="1" applyFont="1" applyFill="1" applyBorder="1"/>
    <xf numFmtId="164" fontId="0" fillId="0" borderId="8" xfId="0" applyNumberFormat="1" applyFont="1" applyFill="1" applyBorder="1"/>
    <xf numFmtId="165" fontId="0" fillId="0" borderId="8" xfId="0" applyNumberFormat="1" applyFont="1" applyFill="1" applyBorder="1"/>
    <xf numFmtId="164" fontId="0" fillId="4" borderId="8" xfId="0" applyNumberFormat="1" applyFont="1" applyFill="1" applyBorder="1"/>
    <xf numFmtId="164" fontId="2" fillId="0" borderId="8" xfId="0" applyNumberFormat="1" applyFont="1" applyFill="1" applyBorder="1"/>
    <xf numFmtId="44" fontId="0" fillId="0" borderId="8" xfId="1" applyFont="1" applyFill="1" applyBorder="1"/>
    <xf numFmtId="14" fontId="0" fillId="0" borderId="9" xfId="0" applyNumberFormat="1" applyFont="1" applyFill="1" applyBorder="1"/>
    <xf numFmtId="0" fontId="0" fillId="0" borderId="0" xfId="0" applyFont="1" applyFill="1"/>
    <xf numFmtId="0" fontId="0" fillId="7" borderId="2" xfId="0" applyFont="1" applyFill="1" applyBorder="1" applyAlignment="1">
      <alignment textRotation="255"/>
    </xf>
    <xf numFmtId="0" fontId="2" fillId="8" borderId="0" xfId="0" applyFont="1" applyFill="1" applyBorder="1"/>
    <xf numFmtId="0" fontId="2" fillId="9" borderId="0" xfId="0" applyFont="1" applyFill="1" applyBorder="1"/>
    <xf numFmtId="0" fontId="0" fillId="10" borderId="2" xfId="0" applyFont="1" applyFill="1" applyBorder="1" applyAlignment="1">
      <alignment textRotation="255"/>
    </xf>
    <xf numFmtId="0" fontId="2" fillId="5" borderId="0" xfId="0" applyFont="1" applyFill="1" applyBorder="1"/>
    <xf numFmtId="0" fontId="0" fillId="8" borderId="3" xfId="0" applyFont="1" applyFill="1" applyBorder="1"/>
    <xf numFmtId="0" fontId="0" fillId="11" borderId="0" xfId="0" applyFont="1" applyFill="1" applyBorder="1"/>
    <xf numFmtId="4" fontId="2" fillId="8" borderId="0" xfId="0" applyNumberFormat="1" applyFont="1" applyFill="1" applyBorder="1"/>
    <xf numFmtId="4" fontId="0" fillId="8" borderId="0" xfId="0" applyNumberFormat="1" applyFont="1" applyFill="1" applyBorder="1"/>
    <xf numFmtId="15" fontId="0" fillId="8" borderId="0" xfId="0" applyNumberFormat="1" applyFont="1" applyFill="1" applyBorder="1"/>
    <xf numFmtId="164" fontId="0" fillId="8" borderId="0" xfId="0" applyNumberFormat="1" applyFont="1" applyFill="1" applyBorder="1"/>
    <xf numFmtId="166" fontId="0" fillId="8" borderId="0" xfId="0" applyNumberFormat="1" applyFont="1" applyFill="1" applyBorder="1"/>
    <xf numFmtId="165" fontId="2" fillId="8" borderId="0" xfId="0" applyNumberFormat="1" applyFont="1" applyFill="1" applyBorder="1"/>
    <xf numFmtId="164" fontId="2" fillId="8" borderId="0" xfId="0" applyNumberFormat="1" applyFont="1" applyFill="1" applyBorder="1"/>
    <xf numFmtId="0" fontId="0" fillId="8" borderId="0" xfId="0" applyFont="1" applyFill="1"/>
    <xf numFmtId="44" fontId="0" fillId="8" borderId="0" xfId="1" applyFont="1" applyFill="1" applyBorder="1"/>
    <xf numFmtId="14" fontId="0" fillId="8" borderId="4" xfId="0" applyNumberFormat="1" applyFont="1" applyFill="1" applyBorder="1"/>
    <xf numFmtId="0" fontId="0" fillId="11" borderId="2" xfId="0" applyFont="1" applyFill="1" applyBorder="1" applyAlignment="1">
      <alignment textRotation="255"/>
    </xf>
    <xf numFmtId="0" fontId="0" fillId="8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53"/>
  <sheetViews>
    <sheetView tabSelected="1" workbookViewId="0">
      <selection activeCell="L19" sqref="L19"/>
    </sheetView>
  </sheetViews>
  <sheetFormatPr baseColWidth="10" defaultRowHeight="15" x14ac:dyDescent="0.25"/>
  <cols>
    <col min="1" max="1" width="2.7109375" customWidth="1"/>
    <col min="2" max="2" width="16.85546875" customWidth="1"/>
    <col min="3" max="3" width="12" customWidth="1"/>
    <col min="4" max="4" width="16.7109375" customWidth="1"/>
    <col min="5" max="5" width="11.5703125" customWidth="1"/>
    <col min="6" max="6" width="14.5703125" customWidth="1"/>
    <col min="8" max="8" width="12.140625" customWidth="1"/>
    <col min="9" max="9" width="12.42578125" customWidth="1"/>
    <col min="10" max="10" width="0" hidden="1" customWidth="1"/>
    <col min="11" max="11" width="12.140625" hidden="1" customWidth="1"/>
    <col min="13" max="13" width="4.140625" customWidth="1"/>
    <col min="14" max="14" width="5.28515625" hidden="1" customWidth="1"/>
    <col min="15" max="16" width="0" hidden="1" customWidth="1"/>
    <col min="17" max="17" width="12" hidden="1" customWidth="1"/>
    <col min="18" max="18" width="13.42578125" hidden="1" customWidth="1"/>
    <col min="19" max="19" width="13.7109375" hidden="1" customWidth="1"/>
    <col min="20" max="21" width="0" hidden="1" customWidth="1"/>
    <col min="22" max="22" width="6.5703125" hidden="1" customWidth="1"/>
    <col min="23" max="23" width="0" hidden="1" customWidth="1"/>
    <col min="25" max="25" width="16.140625" customWidth="1"/>
    <col min="26" max="26" width="13.28515625" customWidth="1"/>
  </cols>
  <sheetData>
    <row r="2" spans="1:26" x14ac:dyDescent="0.25">
      <c r="A2" s="1" t="s">
        <v>0</v>
      </c>
    </row>
    <row r="3" spans="1:26" s="11" customFormat="1" ht="30.75" thickBot="1" x14ac:dyDescent="0.3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3" t="s">
        <v>9</v>
      </c>
      <c r="K3" s="6" t="s">
        <v>10</v>
      </c>
      <c r="L3" s="6" t="s">
        <v>11</v>
      </c>
      <c r="M3" s="3" t="s">
        <v>12</v>
      </c>
      <c r="N3" s="3" t="s">
        <v>13</v>
      </c>
      <c r="O3" s="7" t="s">
        <v>14</v>
      </c>
      <c r="P3" s="8" t="s">
        <v>15</v>
      </c>
      <c r="Q3" s="7" t="s">
        <v>16</v>
      </c>
      <c r="R3" s="9" t="s">
        <v>17</v>
      </c>
      <c r="S3" s="9" t="s">
        <v>18</v>
      </c>
      <c r="T3" s="9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10" t="s">
        <v>24</v>
      </c>
      <c r="Z3" s="7"/>
    </row>
    <row r="4" spans="1:26" s="11" customFormat="1" x14ac:dyDescent="0.25">
      <c r="A4" s="12"/>
      <c r="B4" s="13" t="s">
        <v>25</v>
      </c>
      <c r="C4" s="14" t="s">
        <v>26</v>
      </c>
      <c r="D4" s="14" t="s">
        <v>26</v>
      </c>
      <c r="E4" s="15" t="s">
        <v>27</v>
      </c>
      <c r="F4" s="16">
        <f>42646*0.4536</f>
        <v>19344.225600000002</v>
      </c>
      <c r="G4" s="17">
        <v>19282.88</v>
      </c>
      <c r="H4" s="17">
        <f t="shared" ref="H4:H28" si="0">G4-F4</f>
        <v>-61.345600000000559</v>
      </c>
      <c r="I4" s="14" t="s">
        <v>28</v>
      </c>
      <c r="J4" s="18" t="s">
        <v>29</v>
      </c>
      <c r="K4" s="19">
        <v>42338</v>
      </c>
      <c r="L4" s="19">
        <v>42339</v>
      </c>
      <c r="M4" s="14" t="s">
        <v>30</v>
      </c>
      <c r="N4" s="14" t="s">
        <v>31</v>
      </c>
      <c r="O4" s="20"/>
      <c r="P4" s="21">
        <f>0.613+0.105</f>
        <v>0.71799999999999997</v>
      </c>
      <c r="Q4" s="22">
        <v>18500</v>
      </c>
      <c r="R4" s="20">
        <v>8603</v>
      </c>
      <c r="S4" s="23">
        <v>16.635999999999999</v>
      </c>
      <c r="T4" s="24">
        <f>W4*F4*0.005</f>
        <v>2692.5922345933459</v>
      </c>
      <c r="V4" s="20">
        <v>0.1</v>
      </c>
      <c r="W4" s="20">
        <f>IF(O4&gt;0,O4,((P4*2.2046*S4)+(Q4+R4)/G4)+V4)</f>
        <v>27.838718284937141</v>
      </c>
      <c r="X4" s="20">
        <f>IF(O4&gt;0,O4,((P4*2.2046*S4)+(Q4+R4+T4)/G4)+V4)</f>
        <v>27.978354699964012</v>
      </c>
      <c r="Y4" s="25">
        <f t="shared" ref="Y4:Y28" si="1">X4*F4</f>
        <v>541219.60523292422</v>
      </c>
      <c r="Z4" s="26">
        <v>42328</v>
      </c>
    </row>
    <row r="5" spans="1:26" s="11" customFormat="1" x14ac:dyDescent="0.25">
      <c r="A5" s="12"/>
      <c r="B5" s="13" t="s">
        <v>25</v>
      </c>
      <c r="C5" s="15" t="s">
        <v>32</v>
      </c>
      <c r="D5" s="15" t="s">
        <v>33</v>
      </c>
      <c r="E5" s="15" t="s">
        <v>34</v>
      </c>
      <c r="F5" s="16">
        <f>37199*0.4536</f>
        <v>16873.466400000001</v>
      </c>
      <c r="G5" s="17">
        <f>18557.37-1758.2</f>
        <v>16799.169999999998</v>
      </c>
      <c r="H5" s="17">
        <f t="shared" si="0"/>
        <v>-74.296400000002905</v>
      </c>
      <c r="I5" s="14" t="s">
        <v>35</v>
      </c>
      <c r="J5" s="18" t="s">
        <v>29</v>
      </c>
      <c r="K5" s="19">
        <v>42338</v>
      </c>
      <c r="L5" s="19">
        <v>42339</v>
      </c>
      <c r="M5" s="14" t="s">
        <v>30</v>
      </c>
      <c r="N5" s="14" t="s">
        <v>36</v>
      </c>
      <c r="O5" s="20"/>
      <c r="P5" s="21">
        <v>0.71299999999999997</v>
      </c>
      <c r="Q5" s="22">
        <f>(18500*G5)/(G5+G6)</f>
        <v>16747.235464939266</v>
      </c>
      <c r="R5" s="20">
        <f>(8603*G5)/(G5+G6)</f>
        <v>7787.9171191822979</v>
      </c>
      <c r="S5" s="23">
        <v>16.940000000000001</v>
      </c>
      <c r="T5" s="24">
        <f>W5*F5*0.005</f>
        <v>2378.1583106679568</v>
      </c>
      <c r="V5" s="20">
        <v>0.1</v>
      </c>
      <c r="W5" s="20">
        <f>IF(O5&gt;0,O5,((P5*2.2046*S5)+(Q5+R5)/G5)+V5)</f>
        <v>28.188141716606097</v>
      </c>
      <c r="X5" s="20">
        <f>IF(O5&gt;0,O5,((P5*2.2046*S5)+(Q5+R5+T5)/G5)+V5)</f>
        <v>28.329705752845268</v>
      </c>
      <c r="Y5" s="25">
        <f t="shared" si="1"/>
        <v>478020.33814252139</v>
      </c>
      <c r="Z5" s="26">
        <v>42349</v>
      </c>
    </row>
    <row r="6" spans="1:26" s="11" customFormat="1" x14ac:dyDescent="0.25">
      <c r="A6" s="12"/>
      <c r="B6" s="13" t="s">
        <v>37</v>
      </c>
      <c r="C6" s="14" t="s">
        <v>32</v>
      </c>
      <c r="D6" s="14" t="s">
        <v>33</v>
      </c>
      <c r="E6" s="15" t="s">
        <v>38</v>
      </c>
      <c r="F6" s="16">
        <f>3879*0.4536</f>
        <v>1759.5144</v>
      </c>
      <c r="G6" s="17">
        <f>852.5+905.7</f>
        <v>1758.2</v>
      </c>
      <c r="H6" s="17">
        <f t="shared" si="0"/>
        <v>-1.3143999999999778</v>
      </c>
      <c r="I6" s="14"/>
      <c r="J6" s="15"/>
      <c r="K6" s="19">
        <v>42338</v>
      </c>
      <c r="L6" s="19">
        <v>42339</v>
      </c>
      <c r="M6" s="14" t="s">
        <v>30</v>
      </c>
      <c r="N6" s="14"/>
      <c r="O6" s="20"/>
      <c r="P6" s="21">
        <v>0.4</v>
      </c>
      <c r="Q6" s="22">
        <f>(18500*G6)/(G6+G5)</f>
        <v>1752.7645350607334</v>
      </c>
      <c r="R6" s="20">
        <f>(8603*G6)/(G6+G5)</f>
        <v>815.08288081770206</v>
      </c>
      <c r="S6" s="23">
        <v>16.940000000000001</v>
      </c>
      <c r="T6" s="24">
        <f>W6*F6*0.005</f>
        <v>145.14997479023248</v>
      </c>
      <c r="V6" s="20">
        <v>0.1</v>
      </c>
      <c r="W6" s="20">
        <f>IF(O6&gt;0,O6,((P6*2.2046*S6)+(Q6+R6)/G6)+V6)</f>
        <v>16.498867504606096</v>
      </c>
      <c r="X6" s="20">
        <f>IF(O6&gt;0,O6,((P6*2.2046*S6)+(Q6+R6+T6)/G6)+V6)</f>
        <v>16.581423513473254</v>
      </c>
      <c r="Y6" s="25">
        <f t="shared" si="1"/>
        <v>29175.253444454785</v>
      </c>
      <c r="Z6" s="26">
        <v>42349</v>
      </c>
    </row>
    <row r="7" spans="1:26" s="11" customFormat="1" x14ac:dyDescent="0.25">
      <c r="A7" s="12"/>
      <c r="B7" s="13" t="s">
        <v>25</v>
      </c>
      <c r="C7" s="15" t="s">
        <v>32</v>
      </c>
      <c r="D7" s="15" t="s">
        <v>33</v>
      </c>
      <c r="E7" s="15" t="s">
        <v>39</v>
      </c>
      <c r="F7" s="16">
        <f>41079*0.4536</f>
        <v>18633.434400000002</v>
      </c>
      <c r="G7" s="17">
        <v>18533.57</v>
      </c>
      <c r="H7" s="17">
        <f t="shared" si="0"/>
        <v>-99.864400000002206</v>
      </c>
      <c r="I7" s="14" t="s">
        <v>40</v>
      </c>
      <c r="J7" s="18" t="s">
        <v>41</v>
      </c>
      <c r="K7" s="19">
        <v>42338</v>
      </c>
      <c r="L7" s="19">
        <v>42339</v>
      </c>
      <c r="M7" s="14" t="s">
        <v>30</v>
      </c>
      <c r="N7" s="14" t="s">
        <v>36</v>
      </c>
      <c r="O7" s="20"/>
      <c r="P7" s="21">
        <v>0.71299999999999997</v>
      </c>
      <c r="Q7" s="22">
        <v>18500</v>
      </c>
      <c r="R7" s="20">
        <v>8603</v>
      </c>
      <c r="S7" s="23">
        <v>17.094000000000001</v>
      </c>
      <c r="T7" s="24">
        <f>W7*F7*0.005</f>
        <v>2648.9371131404846</v>
      </c>
      <c r="V7" s="20">
        <v>0.1</v>
      </c>
      <c r="W7" s="20">
        <f>IF(O7&gt;0,O7,((P7*2.2046*S7)+(Q7+R7)/G7)+V7)</f>
        <v>28.432086713338087</v>
      </c>
      <c r="X7" s="20">
        <f>IF(O7&gt;0,O7,((P7*2.2046*S7)+(Q7+R7+T7)/G7)+V7)</f>
        <v>28.57501314969873</v>
      </c>
      <c r="Y7" s="25">
        <f t="shared" si="1"/>
        <v>532450.63300404872</v>
      </c>
      <c r="Z7" s="26">
        <v>42349</v>
      </c>
    </row>
    <row r="8" spans="1:26" s="11" customFormat="1" x14ac:dyDescent="0.25">
      <c r="A8" s="12"/>
      <c r="B8" s="13" t="s">
        <v>25</v>
      </c>
      <c r="C8" s="14" t="s">
        <v>42</v>
      </c>
      <c r="D8" s="14" t="s">
        <v>42</v>
      </c>
      <c r="E8" s="15" t="s">
        <v>43</v>
      </c>
      <c r="F8" s="16">
        <f>41616*0.4536</f>
        <v>18877.017599999999</v>
      </c>
      <c r="G8" s="17">
        <v>18890.13</v>
      </c>
      <c r="H8" s="17">
        <f t="shared" si="0"/>
        <v>13.112400000001799</v>
      </c>
      <c r="I8" s="14" t="s">
        <v>44</v>
      </c>
      <c r="J8" s="18" t="s">
        <v>29</v>
      </c>
      <c r="K8" s="19">
        <v>42338</v>
      </c>
      <c r="L8" s="19">
        <v>42339</v>
      </c>
      <c r="M8" s="14" t="s">
        <v>30</v>
      </c>
      <c r="N8" s="14" t="s">
        <v>45</v>
      </c>
      <c r="O8" s="20"/>
      <c r="P8" s="21">
        <f>0.6203+0.1075</f>
        <v>0.7278</v>
      </c>
      <c r="Q8" s="22">
        <v>18500</v>
      </c>
      <c r="R8" s="20">
        <v>8603</v>
      </c>
      <c r="S8" s="23">
        <v>16.61</v>
      </c>
      <c r="T8" s="24">
        <f>W8*F8*0.005</f>
        <v>2660.3047082335661</v>
      </c>
      <c r="V8" s="20">
        <v>0.1</v>
      </c>
      <c r="W8" s="20">
        <f>IF(O8&gt;0,O8,((P8*2.2046*S8)+(Q8+R8)/G8)+V8)</f>
        <v>28.185646319825079</v>
      </c>
      <c r="X8" s="20">
        <f>IF(O8&gt;0,O8,((P8*2.2046*S8)+(Q8+R8+T8)/G8)+V8)</f>
        <v>28.326476727463014</v>
      </c>
      <c r="Y8" s="25">
        <f t="shared" si="1"/>
        <v>534719.39973030973</v>
      </c>
      <c r="Z8" s="26">
        <v>42333</v>
      </c>
    </row>
    <row r="9" spans="1:26" s="11" customFormat="1" x14ac:dyDescent="0.25">
      <c r="A9" s="12"/>
      <c r="B9" s="13" t="s">
        <v>46</v>
      </c>
      <c r="C9" s="15" t="s">
        <v>47</v>
      </c>
      <c r="D9" s="14" t="s">
        <v>48</v>
      </c>
      <c r="E9" s="15">
        <v>249</v>
      </c>
      <c r="F9" s="16">
        <v>27855</v>
      </c>
      <c r="G9" s="17">
        <f>15990+6410</f>
        <v>22400</v>
      </c>
      <c r="H9" s="17">
        <f t="shared" si="0"/>
        <v>-5455</v>
      </c>
      <c r="I9" s="14" t="s">
        <v>49</v>
      </c>
      <c r="J9" s="15"/>
      <c r="K9" s="19"/>
      <c r="L9" s="27">
        <v>42339</v>
      </c>
      <c r="M9" s="14" t="s">
        <v>30</v>
      </c>
      <c r="N9" s="15"/>
      <c r="O9" s="20">
        <v>22.3</v>
      </c>
      <c r="P9" s="28"/>
      <c r="Q9" s="22">
        <v>16500</v>
      </c>
      <c r="R9" s="20">
        <f>59.25*E9</f>
        <v>14753.25</v>
      </c>
      <c r="S9" s="23">
        <f>-35*E9</f>
        <v>-8715</v>
      </c>
      <c r="T9" s="29">
        <f>W9*F9*0.0045</f>
        <v>3609.0553030412943</v>
      </c>
      <c r="U9" s="20">
        <f>E9*5</f>
        <v>1245</v>
      </c>
      <c r="V9" s="15"/>
      <c r="W9" s="20">
        <f>((O9*F9)+Q9+R9+S9+U9)/G9</f>
        <v>28.792399553571428</v>
      </c>
      <c r="X9" s="20">
        <f>((O9*F9)+Q9+R9+S9+T9+U9)/G9</f>
        <v>28.953518093885769</v>
      </c>
      <c r="Y9" s="25">
        <f t="shared" si="1"/>
        <v>806500.24650518806</v>
      </c>
      <c r="Z9" s="26">
        <v>42353</v>
      </c>
    </row>
    <row r="10" spans="1:26" s="11" customFormat="1" x14ac:dyDescent="0.25">
      <c r="A10" s="12"/>
      <c r="B10" s="13" t="s">
        <v>25</v>
      </c>
      <c r="C10" s="15" t="s">
        <v>32</v>
      </c>
      <c r="D10" s="15" t="s">
        <v>33</v>
      </c>
      <c r="E10" s="15" t="s">
        <v>43</v>
      </c>
      <c r="F10" s="16">
        <f>38360*0.4536</f>
        <v>17400.096000000001</v>
      </c>
      <c r="G10" s="17">
        <f>18827.99-1488</f>
        <v>17339.990000000002</v>
      </c>
      <c r="H10" s="17">
        <f t="shared" si="0"/>
        <v>-60.105999999999767</v>
      </c>
      <c r="I10" s="14" t="s">
        <v>50</v>
      </c>
      <c r="J10" s="18" t="s">
        <v>51</v>
      </c>
      <c r="K10" s="19">
        <v>42339</v>
      </c>
      <c r="L10" s="19">
        <v>42340</v>
      </c>
      <c r="M10" s="14" t="s">
        <v>52</v>
      </c>
      <c r="N10" s="14" t="s">
        <v>53</v>
      </c>
      <c r="O10" s="20"/>
      <c r="P10" s="21">
        <v>0.72030000000000005</v>
      </c>
      <c r="Q10" s="22">
        <f>(18500*G10)/(G10+G11)</f>
        <v>17037.921466922384</v>
      </c>
      <c r="R10" s="20">
        <f>(8603*G10)/(G10+G11)</f>
        <v>7923.0939664828811</v>
      </c>
      <c r="S10" s="23">
        <v>16.940000000000001</v>
      </c>
      <c r="T10" s="29">
        <f>W10*F10*0.005</f>
        <v>2474.2740599377621</v>
      </c>
      <c r="V10" s="20">
        <v>0.1</v>
      </c>
      <c r="W10" s="20">
        <f>IF(O10&gt;0,O10,((P10*2.2046*S10)+(Q10+R10)/G10)+V10)</f>
        <v>28.439774814320124</v>
      </c>
      <c r="X10" s="20">
        <f>IF(O10&gt;0,O10,((P10*2.2046*S10)+(Q10+R10+T10)/G10)+V10)</f>
        <v>28.582466595569006</v>
      </c>
      <c r="Y10" s="25">
        <f t="shared" si="1"/>
        <v>497337.66267969389</v>
      </c>
      <c r="Z10" s="26">
        <v>42349</v>
      </c>
    </row>
    <row r="11" spans="1:26" s="11" customFormat="1" x14ac:dyDescent="0.25">
      <c r="A11" s="12"/>
      <c r="B11" s="13" t="s">
        <v>37</v>
      </c>
      <c r="C11" s="15" t="s">
        <v>32</v>
      </c>
      <c r="D11" s="14" t="s">
        <v>33</v>
      </c>
      <c r="E11" s="15" t="s">
        <v>38</v>
      </c>
      <c r="F11" s="16">
        <f>3316*0.4536</f>
        <v>1504.1376</v>
      </c>
      <c r="G11" s="17">
        <f>687+801</f>
        <v>1488</v>
      </c>
      <c r="H11" s="17">
        <f t="shared" si="0"/>
        <v>-16.13760000000002</v>
      </c>
      <c r="I11" s="14"/>
      <c r="J11" s="15"/>
      <c r="K11" s="19">
        <v>42339</v>
      </c>
      <c r="L11" s="19">
        <v>42340</v>
      </c>
      <c r="M11" s="14" t="s">
        <v>52</v>
      </c>
      <c r="N11" s="14"/>
      <c r="O11" s="20"/>
      <c r="P11" s="21">
        <v>0.4</v>
      </c>
      <c r="Q11" s="22">
        <f>(18500*G11)/(G11+G10)</f>
        <v>1462.0785330776146</v>
      </c>
      <c r="R11" s="20">
        <f>(8603*G11)/(G11+G10)</f>
        <v>679.90603351711991</v>
      </c>
      <c r="S11" s="23">
        <v>16.940000000000001</v>
      </c>
      <c r="T11" s="29">
        <f>W11*F11*0.005</f>
        <v>123.92495946378901</v>
      </c>
      <c r="V11" s="20">
        <v>0.1</v>
      </c>
      <c r="W11" s="20">
        <f>IF(O11&gt;0,O11,((P11*2.2046*S11)+(Q11+R11)/G11)+V11)</f>
        <v>16.477875357120119</v>
      </c>
      <c r="X11" s="20">
        <f>IF(O11&gt;0,O11,((P11*2.2046*S11)+(Q11+R11+T11)/G11)+V11)</f>
        <v>16.561158259985568</v>
      </c>
      <c r="Y11" s="25">
        <f t="shared" si="1"/>
        <v>24910.260838394868</v>
      </c>
      <c r="Z11" s="26">
        <v>42349</v>
      </c>
    </row>
    <row r="12" spans="1:26" s="11" customFormat="1" x14ac:dyDescent="0.25">
      <c r="A12" s="12"/>
      <c r="B12" s="13" t="s">
        <v>25</v>
      </c>
      <c r="C12" s="15" t="s">
        <v>54</v>
      </c>
      <c r="D12" s="14" t="s">
        <v>54</v>
      </c>
      <c r="E12" s="15" t="s">
        <v>43</v>
      </c>
      <c r="F12" s="16">
        <f>35182.499*0.4536</f>
        <v>15958.781546400001</v>
      </c>
      <c r="G12" s="17">
        <f>18822.04-2892</f>
        <v>15930.04</v>
      </c>
      <c r="H12" s="17">
        <f t="shared" si="0"/>
        <v>-28.741546400000516</v>
      </c>
      <c r="I12" s="14">
        <v>93249523</v>
      </c>
      <c r="J12" s="18" t="s">
        <v>55</v>
      </c>
      <c r="K12" s="19">
        <v>42339</v>
      </c>
      <c r="L12" s="19">
        <v>42340</v>
      </c>
      <c r="M12" s="14" t="s">
        <v>52</v>
      </c>
      <c r="N12" s="14" t="s">
        <v>56</v>
      </c>
      <c r="O12" s="20"/>
      <c r="P12" s="21">
        <v>0.71</v>
      </c>
      <c r="Q12" s="22">
        <f>(18500*G12)/(G12+G13)</f>
        <v>15657.481335710687</v>
      </c>
      <c r="R12" s="20">
        <f>(9448*G12)/(G12+G13)</f>
        <v>7996.3180356645726</v>
      </c>
      <c r="S12" s="23">
        <v>17.094000000000001</v>
      </c>
      <c r="T12" s="29">
        <f>W12*F12*0.005</f>
        <v>2261.4799929668643</v>
      </c>
      <c r="V12" s="20">
        <v>0.1</v>
      </c>
      <c r="W12" s="20">
        <f>IF(O12&gt;0,O12,((P12*2.2046*S12)+(Q12+R12)/G12)+V12)</f>
        <v>28.34151199315102</v>
      </c>
      <c r="X12" s="20">
        <f>IF(O12&gt;0,O12,((P12*2.2046*S12)+(Q12+R12+T12)/G12)+V12)</f>
        <v>28.483475226951239</v>
      </c>
      <c r="Y12" s="25">
        <f t="shared" si="1"/>
        <v>454561.55882921099</v>
      </c>
      <c r="Z12" s="26">
        <v>42347</v>
      </c>
    </row>
    <row r="13" spans="1:26" s="11" customFormat="1" x14ac:dyDescent="0.25">
      <c r="A13" s="12"/>
      <c r="B13" s="13" t="s">
        <v>57</v>
      </c>
      <c r="C13" s="15" t="s">
        <v>54</v>
      </c>
      <c r="D13" s="14" t="s">
        <v>54</v>
      </c>
      <c r="E13" s="15" t="s">
        <v>58</v>
      </c>
      <c r="F13" s="16">
        <f>6375.884*0.4536</f>
        <v>2892.1009824000002</v>
      </c>
      <c r="G13" s="17">
        <v>2892</v>
      </c>
      <c r="H13" s="17">
        <f t="shared" si="0"/>
        <v>-0.10098240000024816</v>
      </c>
      <c r="I13" s="14"/>
      <c r="J13" s="15"/>
      <c r="K13" s="19">
        <v>42339</v>
      </c>
      <c r="L13" s="19">
        <v>42340</v>
      </c>
      <c r="M13" s="14" t="s">
        <v>52</v>
      </c>
      <c r="N13" s="14"/>
      <c r="O13" s="20"/>
      <c r="P13" s="21">
        <v>1.37</v>
      </c>
      <c r="Q13" s="22">
        <f>(18500*G13)/(G13+G12)</f>
        <v>2842.5186642893118</v>
      </c>
      <c r="R13" s="20">
        <f>(9448*G13)/(G13+G12)</f>
        <v>1451.6819643354279</v>
      </c>
      <c r="S13" s="23">
        <v>17.094000000000001</v>
      </c>
      <c r="T13" s="29">
        <f>W13*F13*0.005</f>
        <v>769.49982440895656</v>
      </c>
      <c r="V13" s="20">
        <v>0.1</v>
      </c>
      <c r="W13" s="20">
        <f>IF(O13&gt;0,O13,((P13*2.2046*S13)+(Q13+R13)/G13)+V13)</f>
        <v>53.213897377151028</v>
      </c>
      <c r="X13" s="20">
        <f>IF(O13&gt;0,O13,((P13*2.2046*S13)+(Q13+R13+T13)/G13)+V13)</f>
        <v>53.479976154609176</v>
      </c>
      <c r="Y13" s="25">
        <f t="shared" si="1"/>
        <v>154669.49157547377</v>
      </c>
      <c r="Z13" s="26">
        <v>42347</v>
      </c>
    </row>
    <row r="14" spans="1:26" s="11" customFormat="1" x14ac:dyDescent="0.25">
      <c r="A14" s="12"/>
      <c r="B14" s="13" t="s">
        <v>46</v>
      </c>
      <c r="C14" s="15" t="s">
        <v>59</v>
      </c>
      <c r="D14" s="14" t="s">
        <v>59</v>
      </c>
      <c r="E14" s="15">
        <v>258</v>
      </c>
      <c r="F14" s="16">
        <f>13240+13640</f>
        <v>26880</v>
      </c>
      <c r="G14" s="17">
        <f>10340+10790</f>
        <v>21130</v>
      </c>
      <c r="H14" s="17">
        <f t="shared" si="0"/>
        <v>-5750</v>
      </c>
      <c r="I14" s="11" t="s">
        <v>60</v>
      </c>
      <c r="J14" s="15"/>
      <c r="K14" s="19">
        <v>42339</v>
      </c>
      <c r="L14" s="19">
        <v>42340</v>
      </c>
      <c r="M14" s="14" t="s">
        <v>52</v>
      </c>
      <c r="N14" s="15"/>
      <c r="O14" s="20">
        <v>21.7</v>
      </c>
      <c r="P14" s="28"/>
      <c r="Q14" s="22">
        <v>22000</v>
      </c>
      <c r="R14" s="30">
        <f>98*E14</f>
        <v>25284</v>
      </c>
      <c r="S14" s="23">
        <f>-40*E14</f>
        <v>-10320</v>
      </c>
      <c r="T14" s="29"/>
      <c r="U14" s="20">
        <f>E14*10</f>
        <v>2580</v>
      </c>
      <c r="V14" s="15"/>
      <c r="W14" s="20">
        <f>((O14*F14)+Q14+R14+S14+U14)/G14</f>
        <v>29.47657359204922</v>
      </c>
      <c r="X14" s="20">
        <f>((O14*F14)+Q14+R14+S14+T14+U14)/G14</f>
        <v>29.47657359204922</v>
      </c>
      <c r="Y14" s="25">
        <f t="shared" si="1"/>
        <v>792330.29815428308</v>
      </c>
      <c r="Z14" s="26">
        <v>42340</v>
      </c>
    </row>
    <row r="15" spans="1:26" s="11" customFormat="1" x14ac:dyDescent="0.25">
      <c r="A15" s="12"/>
      <c r="B15" s="13" t="s">
        <v>61</v>
      </c>
      <c r="C15" s="15" t="s">
        <v>54</v>
      </c>
      <c r="D15" s="15" t="s">
        <v>54</v>
      </c>
      <c r="E15" s="15" t="s">
        <v>62</v>
      </c>
      <c r="F15" s="16">
        <f>39606.519*0.4536</f>
        <v>17965.517018400002</v>
      </c>
      <c r="G15" s="17">
        <v>17965.52</v>
      </c>
      <c r="H15" s="17">
        <f t="shared" si="0"/>
        <v>2.9815999987476971E-3</v>
      </c>
      <c r="I15" s="14">
        <v>93247177</v>
      </c>
      <c r="J15" s="18" t="s">
        <v>63</v>
      </c>
      <c r="K15" s="19">
        <v>42340</v>
      </c>
      <c r="L15" s="19">
        <v>42341</v>
      </c>
      <c r="M15" s="14" t="s">
        <v>64</v>
      </c>
      <c r="N15" s="14"/>
      <c r="O15" s="20"/>
      <c r="P15" s="21">
        <v>0.5</v>
      </c>
      <c r="Q15" s="22">
        <v>18500</v>
      </c>
      <c r="R15" s="20">
        <v>9448</v>
      </c>
      <c r="S15" s="23">
        <v>17.094000000000001</v>
      </c>
      <c r="T15" s="29">
        <f>W15*F15*0.005</f>
        <v>1841.3184281375279</v>
      </c>
      <c r="V15" s="20">
        <v>0.1</v>
      </c>
      <c r="W15" s="20">
        <f>IF(O15&gt;0,O15,((P15*2.2046*S15)+(Q15+R15)/G15)+V15)</f>
        <v>20.498362794142562</v>
      </c>
      <c r="X15" s="20">
        <f>IF(O15&gt;0,O15,((P15*2.2046*S15)+(Q15+R15+T15)/G15)+V15)</f>
        <v>20.600854591103491</v>
      </c>
      <c r="Y15" s="25">
        <f t="shared" si="1"/>
        <v>370105.00375005358</v>
      </c>
      <c r="Z15" s="26">
        <v>42347</v>
      </c>
    </row>
    <row r="16" spans="1:26" s="11" customFormat="1" x14ac:dyDescent="0.25">
      <c r="A16" s="12"/>
      <c r="B16" s="13" t="s">
        <v>25</v>
      </c>
      <c r="C16" s="14" t="s">
        <v>26</v>
      </c>
      <c r="D16" s="14" t="s">
        <v>26</v>
      </c>
      <c r="E16" s="15" t="s">
        <v>27</v>
      </c>
      <c r="F16" s="16">
        <f>42384*0.4536</f>
        <v>19225.382399999999</v>
      </c>
      <c r="G16" s="17">
        <v>19194.73</v>
      </c>
      <c r="H16" s="17">
        <f t="shared" si="0"/>
        <v>-30.652399999999034</v>
      </c>
      <c r="I16" s="11" t="s">
        <v>65</v>
      </c>
      <c r="J16" s="18" t="s">
        <v>66</v>
      </c>
      <c r="K16" s="19">
        <v>42340</v>
      </c>
      <c r="L16" s="19">
        <v>42341</v>
      </c>
      <c r="M16" s="14" t="s">
        <v>64</v>
      </c>
      <c r="N16" s="14" t="s">
        <v>67</v>
      </c>
      <c r="O16" s="20"/>
      <c r="P16" s="21">
        <f>0.6203+0.105</f>
        <v>0.72529999999999994</v>
      </c>
      <c r="Q16" s="22">
        <v>18500</v>
      </c>
      <c r="R16" s="20">
        <v>8603</v>
      </c>
      <c r="S16" s="23">
        <v>16.57</v>
      </c>
      <c r="T16" s="29">
        <f>W16*F16*0.005</f>
        <v>2692.262199466431</v>
      </c>
      <c r="V16" s="20">
        <v>0.1</v>
      </c>
      <c r="W16" s="20">
        <f>IF(O16&gt;0,O16,((P16*2.2046*S16)+(Q16+R16)/G16)+V16)</f>
        <v>28.007372165106389</v>
      </c>
      <c r="X16" s="20">
        <f>IF(O16&gt;0,O16,((P16*2.2046*S16)+(Q16+R16+T16)/G16)+V16)</f>
        <v>28.147632653243832</v>
      </c>
      <c r="Y16" s="25">
        <f t="shared" si="1"/>
        <v>541149.00141333928</v>
      </c>
      <c r="Z16" s="26">
        <v>42334</v>
      </c>
    </row>
    <row r="17" spans="1:26" s="11" customFormat="1" x14ac:dyDescent="0.25">
      <c r="A17" s="12"/>
      <c r="B17" s="13" t="s">
        <v>25</v>
      </c>
      <c r="C17" s="14" t="s">
        <v>26</v>
      </c>
      <c r="D17" s="14" t="s">
        <v>26</v>
      </c>
      <c r="E17" s="15" t="s">
        <v>27</v>
      </c>
      <c r="F17" s="16">
        <f>42532*0.4536</f>
        <v>19292.515200000002</v>
      </c>
      <c r="G17" s="17">
        <v>19265.62</v>
      </c>
      <c r="H17" s="17">
        <f t="shared" si="0"/>
        <v>-26.89520000000266</v>
      </c>
      <c r="I17" s="11" t="s">
        <v>68</v>
      </c>
      <c r="J17" s="18" t="s">
        <v>55</v>
      </c>
      <c r="K17" s="19">
        <v>42340</v>
      </c>
      <c r="L17" s="19">
        <v>42341</v>
      </c>
      <c r="M17" s="14" t="s">
        <v>64</v>
      </c>
      <c r="N17" s="14" t="s">
        <v>67</v>
      </c>
      <c r="O17" s="20"/>
      <c r="P17" s="21">
        <v>0.72529999999999994</v>
      </c>
      <c r="Q17" s="22">
        <v>18500</v>
      </c>
      <c r="R17" s="20">
        <v>8603</v>
      </c>
      <c r="S17" s="23">
        <v>16.57</v>
      </c>
      <c r="T17" s="29">
        <f>W17*F17*0.005</f>
        <v>2701.1620831891842</v>
      </c>
      <c r="V17" s="20">
        <v>0.1</v>
      </c>
      <c r="W17" s="20">
        <f>IF(O17&gt;0,O17,((P17*2.2046*S17)+(Q17+R17)/G17)+V17)</f>
        <v>28.002176545536003</v>
      </c>
      <c r="X17" s="20">
        <f>IF(O17&gt;0,O17,((P17*2.2046*S17)+(Q17+R17+T17)/G17)+V17)</f>
        <v>28.14238288632281</v>
      </c>
      <c r="Y17" s="25">
        <f t="shared" si="1"/>
        <v>542937.34959860274</v>
      </c>
      <c r="Z17" s="26">
        <v>42334</v>
      </c>
    </row>
    <row r="18" spans="1:26" s="11" customFormat="1" x14ac:dyDescent="0.25">
      <c r="A18" s="12"/>
      <c r="B18" s="13" t="s">
        <v>25</v>
      </c>
      <c r="C18" s="14" t="s">
        <v>42</v>
      </c>
      <c r="D18" s="14" t="s">
        <v>69</v>
      </c>
      <c r="E18" s="15" t="s">
        <v>43</v>
      </c>
      <c r="F18" s="16">
        <f>41035*0.4536</f>
        <v>18613.475999999999</v>
      </c>
      <c r="G18" s="17">
        <v>18498.990000000002</v>
      </c>
      <c r="H18" s="17">
        <f t="shared" si="0"/>
        <v>-114.48599999999715</v>
      </c>
      <c r="I18" s="11">
        <v>5613</v>
      </c>
      <c r="J18" s="15"/>
      <c r="K18" s="19"/>
      <c r="L18" s="19">
        <v>42341</v>
      </c>
      <c r="M18" s="14" t="s">
        <v>64</v>
      </c>
      <c r="N18" s="14" t="s">
        <v>70</v>
      </c>
      <c r="O18" s="20"/>
      <c r="P18" s="21">
        <f>0.6203+0.15</f>
        <v>0.77029999999999998</v>
      </c>
      <c r="Q18" s="20"/>
      <c r="R18" s="20"/>
      <c r="S18" s="23">
        <v>17.420000000000002</v>
      </c>
      <c r="T18" s="29"/>
      <c r="V18" s="20"/>
      <c r="W18" s="20">
        <f>IF(O18&gt;0,O18,((P18*2.2046*S18)+(Q18+R18)/G18)+V18)</f>
        <v>29.582702879600003</v>
      </c>
      <c r="X18" s="20">
        <f>IF(O18&gt;0,O18,((P18*2.2046*S18)+(Q18+R18+T18)/G18)+V18)</f>
        <v>29.582702879600003</v>
      </c>
      <c r="Y18" s="25">
        <f t="shared" si="1"/>
        <v>550636.9300645655</v>
      </c>
      <c r="Z18" s="26">
        <v>42347</v>
      </c>
    </row>
    <row r="19" spans="1:26" s="11" customFormat="1" x14ac:dyDescent="0.25">
      <c r="A19" s="12"/>
      <c r="B19" s="13" t="s">
        <v>46</v>
      </c>
      <c r="C19" s="15" t="s">
        <v>47</v>
      </c>
      <c r="D19" s="14" t="s">
        <v>71</v>
      </c>
      <c r="E19" s="15">
        <v>248</v>
      </c>
      <c r="F19" s="16">
        <v>30810</v>
      </c>
      <c r="G19" s="17">
        <v>24740</v>
      </c>
      <c r="H19" s="17">
        <f t="shared" si="0"/>
        <v>-6070</v>
      </c>
      <c r="I19" s="14" t="s">
        <v>72</v>
      </c>
      <c r="J19" s="15"/>
      <c r="K19" s="19"/>
      <c r="L19" s="19">
        <v>42341</v>
      </c>
      <c r="M19" s="14" t="s">
        <v>64</v>
      </c>
      <c r="N19" s="15"/>
      <c r="O19" s="20">
        <v>22.5</v>
      </c>
      <c r="P19" s="28"/>
      <c r="Q19" s="22">
        <v>16500</v>
      </c>
      <c r="R19" s="20">
        <f>59.25*E19</f>
        <v>14694</v>
      </c>
      <c r="S19" s="23">
        <f>-35*E19</f>
        <v>-8680</v>
      </c>
      <c r="T19" s="29">
        <f>W19*F19*0.0045</f>
        <v>4018.0094363379139</v>
      </c>
      <c r="U19" s="20">
        <f>E19*5</f>
        <v>1240</v>
      </c>
      <c r="V19" s="15"/>
      <c r="W19" s="20">
        <f>((O19*F19)+Q19+R19+S19+U19)/G19</f>
        <v>28.98055780113177</v>
      </c>
      <c r="X19" s="20">
        <f>((O19*F19)+Q19+R19+S19+T19+U19)/G19</f>
        <v>29.142967236715354</v>
      </c>
      <c r="Y19" s="25">
        <f t="shared" si="1"/>
        <v>897894.82056320005</v>
      </c>
      <c r="Z19" s="26">
        <v>42354</v>
      </c>
    </row>
    <row r="20" spans="1:26" s="11" customFormat="1" x14ac:dyDescent="0.25">
      <c r="A20" s="12"/>
      <c r="B20" s="13" t="s">
        <v>46</v>
      </c>
      <c r="C20" s="15" t="s">
        <v>47</v>
      </c>
      <c r="D20" s="14" t="s">
        <v>73</v>
      </c>
      <c r="E20" s="15">
        <v>129</v>
      </c>
      <c r="F20" s="16">
        <v>15200</v>
      </c>
      <c r="G20" s="17">
        <v>12200</v>
      </c>
      <c r="H20" s="17">
        <f t="shared" si="0"/>
        <v>-3000</v>
      </c>
      <c r="I20" s="14" t="s">
        <v>74</v>
      </c>
      <c r="J20" s="15"/>
      <c r="K20" s="19"/>
      <c r="L20" s="19">
        <v>42341</v>
      </c>
      <c r="M20" s="14" t="s">
        <v>64</v>
      </c>
      <c r="N20" s="15"/>
      <c r="O20" s="20">
        <v>22.5</v>
      </c>
      <c r="P20" s="28"/>
      <c r="Q20" s="22">
        <v>13000</v>
      </c>
      <c r="R20" s="20">
        <f>59.25*E20</f>
        <v>7643.25</v>
      </c>
      <c r="S20" s="23">
        <f>-35*E20</f>
        <v>-4515</v>
      </c>
      <c r="T20" s="29">
        <f>W20*F20*0.0045</f>
        <v>2011.4828114754096</v>
      </c>
      <c r="U20" s="20">
        <f>E20*5</f>
        <v>645</v>
      </c>
      <c r="V20" s="15"/>
      <c r="W20" s="20">
        <f>((O20*F20)+Q20+R20+S20+U20)/G20</f>
        <v>29.407643442622952</v>
      </c>
      <c r="X20" s="20">
        <f>((O20*F20)+Q20+R20+S20+T20+U20)/G20</f>
        <v>29.572519082907821</v>
      </c>
      <c r="Y20" s="25">
        <f t="shared" si="1"/>
        <v>449502.29006019887</v>
      </c>
      <c r="Z20" s="26">
        <v>42354</v>
      </c>
    </row>
    <row r="21" spans="1:26" s="11" customFormat="1" x14ac:dyDescent="0.25">
      <c r="A21" s="12"/>
      <c r="B21" s="13" t="s">
        <v>25</v>
      </c>
      <c r="C21" s="14" t="s">
        <v>26</v>
      </c>
      <c r="D21" s="14" t="s">
        <v>26</v>
      </c>
      <c r="E21" s="15" t="s">
        <v>27</v>
      </c>
      <c r="F21" s="16">
        <f>42782*0.4536</f>
        <v>19405.915199999999</v>
      </c>
      <c r="G21" s="17">
        <v>19355.12</v>
      </c>
      <c r="H21" s="17">
        <f t="shared" si="0"/>
        <v>-50.795200000000477</v>
      </c>
      <c r="I21" s="14" t="s">
        <v>75</v>
      </c>
      <c r="J21" s="18" t="s">
        <v>29</v>
      </c>
      <c r="K21" s="19">
        <v>42341</v>
      </c>
      <c r="L21" s="19">
        <v>42342</v>
      </c>
      <c r="M21" s="14" t="s">
        <v>76</v>
      </c>
      <c r="N21" s="14" t="s">
        <v>77</v>
      </c>
      <c r="O21" s="20"/>
      <c r="P21" s="21">
        <f>0.6465+0.105</f>
        <v>0.75149999999999995</v>
      </c>
      <c r="Q21" s="22">
        <v>18500</v>
      </c>
      <c r="R21" s="20">
        <v>8603</v>
      </c>
      <c r="S21" s="23">
        <v>16.59</v>
      </c>
      <c r="T21" s="29">
        <f>W21*F21*0.005</f>
        <v>2812.4894207299508</v>
      </c>
      <c r="V21" s="20">
        <v>0.1</v>
      </c>
      <c r="W21" s="20">
        <f>IF(O21&gt;0,O21,((P21*2.2046*S21)+(Q21+R21)/G21)+V21)</f>
        <v>28.985898286620881</v>
      </c>
      <c r="X21" s="20">
        <f>IF(O21&gt;0,O21,((P21*2.2046*S21)+(Q21+R21+T21)/G21)+V21)</f>
        <v>29.131208128188899</v>
      </c>
      <c r="Y21" s="25">
        <f t="shared" si="1"/>
        <v>565317.75460918446</v>
      </c>
      <c r="Z21" s="26">
        <v>42335</v>
      </c>
    </row>
    <row r="22" spans="1:26" s="11" customFormat="1" x14ac:dyDescent="0.25">
      <c r="A22" s="12"/>
      <c r="B22" s="13" t="s">
        <v>78</v>
      </c>
      <c r="C22" s="14" t="s">
        <v>79</v>
      </c>
      <c r="D22" s="14" t="s">
        <v>80</v>
      </c>
      <c r="E22" s="15" t="s">
        <v>81</v>
      </c>
      <c r="F22" s="16">
        <v>18358.233</v>
      </c>
      <c r="G22" s="17">
        <v>18350</v>
      </c>
      <c r="H22" s="17">
        <f t="shared" si="0"/>
        <v>-8.2330000000001746</v>
      </c>
      <c r="I22" s="14" t="s">
        <v>82</v>
      </c>
      <c r="J22" s="15"/>
      <c r="K22" s="19"/>
      <c r="L22" s="19">
        <v>42341</v>
      </c>
      <c r="M22" s="14" t="s">
        <v>64</v>
      </c>
      <c r="N22" s="14"/>
      <c r="O22" s="20">
        <v>78</v>
      </c>
      <c r="P22" s="21"/>
      <c r="Q22" s="20"/>
      <c r="R22" s="20"/>
      <c r="S22" s="23"/>
      <c r="T22" s="29"/>
      <c r="V22" s="20"/>
      <c r="W22" s="20">
        <f>IF(O22&gt;0,O22,((P22*2.2046*S22)+(Q22+R22)/G22)+V22)</f>
        <v>78</v>
      </c>
      <c r="X22" s="20">
        <f>IF(O22&gt;0,O22,((P22*2.2046*S22)+(Q22+R22+T22)/G22)+V22)</f>
        <v>78</v>
      </c>
      <c r="Y22" s="25">
        <f t="shared" si="1"/>
        <v>1431942.1740000001</v>
      </c>
      <c r="Z22" s="26">
        <v>42360</v>
      </c>
    </row>
    <row r="23" spans="1:26" s="11" customFormat="1" x14ac:dyDescent="0.25">
      <c r="A23" s="12"/>
      <c r="B23" s="13" t="s">
        <v>46</v>
      </c>
      <c r="C23" s="15" t="s">
        <v>47</v>
      </c>
      <c r="D23" s="14" t="s">
        <v>71</v>
      </c>
      <c r="E23" s="15">
        <v>250</v>
      </c>
      <c r="F23" s="16">
        <v>28240</v>
      </c>
      <c r="G23" s="17">
        <v>22700</v>
      </c>
      <c r="H23" s="17">
        <f t="shared" si="0"/>
        <v>-5540</v>
      </c>
      <c r="I23" s="14" t="s">
        <v>83</v>
      </c>
      <c r="J23" s="15"/>
      <c r="K23" s="19"/>
      <c r="L23" s="19">
        <v>42342</v>
      </c>
      <c r="M23" s="14" t="s">
        <v>76</v>
      </c>
      <c r="N23" s="15"/>
      <c r="O23" s="20">
        <v>22.5</v>
      </c>
      <c r="P23" s="28"/>
      <c r="Q23" s="22">
        <v>16500</v>
      </c>
      <c r="R23" s="20">
        <f>59.25*E23</f>
        <v>14812.5</v>
      </c>
      <c r="S23" s="23">
        <f>-35*E23</f>
        <v>-8750</v>
      </c>
      <c r="T23" s="29">
        <f>W23*F23*0.0045</f>
        <v>3690.4283920704843</v>
      </c>
      <c r="U23" s="20">
        <f>E23*5</f>
        <v>1250</v>
      </c>
      <c r="V23" s="15"/>
      <c r="W23" s="20">
        <f>((O23*F23)+Q23+R23+S23+U23)/G23</f>
        <v>29.040198237885463</v>
      </c>
      <c r="X23" s="20">
        <f>((O23*F23)+Q23+R23+S23+T23+U23)/G23</f>
        <v>29.202772175862133</v>
      </c>
      <c r="Y23" s="25">
        <f t="shared" si="1"/>
        <v>824686.28624634666</v>
      </c>
      <c r="Z23" s="26">
        <v>42355</v>
      </c>
    </row>
    <row r="24" spans="1:26" s="11" customFormat="1" x14ac:dyDescent="0.25">
      <c r="A24" s="12"/>
      <c r="B24" s="13" t="s">
        <v>46</v>
      </c>
      <c r="C24" s="15" t="s">
        <v>47</v>
      </c>
      <c r="D24" s="14" t="s">
        <v>73</v>
      </c>
      <c r="E24" s="15">
        <v>128</v>
      </c>
      <c r="F24" s="16">
        <v>14205</v>
      </c>
      <c r="G24" s="17">
        <v>11230</v>
      </c>
      <c r="H24" s="17">
        <f t="shared" si="0"/>
        <v>-2975</v>
      </c>
      <c r="I24" s="14" t="s">
        <v>84</v>
      </c>
      <c r="J24" s="15"/>
      <c r="K24" s="19"/>
      <c r="L24" s="19">
        <v>42342</v>
      </c>
      <c r="M24" s="14" t="s">
        <v>76</v>
      </c>
      <c r="N24" s="15"/>
      <c r="O24" s="20">
        <v>22.5</v>
      </c>
      <c r="P24" s="28"/>
      <c r="Q24" s="22">
        <v>13000</v>
      </c>
      <c r="R24" s="20">
        <f>59.25*E24</f>
        <v>7584</v>
      </c>
      <c r="S24" s="23">
        <f>-35*E24</f>
        <v>-4480</v>
      </c>
      <c r="T24" s="29">
        <f>W24*F24*0.0045</f>
        <v>1914.5813331478182</v>
      </c>
      <c r="U24" s="20">
        <f>E24*5</f>
        <v>640</v>
      </c>
      <c r="V24" s="15"/>
      <c r="W24" s="20">
        <f>((O24*F24)+Q24+R24+S24+U24)/G24</f>
        <v>29.951602849510241</v>
      </c>
      <c r="X24" s="20">
        <f>((O24*F24)+Q24+R24+S24+T24+U24)/G24</f>
        <v>30.122090946851987</v>
      </c>
      <c r="Y24" s="25">
        <f t="shared" si="1"/>
        <v>427884.3019000325</v>
      </c>
      <c r="Z24" s="26">
        <v>42355</v>
      </c>
    </row>
    <row r="25" spans="1:26" s="11" customFormat="1" x14ac:dyDescent="0.25">
      <c r="A25" s="12"/>
      <c r="B25" s="13" t="s">
        <v>25</v>
      </c>
      <c r="C25" s="14" t="s">
        <v>32</v>
      </c>
      <c r="D25" s="15" t="s">
        <v>33</v>
      </c>
      <c r="E25" s="15" t="s">
        <v>39</v>
      </c>
      <c r="F25" s="16">
        <f>41166*0.4536</f>
        <v>18672.8976</v>
      </c>
      <c r="G25" s="17">
        <v>18627.41</v>
      </c>
      <c r="H25" s="17">
        <f t="shared" si="0"/>
        <v>-45.487600000000384</v>
      </c>
      <c r="I25" s="14" t="s">
        <v>85</v>
      </c>
      <c r="J25" s="18" t="s">
        <v>29</v>
      </c>
      <c r="K25" s="19">
        <v>42342</v>
      </c>
      <c r="L25" s="19">
        <v>42343</v>
      </c>
      <c r="M25" s="14" t="s">
        <v>86</v>
      </c>
      <c r="N25" s="14" t="s">
        <v>87</v>
      </c>
      <c r="O25" s="20"/>
      <c r="P25" s="21">
        <f>0.6465+0.1</f>
        <v>0.74649999999999994</v>
      </c>
      <c r="Q25" s="22">
        <v>18500</v>
      </c>
      <c r="R25" s="20">
        <v>11166</v>
      </c>
      <c r="S25" s="23">
        <v>16.940000000000001</v>
      </c>
      <c r="T25" s="29">
        <f>W25*F25*0.005</f>
        <v>2760.9122305022152</v>
      </c>
      <c r="V25" s="20">
        <v>0.1</v>
      </c>
      <c r="W25" s="20">
        <f>IF(O25&gt;0,O25,((P25*2.2046*S25)+(Q25+R25)/G25)+V25)</f>
        <v>29.571331559192132</v>
      </c>
      <c r="X25" s="20">
        <f>IF(O25&gt;0,O25,((P25*2.2046*S25)+(Q25+R25+T25)/G25)+V25)</f>
        <v>29.719549278698075</v>
      </c>
      <c r="Y25" s="25">
        <f t="shared" si="1"/>
        <v>554950.10039928299</v>
      </c>
      <c r="Z25" s="26">
        <v>42355</v>
      </c>
    </row>
    <row r="26" spans="1:26" s="11" customFormat="1" x14ac:dyDescent="0.25">
      <c r="A26" s="12"/>
      <c r="B26" s="13" t="s">
        <v>25</v>
      </c>
      <c r="C26" s="14" t="s">
        <v>32</v>
      </c>
      <c r="D26" s="15" t="s">
        <v>33</v>
      </c>
      <c r="E26" s="15" t="s">
        <v>39</v>
      </c>
      <c r="F26" s="16">
        <f>40619*0.4536</f>
        <v>18424.778399999999</v>
      </c>
      <c r="G26" s="17">
        <v>18406.96</v>
      </c>
      <c r="H26" s="17">
        <f t="shared" si="0"/>
        <v>-17.818400000000111</v>
      </c>
      <c r="I26" s="14" t="s">
        <v>88</v>
      </c>
      <c r="J26" s="18" t="s">
        <v>55</v>
      </c>
      <c r="K26" s="19">
        <v>42342</v>
      </c>
      <c r="L26" s="19">
        <v>42343</v>
      </c>
      <c r="M26" s="14" t="s">
        <v>86</v>
      </c>
      <c r="N26" s="14" t="s">
        <v>87</v>
      </c>
      <c r="O26" s="20"/>
      <c r="P26" s="21">
        <v>0.74650000000000005</v>
      </c>
      <c r="Q26" s="22">
        <v>18500</v>
      </c>
      <c r="R26" s="20">
        <v>8603</v>
      </c>
      <c r="S26" s="23">
        <v>17.420000000000002</v>
      </c>
      <c r="T26" s="29">
        <f>W26*F26*0.005</f>
        <v>2785.9293692874016</v>
      </c>
      <c r="V26" s="20">
        <v>0.1</v>
      </c>
      <c r="W26" s="20">
        <f>IF(O26&gt;0,O26,((P26*2.2046*S26)+(Q26+R26)/G26)+V26)</f>
        <v>30.241116704962941</v>
      </c>
      <c r="X26" s="20">
        <f>IF(O26&gt;0,O26,((P26*2.2046*S26)+(Q26+R26+T26)/G26)+V26)</f>
        <v>30.392468659293662</v>
      </c>
      <c r="Y26" s="25">
        <f t="shared" si="1"/>
        <v>559974.50007643085</v>
      </c>
      <c r="Z26" s="26">
        <v>42355</v>
      </c>
    </row>
    <row r="27" spans="1:26" x14ac:dyDescent="0.25">
      <c r="A27" s="12"/>
      <c r="B27" s="13" t="s">
        <v>25</v>
      </c>
      <c r="C27" s="14" t="s">
        <v>42</v>
      </c>
      <c r="D27" s="14" t="s">
        <v>89</v>
      </c>
      <c r="E27" t="s">
        <v>90</v>
      </c>
      <c r="F27" s="16">
        <v>24849.83</v>
      </c>
      <c r="G27" s="17">
        <v>24832.28</v>
      </c>
      <c r="H27" s="17">
        <f t="shared" si="0"/>
        <v>-17.55000000000291</v>
      </c>
      <c r="I27" t="s">
        <v>91</v>
      </c>
      <c r="K27" s="19">
        <v>42341</v>
      </c>
      <c r="L27" s="19">
        <v>42343</v>
      </c>
      <c r="M27" s="14" t="s">
        <v>86</v>
      </c>
      <c r="O27" s="20">
        <v>29.4</v>
      </c>
      <c r="R27" s="31"/>
      <c r="V27" s="20"/>
      <c r="W27" s="20">
        <f>IF(O27&gt;0,O27,((P27*2.2046*S27)+(Q27+R27)/G27)+V27)</f>
        <v>29.4</v>
      </c>
      <c r="X27" s="20">
        <f>IF(O27&gt;0,O27,((P27*2.2046*S27)+(Q27+R27+T27)/G27)+V27)</f>
        <v>29.4</v>
      </c>
      <c r="Y27" s="25">
        <f t="shared" si="1"/>
        <v>730585.00199999998</v>
      </c>
      <c r="Z27" s="26">
        <v>42352</v>
      </c>
    </row>
    <row r="28" spans="1:26" s="11" customFormat="1" x14ac:dyDescent="0.25">
      <c r="A28" s="12"/>
      <c r="B28" s="13" t="s">
        <v>25</v>
      </c>
      <c r="C28" s="14" t="s">
        <v>42</v>
      </c>
      <c r="D28" s="14" t="s">
        <v>42</v>
      </c>
      <c r="E28" s="15" t="s">
        <v>43</v>
      </c>
      <c r="F28" s="16">
        <f>41409*0.4536</f>
        <v>18783.1224</v>
      </c>
      <c r="G28" s="17">
        <v>18740.13</v>
      </c>
      <c r="H28" s="17">
        <f t="shared" si="0"/>
        <v>-42.992399999999179</v>
      </c>
      <c r="I28" s="14" t="s">
        <v>92</v>
      </c>
      <c r="J28" s="18" t="s">
        <v>29</v>
      </c>
      <c r="K28" s="19">
        <v>42342</v>
      </c>
      <c r="L28" s="19">
        <v>42343</v>
      </c>
      <c r="M28" s="14" t="s">
        <v>86</v>
      </c>
      <c r="N28" s="14" t="s">
        <v>93</v>
      </c>
      <c r="O28" s="20"/>
      <c r="P28" s="21">
        <f>0.6465+0.1075</f>
        <v>0.754</v>
      </c>
      <c r="Q28" s="22">
        <v>18500</v>
      </c>
      <c r="R28" s="20">
        <v>8616</v>
      </c>
      <c r="S28" s="23">
        <v>16.59</v>
      </c>
      <c r="T28" s="29">
        <f>W28*F28*0.005</f>
        <v>2735.1965085329089</v>
      </c>
      <c r="V28" s="20">
        <v>0.1</v>
      </c>
      <c r="W28" s="20">
        <f>IF(O28&gt;0,O28,((P28*2.2046*S28)+(Q28+R28)/G28)+V28)</f>
        <v>29.123981096272988</v>
      </c>
      <c r="X28" s="20">
        <f>IF(O28&gt;0,O28,((P28*2.2046*S28)+(Q28+R28+T28)/G28)+V28)</f>
        <v>29.269935073568391</v>
      </c>
      <c r="Y28" s="25">
        <f t="shared" si="1"/>
        <v>549780.77312688809</v>
      </c>
      <c r="Z28" s="26">
        <v>42335</v>
      </c>
    </row>
    <row r="29" spans="1:26" s="11" customFormat="1" ht="15.75" thickBot="1" x14ac:dyDescent="0.3">
      <c r="A29" s="12"/>
      <c r="B29" s="32"/>
      <c r="C29" s="3"/>
      <c r="D29" s="3"/>
      <c r="E29" s="3"/>
      <c r="F29" s="33"/>
      <c r="G29" s="33"/>
      <c r="H29" s="33"/>
      <c r="I29" s="5"/>
      <c r="J29" s="3"/>
      <c r="K29" s="6"/>
      <c r="L29" s="6"/>
      <c r="M29" s="3"/>
      <c r="N29" s="3"/>
      <c r="O29" s="7"/>
      <c r="P29" s="8"/>
      <c r="Q29" s="7"/>
      <c r="R29" s="7"/>
      <c r="S29" s="7"/>
      <c r="T29" s="7"/>
      <c r="U29" s="7"/>
      <c r="V29" s="7"/>
      <c r="W29" s="7"/>
      <c r="X29" s="7"/>
      <c r="Y29" s="7"/>
      <c r="Z29" s="34"/>
    </row>
    <row r="30" spans="1:26" s="11" customFormat="1" x14ac:dyDescent="0.25">
      <c r="A30" s="35"/>
      <c r="B30" s="36" t="s">
        <v>46</v>
      </c>
      <c r="C30" s="37" t="s">
        <v>47</v>
      </c>
      <c r="D30" s="38" t="s">
        <v>48</v>
      </c>
      <c r="E30" s="37">
        <v>250</v>
      </c>
      <c r="F30" s="39">
        <v>27160</v>
      </c>
      <c r="G30" s="40">
        <v>22340</v>
      </c>
      <c r="H30" s="40">
        <f t="shared" ref="H30:H58" si="2">G30-F30</f>
        <v>-4820</v>
      </c>
      <c r="I30" s="38" t="s">
        <v>94</v>
      </c>
      <c r="J30" s="37"/>
      <c r="K30" s="41"/>
      <c r="L30" s="41">
        <v>42344</v>
      </c>
      <c r="M30" s="38" t="s">
        <v>95</v>
      </c>
      <c r="N30" s="37"/>
      <c r="O30" s="42">
        <v>23</v>
      </c>
      <c r="P30" s="43"/>
      <c r="Q30" s="44">
        <v>16500</v>
      </c>
      <c r="R30" s="42">
        <f>59.25*E30</f>
        <v>14812.5</v>
      </c>
      <c r="S30" s="23">
        <f>-35*E30</f>
        <v>-8750</v>
      </c>
      <c r="T30" s="45">
        <f>W30*F30*0.0045</f>
        <v>3547.8403469113696</v>
      </c>
      <c r="U30" s="42">
        <f>E30*5</f>
        <v>1250</v>
      </c>
      <c r="V30" s="37"/>
      <c r="W30" s="42">
        <f>((O30*F30)+Q30+R30+S30+U30)/G30</f>
        <v>29.028312444046552</v>
      </c>
      <c r="X30" s="42">
        <f>((O30*F30)+Q30+R30+S30+T30+U30)/G30</f>
        <v>29.187123560739092</v>
      </c>
      <c r="Y30" s="46">
        <f t="shared" ref="Y30:Y58" si="3">X30*F30</f>
        <v>792722.27590967377</v>
      </c>
      <c r="Z30" s="47">
        <v>42359</v>
      </c>
    </row>
    <row r="31" spans="1:26" s="11" customFormat="1" x14ac:dyDescent="0.25">
      <c r="A31" s="35"/>
      <c r="B31" s="13" t="s">
        <v>46</v>
      </c>
      <c r="C31" s="15" t="s">
        <v>47</v>
      </c>
      <c r="D31" s="14" t="s">
        <v>71</v>
      </c>
      <c r="E31" s="15">
        <v>130</v>
      </c>
      <c r="F31" s="16">
        <v>15050</v>
      </c>
      <c r="G31" s="17">
        <v>12160</v>
      </c>
      <c r="H31" s="17">
        <f t="shared" si="2"/>
        <v>-2890</v>
      </c>
      <c r="I31" s="14" t="s">
        <v>96</v>
      </c>
      <c r="J31" s="15"/>
      <c r="K31" s="19"/>
      <c r="L31" s="19">
        <v>42344</v>
      </c>
      <c r="M31" s="14" t="s">
        <v>95</v>
      </c>
      <c r="N31" s="15"/>
      <c r="O31" s="20">
        <v>23</v>
      </c>
      <c r="P31" s="28"/>
      <c r="Q31" s="22">
        <v>13000</v>
      </c>
      <c r="R31" s="20">
        <f>59.25*E31</f>
        <v>7702.5</v>
      </c>
      <c r="S31" s="23">
        <f>-35*E31</f>
        <v>-4550</v>
      </c>
      <c r="T31" s="29">
        <f>W31*F31*0.0045</f>
        <v>2021.4603669819078</v>
      </c>
      <c r="U31" s="20">
        <f>E31*5</f>
        <v>650</v>
      </c>
      <c r="V31" s="15"/>
      <c r="W31" s="20">
        <f>((O31*F31)+Q31+R31+S31+U31)/G31</f>
        <v>29.848067434210527</v>
      </c>
      <c r="X31" s="20">
        <f>((O31*F31)+Q31+R31+S31+T31+U31)/G31</f>
        <v>30.014305951232064</v>
      </c>
      <c r="Y31" s="25">
        <f t="shared" si="3"/>
        <v>451715.30456604256</v>
      </c>
      <c r="Z31" s="26">
        <v>42359</v>
      </c>
    </row>
    <row r="32" spans="1:26" s="11" customFormat="1" x14ac:dyDescent="0.25">
      <c r="A32" s="35"/>
      <c r="B32" s="13" t="s">
        <v>46</v>
      </c>
      <c r="C32" s="15" t="s">
        <v>47</v>
      </c>
      <c r="D32" s="14" t="s">
        <v>73</v>
      </c>
      <c r="E32" s="15">
        <v>250</v>
      </c>
      <c r="F32" s="16">
        <v>28210</v>
      </c>
      <c r="G32" s="17">
        <v>22970</v>
      </c>
      <c r="H32" s="17">
        <f t="shared" si="2"/>
        <v>-5240</v>
      </c>
      <c r="I32" s="14" t="s">
        <v>97</v>
      </c>
      <c r="J32" s="15"/>
      <c r="K32" s="17"/>
      <c r="L32" s="19">
        <v>42345</v>
      </c>
      <c r="M32" s="14" t="s">
        <v>98</v>
      </c>
      <c r="N32" s="15"/>
      <c r="O32" s="20">
        <v>23</v>
      </c>
      <c r="P32" s="28"/>
      <c r="Q32" s="22">
        <v>16500</v>
      </c>
      <c r="R32" s="20">
        <f>59.25*E32</f>
        <v>14812.5</v>
      </c>
      <c r="S32" s="23">
        <f>-35*E32</f>
        <v>-8750</v>
      </c>
      <c r="T32" s="29">
        <f>W32*F32*0.0045</f>
        <v>3717.3966984109707</v>
      </c>
      <c r="U32" s="20">
        <f>E32*5</f>
        <v>1250</v>
      </c>
      <c r="V32" s="15"/>
      <c r="W32" s="20">
        <f>((O32*F32)+Q32+R32+S32+U32)/G32</f>
        <v>29.283521985198085</v>
      </c>
      <c r="X32" s="20">
        <f>((O32*F32)+Q32+R32+S32+T32+U32)/G32</f>
        <v>29.445359020392292</v>
      </c>
      <c r="Y32" s="25">
        <f t="shared" si="3"/>
        <v>830653.57796526654</v>
      </c>
      <c r="Z32" s="26">
        <v>42359</v>
      </c>
    </row>
    <row r="33" spans="1:30" s="11" customFormat="1" x14ac:dyDescent="0.25">
      <c r="A33" s="35"/>
      <c r="B33" s="13" t="s">
        <v>46</v>
      </c>
      <c r="C33" s="15" t="s">
        <v>47</v>
      </c>
      <c r="D33" s="14" t="s">
        <v>48</v>
      </c>
      <c r="E33" s="15">
        <v>130</v>
      </c>
      <c r="F33" s="16">
        <v>14955</v>
      </c>
      <c r="G33" s="17">
        <v>12010</v>
      </c>
      <c r="H33" s="17">
        <f t="shared" si="2"/>
        <v>-2945</v>
      </c>
      <c r="I33" s="14" t="s">
        <v>99</v>
      </c>
      <c r="J33" s="15"/>
      <c r="K33" s="19"/>
      <c r="L33" s="19">
        <v>42345</v>
      </c>
      <c r="M33" s="14" t="s">
        <v>98</v>
      </c>
      <c r="N33" s="15"/>
      <c r="O33" s="20">
        <v>23</v>
      </c>
      <c r="P33" s="28"/>
      <c r="Q33" s="22">
        <v>13000</v>
      </c>
      <c r="R33" s="20">
        <f>59.25*E33</f>
        <v>7702.5</v>
      </c>
      <c r="S33" s="23">
        <f>-35*E33</f>
        <v>-4550</v>
      </c>
      <c r="T33" s="29">
        <f>W33*F33*0.0045</f>
        <v>2021.5446154246458</v>
      </c>
      <c r="U33" s="20">
        <f>E33*5</f>
        <v>650</v>
      </c>
      <c r="V33" s="15"/>
      <c r="W33" s="20">
        <f>((O33*F33)+Q33+R33+S33+U33)/G33</f>
        <v>30.038925895087427</v>
      </c>
      <c r="X33" s="20">
        <f>((O33*F33)+Q33+R33+S33+T33+U33)/G33</f>
        <v>30.207247678220202</v>
      </c>
      <c r="Y33" s="25">
        <f t="shared" si="3"/>
        <v>451749.38902778312</v>
      </c>
      <c r="Z33" s="26">
        <v>42359</v>
      </c>
    </row>
    <row r="34" spans="1:30" s="11" customFormat="1" x14ac:dyDescent="0.25">
      <c r="A34" s="35"/>
      <c r="B34" s="13" t="s">
        <v>25</v>
      </c>
      <c r="C34" s="15" t="s">
        <v>42</v>
      </c>
      <c r="D34" s="14" t="s">
        <v>69</v>
      </c>
      <c r="E34" s="15" t="s">
        <v>43</v>
      </c>
      <c r="F34" s="16">
        <f>42242*0.4536</f>
        <v>19160.9712</v>
      </c>
      <c r="G34" s="17">
        <v>19090.13</v>
      </c>
      <c r="H34" s="17">
        <f t="shared" si="2"/>
        <v>-70.841199999998935</v>
      </c>
      <c r="I34" s="14">
        <v>5327</v>
      </c>
      <c r="J34" s="15"/>
      <c r="K34" s="19"/>
      <c r="L34" s="19">
        <v>42346</v>
      </c>
      <c r="M34" s="14" t="s">
        <v>30</v>
      </c>
      <c r="N34" s="15" t="s">
        <v>100</v>
      </c>
      <c r="O34" s="20"/>
      <c r="P34" s="21">
        <f>0.6465+0.15</f>
        <v>0.79649999999999999</v>
      </c>
      <c r="Q34" s="20"/>
      <c r="R34" s="20"/>
      <c r="S34" s="23">
        <v>17.21</v>
      </c>
      <c r="T34" s="29"/>
      <c r="V34" s="20"/>
      <c r="W34" s="20">
        <f t="shared" ref="W34:W39" si="4">IF(O34&gt;0,O34,((P34*2.2046*S34)+(Q34+R34)/G34)+V34)</f>
        <v>30.220138719000001</v>
      </c>
      <c r="X34" s="20">
        <f t="shared" ref="X34:X39" si="5">IF(O34&gt;0,O34,((P34*2.2046*S34)+(Q34+R34+T34)/G34)+V34)</f>
        <v>30.220138719000001</v>
      </c>
      <c r="Y34" s="25">
        <f t="shared" si="3"/>
        <v>579047.20765476394</v>
      </c>
      <c r="Z34" s="26">
        <v>42352</v>
      </c>
    </row>
    <row r="35" spans="1:30" s="11" customFormat="1" x14ac:dyDescent="0.25">
      <c r="A35" s="35"/>
      <c r="B35" s="13" t="s">
        <v>25</v>
      </c>
      <c r="C35" s="14" t="s">
        <v>26</v>
      </c>
      <c r="D35" s="14" t="s">
        <v>26</v>
      </c>
      <c r="E35" s="15" t="s">
        <v>39</v>
      </c>
      <c r="F35" s="16">
        <f>41284*0.4536</f>
        <v>18726.422399999999</v>
      </c>
      <c r="G35" s="17">
        <v>18592.79</v>
      </c>
      <c r="H35" s="17">
        <f t="shared" si="2"/>
        <v>-133.6323999999986</v>
      </c>
      <c r="I35" s="14" t="s">
        <v>101</v>
      </c>
      <c r="J35" s="18" t="s">
        <v>41</v>
      </c>
      <c r="K35" s="19">
        <v>42345</v>
      </c>
      <c r="L35" s="19">
        <v>42346</v>
      </c>
      <c r="M35" s="14" t="s">
        <v>30</v>
      </c>
      <c r="N35" s="14" t="s">
        <v>102</v>
      </c>
      <c r="O35" s="20"/>
      <c r="P35" s="21">
        <f>0.6764+0.105</f>
        <v>0.78139999999999998</v>
      </c>
      <c r="Q35" s="22">
        <v>18500</v>
      </c>
      <c r="R35" s="20">
        <v>8629</v>
      </c>
      <c r="S35" s="23">
        <v>16.61</v>
      </c>
      <c r="T35" s="29">
        <f>W35*F35*0.005</f>
        <v>2825.1370375360129</v>
      </c>
      <c r="V35" s="20">
        <v>0.1</v>
      </c>
      <c r="W35" s="20">
        <f t="shared" si="4"/>
        <v>30.17273643828533</v>
      </c>
      <c r="X35" s="20">
        <f t="shared" si="5"/>
        <v>30.324684426593485</v>
      </c>
      <c r="Y35" s="25">
        <f t="shared" si="3"/>
        <v>567872.84971909143</v>
      </c>
      <c r="Z35" s="26">
        <v>42338</v>
      </c>
    </row>
    <row r="36" spans="1:30" s="11" customFormat="1" x14ac:dyDescent="0.25">
      <c r="A36" s="35"/>
      <c r="B36" s="13" t="s">
        <v>25</v>
      </c>
      <c r="C36" s="15" t="s">
        <v>32</v>
      </c>
      <c r="D36" s="15" t="s">
        <v>33</v>
      </c>
      <c r="E36" s="15" t="s">
        <v>34</v>
      </c>
      <c r="F36" s="16">
        <f>36494*0.4536</f>
        <v>16553.678400000001</v>
      </c>
      <c r="G36" s="17">
        <f>18293.78-1749</f>
        <v>16544.78</v>
      </c>
      <c r="H36" s="17">
        <f t="shared" si="2"/>
        <v>-8.8984000000018568</v>
      </c>
      <c r="I36" s="14" t="s">
        <v>103</v>
      </c>
      <c r="J36" s="18" t="s">
        <v>29</v>
      </c>
      <c r="K36" s="19">
        <v>42345</v>
      </c>
      <c r="L36" s="19">
        <v>42346</v>
      </c>
      <c r="M36" s="14" t="s">
        <v>30</v>
      </c>
      <c r="N36" s="14" t="s">
        <v>104</v>
      </c>
      <c r="O36" s="20"/>
      <c r="P36" s="21">
        <f>0.6764+0.1</f>
        <v>0.77639999999999998</v>
      </c>
      <c r="Q36" s="22">
        <f>(18500*G36)/(G36+G37)</f>
        <v>16731.284075789696</v>
      </c>
      <c r="R36" s="20">
        <f>(11194*G36)/(G36+G37)</f>
        <v>10123.783456453506</v>
      </c>
      <c r="S36" s="23">
        <v>17.399999999999999</v>
      </c>
      <c r="T36" s="29">
        <f>W36*F36*0.005</f>
        <v>2607.6934850950183</v>
      </c>
      <c r="V36" s="20">
        <v>0.1</v>
      </c>
      <c r="W36" s="20">
        <f t="shared" si="4"/>
        <v>31.505909708805486</v>
      </c>
      <c r="X36" s="20">
        <f t="shared" si="5"/>
        <v>31.663523982618436</v>
      </c>
      <c r="Y36" s="25">
        <f t="shared" si="3"/>
        <v>524147.79301895283</v>
      </c>
      <c r="Z36" s="26">
        <v>42356</v>
      </c>
    </row>
    <row r="37" spans="1:30" s="11" customFormat="1" x14ac:dyDescent="0.25">
      <c r="A37" s="35"/>
      <c r="B37" s="13" t="s">
        <v>37</v>
      </c>
      <c r="C37" s="14" t="s">
        <v>32</v>
      </c>
      <c r="D37" s="14" t="s">
        <v>33</v>
      </c>
      <c r="E37" s="15" t="s">
        <v>38</v>
      </c>
      <c r="F37" s="16">
        <f>3857*0.4536</f>
        <v>1749.5352</v>
      </c>
      <c r="G37" s="17">
        <v>1749</v>
      </c>
      <c r="H37" s="17">
        <f t="shared" si="2"/>
        <v>-0.53520000000003165</v>
      </c>
      <c r="I37" s="14"/>
      <c r="J37" s="15"/>
      <c r="K37" s="19">
        <v>42345</v>
      </c>
      <c r="L37" s="19">
        <v>42346</v>
      </c>
      <c r="M37" s="14" t="s">
        <v>30</v>
      </c>
      <c r="N37" s="14"/>
      <c r="O37" s="20"/>
      <c r="P37" s="21">
        <v>0.4</v>
      </c>
      <c r="Q37" s="22">
        <f>(18500*G37)/(G37+G36)</f>
        <v>1768.7159242103055</v>
      </c>
      <c r="R37" s="20">
        <f>(11194*G37)/(G37+G36)</f>
        <v>1070.2165435464951</v>
      </c>
      <c r="S37" s="23">
        <v>17.399999999999999</v>
      </c>
      <c r="T37" s="29">
        <f>W37*F37*0.005</f>
        <v>149.29825406097092</v>
      </c>
      <c r="V37" s="20">
        <v>0.1</v>
      </c>
      <c r="W37" s="20">
        <f t="shared" si="4"/>
        <v>17.06719065280549</v>
      </c>
      <c r="X37" s="20">
        <f t="shared" si="5"/>
        <v>17.152552719163964</v>
      </c>
      <c r="Y37" s="25">
        <f t="shared" si="3"/>
        <v>30008.994752033072</v>
      </c>
      <c r="Z37" s="26">
        <v>42356</v>
      </c>
    </row>
    <row r="38" spans="1:30" s="11" customFormat="1" x14ac:dyDescent="0.25">
      <c r="A38" s="35"/>
      <c r="B38" s="13" t="s">
        <v>25</v>
      </c>
      <c r="C38" s="15" t="s">
        <v>32</v>
      </c>
      <c r="D38" s="15" t="s">
        <v>33</v>
      </c>
      <c r="E38" s="15" t="s">
        <v>39</v>
      </c>
      <c r="F38" s="16">
        <f>40706*0.4536</f>
        <v>18464.241600000001</v>
      </c>
      <c r="G38" s="17">
        <v>18446.96</v>
      </c>
      <c r="H38" s="17">
        <f t="shared" si="2"/>
        <v>-17.281600000002072</v>
      </c>
      <c r="I38" s="14" t="s">
        <v>105</v>
      </c>
      <c r="J38" s="18" t="s">
        <v>106</v>
      </c>
      <c r="K38" s="19">
        <v>42345</v>
      </c>
      <c r="L38" s="19">
        <v>42346</v>
      </c>
      <c r="M38" s="14" t="s">
        <v>30</v>
      </c>
      <c r="N38" s="14" t="s">
        <v>104</v>
      </c>
      <c r="O38" s="20"/>
      <c r="P38" s="21">
        <v>0.77639999999999998</v>
      </c>
      <c r="Q38" s="22">
        <v>18500</v>
      </c>
      <c r="R38" s="20">
        <v>8629</v>
      </c>
      <c r="S38" s="23">
        <v>17.399999999999999</v>
      </c>
      <c r="T38" s="29">
        <f>W38*F38*0.005</f>
        <v>2894.5822745373093</v>
      </c>
      <c r="V38" s="20">
        <v>0.1</v>
      </c>
      <c r="W38" s="20">
        <f t="shared" si="4"/>
        <v>31.353383878353384</v>
      </c>
      <c r="X38" s="20">
        <f t="shared" si="5"/>
        <v>31.510297661141294</v>
      </c>
      <c r="Y38" s="25">
        <f t="shared" si="3"/>
        <v>581813.74890322785</v>
      </c>
      <c r="Z38" s="26">
        <v>42356</v>
      </c>
    </row>
    <row r="39" spans="1:30" s="11" customFormat="1" x14ac:dyDescent="0.25">
      <c r="A39" s="35"/>
      <c r="B39" s="13" t="s">
        <v>25</v>
      </c>
      <c r="C39" s="14" t="s">
        <v>42</v>
      </c>
      <c r="D39" s="14" t="s">
        <v>42</v>
      </c>
      <c r="E39" s="15" t="s">
        <v>43</v>
      </c>
      <c r="F39" s="16">
        <f>41557*0.4536</f>
        <v>18850.2552</v>
      </c>
      <c r="G39" s="17">
        <v>18800.13</v>
      </c>
      <c r="H39" s="17">
        <f t="shared" si="2"/>
        <v>-50.125199999998586</v>
      </c>
      <c r="I39" s="14" t="s">
        <v>107</v>
      </c>
      <c r="J39" s="18" t="s">
        <v>29</v>
      </c>
      <c r="K39" s="19">
        <v>42345</v>
      </c>
      <c r="L39" s="19">
        <v>42346</v>
      </c>
      <c r="M39" s="14" t="s">
        <v>30</v>
      </c>
      <c r="N39" s="14" t="s">
        <v>108</v>
      </c>
      <c r="O39" s="20"/>
      <c r="P39" s="21">
        <f>0.6764+0.1075</f>
        <v>0.78390000000000004</v>
      </c>
      <c r="Q39" s="22">
        <v>18500</v>
      </c>
      <c r="R39" s="20">
        <v>11194</v>
      </c>
      <c r="S39" s="23">
        <v>16.635000000000002</v>
      </c>
      <c r="T39" s="29">
        <f>W39*F39*0.005</f>
        <v>2867.8618293516829</v>
      </c>
      <c r="V39" s="20">
        <v>0.1</v>
      </c>
      <c r="W39" s="20">
        <f t="shared" si="4"/>
        <v>30.427830275228132</v>
      </c>
      <c r="X39" s="20">
        <f t="shared" si="5"/>
        <v>30.580375062383951</v>
      </c>
      <c r="Y39" s="25">
        <f t="shared" si="3"/>
        <v>576447.87403765332</v>
      </c>
      <c r="Z39" s="26">
        <v>42340</v>
      </c>
    </row>
    <row r="40" spans="1:30" s="11" customFormat="1" x14ac:dyDescent="0.25">
      <c r="A40" s="35"/>
      <c r="B40" s="13" t="s">
        <v>46</v>
      </c>
      <c r="C40" s="15" t="s">
        <v>47</v>
      </c>
      <c r="D40" s="14" t="s">
        <v>109</v>
      </c>
      <c r="E40" s="15">
        <v>249</v>
      </c>
      <c r="F40" s="16">
        <v>25910</v>
      </c>
      <c r="G40" s="17">
        <f>20550-100</f>
        <v>20450</v>
      </c>
      <c r="H40" s="17">
        <f t="shared" si="2"/>
        <v>-5460</v>
      </c>
      <c r="I40" s="14" t="s">
        <v>110</v>
      </c>
      <c r="J40" s="15"/>
      <c r="K40" s="19"/>
      <c r="L40" s="19">
        <v>42346</v>
      </c>
      <c r="M40" s="14" t="s">
        <v>30</v>
      </c>
      <c r="N40" s="15"/>
      <c r="O40" s="20">
        <v>23</v>
      </c>
      <c r="P40" s="28"/>
      <c r="Q40" s="22">
        <v>16500</v>
      </c>
      <c r="R40" s="20">
        <f>59.25*E40</f>
        <v>14753.25</v>
      </c>
      <c r="S40" s="23">
        <f>-35*E40</f>
        <v>-8715</v>
      </c>
      <c r="T40" s="29">
        <f>W40*F40*0.0045</f>
        <v>3533.2746397921755</v>
      </c>
      <c r="U40" s="20">
        <f>E40*5</f>
        <v>1245</v>
      </c>
      <c r="V40" s="15"/>
      <c r="W40" s="20">
        <f>((O40*F40)+Q40+R40+S40+U40)/G40</f>
        <v>30.303826405867969</v>
      </c>
      <c r="X40" s="20">
        <f>((O40*F40)+Q40+R40+S40+T40+U40)/G40</f>
        <v>30.476602671872477</v>
      </c>
      <c r="Y40" s="25">
        <f t="shared" si="3"/>
        <v>789648.77522821585</v>
      </c>
      <c r="Z40" s="26">
        <v>42360</v>
      </c>
    </row>
    <row r="41" spans="1:30" s="11" customFormat="1" x14ac:dyDescent="0.25">
      <c r="A41" s="35"/>
      <c r="B41" s="13" t="s">
        <v>46</v>
      </c>
      <c r="C41" s="15" t="s">
        <v>47</v>
      </c>
      <c r="D41" s="14" t="s">
        <v>109</v>
      </c>
      <c r="E41" s="15">
        <v>131</v>
      </c>
      <c r="F41" s="16">
        <v>13825</v>
      </c>
      <c r="G41" s="17">
        <f>10710+100</f>
        <v>10810</v>
      </c>
      <c r="H41" s="17">
        <f t="shared" si="2"/>
        <v>-3015</v>
      </c>
      <c r="I41" s="14" t="s">
        <v>111</v>
      </c>
      <c r="J41" s="15"/>
      <c r="K41" s="19"/>
      <c r="L41" s="19">
        <v>42346</v>
      </c>
      <c r="M41" s="14" t="s">
        <v>30</v>
      </c>
      <c r="N41" s="15"/>
      <c r="O41" s="20">
        <v>23</v>
      </c>
      <c r="P41" s="28"/>
      <c r="Q41" s="22">
        <v>13000</v>
      </c>
      <c r="R41" s="20">
        <f>59.25*E41</f>
        <v>7761.75</v>
      </c>
      <c r="S41" s="23">
        <f>-35*E41</f>
        <v>-4585</v>
      </c>
      <c r="T41" s="29">
        <f>W41*F41*0.0045</f>
        <v>1926.8422695999072</v>
      </c>
      <c r="U41" s="20">
        <f>E41*5</f>
        <v>655</v>
      </c>
      <c r="V41" s="15"/>
      <c r="W41" s="20">
        <f>((O41*F41)+Q41+R41+S41+U41)/G41</f>
        <v>30.971947271045327</v>
      </c>
      <c r="X41" s="20">
        <f>((O41*F41)+Q41+R41+S41+T41+U41)/G41</f>
        <v>31.150193549454201</v>
      </c>
      <c r="Y41" s="25">
        <f t="shared" si="3"/>
        <v>430651.42582120432</v>
      </c>
      <c r="Z41" s="26">
        <v>42360</v>
      </c>
    </row>
    <row r="42" spans="1:30" s="11" customFormat="1" x14ac:dyDescent="0.25">
      <c r="A42" s="35"/>
      <c r="B42" s="13" t="s">
        <v>25</v>
      </c>
      <c r="C42" s="15" t="s">
        <v>32</v>
      </c>
      <c r="D42" s="15" t="s">
        <v>33</v>
      </c>
      <c r="E42" s="15" t="s">
        <v>43</v>
      </c>
      <c r="F42" s="16">
        <f>38948*0.4536</f>
        <v>17666.8128</v>
      </c>
      <c r="G42" s="17">
        <f>19243.82-1696</f>
        <v>17547.82</v>
      </c>
      <c r="H42" s="17">
        <f t="shared" si="2"/>
        <v>-118.99279999999999</v>
      </c>
      <c r="I42" s="14" t="s">
        <v>112</v>
      </c>
      <c r="J42" s="18" t="s">
        <v>63</v>
      </c>
      <c r="K42" s="19">
        <v>42347</v>
      </c>
      <c r="L42" s="19">
        <v>42348</v>
      </c>
      <c r="M42" s="14" t="s">
        <v>52</v>
      </c>
      <c r="N42" s="14" t="s">
        <v>104</v>
      </c>
      <c r="O42" s="20"/>
      <c r="P42" s="21">
        <v>0.77639999999999998</v>
      </c>
      <c r="Q42" s="22">
        <f>(18500*G42)/(G42+G43)</f>
        <v>16869.554485543929</v>
      </c>
      <c r="R42" s="20">
        <f>(8668*G42)/(G42+G43)</f>
        <v>7904.0701773348528</v>
      </c>
      <c r="S42" s="23">
        <v>17.399999999999999</v>
      </c>
      <c r="T42" s="29">
        <f>W42*F42*0.005</f>
        <v>2764.3715112792042</v>
      </c>
      <c r="V42" s="20">
        <v>0.1</v>
      </c>
      <c r="W42" s="20">
        <f>IF(O42&gt;0,O42,((P42*2.2046*S42)+(Q42+R42)/G42)+V42)</f>
        <v>31.29451296703845</v>
      </c>
      <c r="X42" s="20">
        <f>IF(O42&gt;0,O42,((P42*2.2046*S42)+(Q42+R42+T42)/G42)+V42)</f>
        <v>31.452046581543225</v>
      </c>
      <c r="Y42" s="25">
        <f t="shared" si="3"/>
        <v>555657.41913300403</v>
      </c>
      <c r="Z42" s="26">
        <v>42359</v>
      </c>
      <c r="AA42" s="16"/>
      <c r="AB42" s="17"/>
      <c r="AC42" s="17"/>
      <c r="AD42" s="14"/>
    </row>
    <row r="43" spans="1:30" s="11" customFormat="1" x14ac:dyDescent="0.25">
      <c r="A43" s="35"/>
      <c r="B43" s="13" t="s">
        <v>37</v>
      </c>
      <c r="C43" s="15" t="s">
        <v>32</v>
      </c>
      <c r="D43" s="14" t="s">
        <v>33</v>
      </c>
      <c r="E43" s="15" t="s">
        <v>38</v>
      </c>
      <c r="F43" s="16">
        <f>3736*0.4536</f>
        <v>1694.6496</v>
      </c>
      <c r="G43" s="17">
        <v>1696</v>
      </c>
      <c r="H43" s="17">
        <f t="shared" si="2"/>
        <v>1.350400000000036</v>
      </c>
      <c r="I43" s="14"/>
      <c r="J43" s="15"/>
      <c r="K43" s="19">
        <v>42347</v>
      </c>
      <c r="L43" s="19">
        <v>42348</v>
      </c>
      <c r="M43" s="14" t="s">
        <v>52</v>
      </c>
      <c r="N43" s="14"/>
      <c r="O43" s="20"/>
      <c r="P43" s="21">
        <v>0.4</v>
      </c>
      <c r="Q43" s="22">
        <f>(18500*G43)/(G43+G42)</f>
        <v>1630.4455144560695</v>
      </c>
      <c r="R43" s="20">
        <f>(8668*G43)/(G43+G42)</f>
        <v>763.9298226651465</v>
      </c>
      <c r="S43" s="23">
        <v>17.399999999999999</v>
      </c>
      <c r="T43" s="29">
        <f>W43*F43*0.005</f>
        <v>142.82332204511874</v>
      </c>
      <c r="V43" s="20">
        <v>0.1</v>
      </c>
      <c r="W43" s="20">
        <f>IF(O43&gt;0,O43,((P43*2.2046*S43)+(Q43+R43)/G43)+V43)</f>
        <v>16.855793911038454</v>
      </c>
      <c r="X43" s="20">
        <f>IF(O43&gt;0,O43,((P43*2.2046*S43)+(Q43+R43+T43)/G43)+V43)</f>
        <v>16.940005775451851</v>
      </c>
      <c r="Y43" s="25">
        <f t="shared" si="3"/>
        <v>28707.37401136717</v>
      </c>
      <c r="Z43" s="26">
        <v>42359</v>
      </c>
    </row>
    <row r="44" spans="1:30" s="11" customFormat="1" x14ac:dyDescent="0.25">
      <c r="A44" s="35"/>
      <c r="B44" s="13" t="s">
        <v>46</v>
      </c>
      <c r="C44" s="15" t="s">
        <v>47</v>
      </c>
      <c r="D44" s="14" t="s">
        <v>48</v>
      </c>
      <c r="E44" s="15">
        <v>130</v>
      </c>
      <c r="F44" s="16">
        <v>14855</v>
      </c>
      <c r="G44" s="17">
        <f>3630+8460</f>
        <v>12090</v>
      </c>
      <c r="H44" s="17">
        <f t="shared" si="2"/>
        <v>-2765</v>
      </c>
      <c r="I44" s="14" t="s">
        <v>113</v>
      </c>
      <c r="J44" s="15"/>
      <c r="K44" s="19"/>
      <c r="L44" s="19">
        <v>42347</v>
      </c>
      <c r="M44" s="14" t="s">
        <v>52</v>
      </c>
      <c r="N44" s="15"/>
      <c r="O44" s="20">
        <v>23.5</v>
      </c>
      <c r="P44" s="28"/>
      <c r="Q44" s="22">
        <v>13000</v>
      </c>
      <c r="R44" s="20">
        <f>59.25*E44</f>
        <v>7702.5</v>
      </c>
      <c r="S44" s="23">
        <f>-35*E44</f>
        <v>-4550</v>
      </c>
      <c r="T44" s="29">
        <f>W44*F44*0.0045</f>
        <v>2023.0906544665011</v>
      </c>
      <c r="U44" s="20">
        <f>E44*5</f>
        <v>650</v>
      </c>
      <c r="V44" s="15"/>
      <c r="W44" s="20">
        <f>((O44*F44)+Q44+R44+S44+U44)/G44</f>
        <v>30.26426799007444</v>
      </c>
      <c r="X44" s="20">
        <f>((O44*F44)+Q44+R44+S44+T44+U44)/G44</f>
        <v>30.431603858930231</v>
      </c>
      <c r="Y44" s="25">
        <f t="shared" si="3"/>
        <v>452061.47532440856</v>
      </c>
      <c r="Z44" s="26">
        <v>42360</v>
      </c>
    </row>
    <row r="45" spans="1:30" s="11" customFormat="1" x14ac:dyDescent="0.25">
      <c r="A45" s="35"/>
      <c r="B45" s="13" t="s">
        <v>46</v>
      </c>
      <c r="C45" s="15" t="s">
        <v>59</v>
      </c>
      <c r="D45" s="14" t="s">
        <v>59</v>
      </c>
      <c r="E45" s="15">
        <v>257</v>
      </c>
      <c r="F45" s="16">
        <f>14300+14640</f>
        <v>28940</v>
      </c>
      <c r="G45" s="17">
        <f>11240+11530+180</f>
        <v>22950</v>
      </c>
      <c r="H45" s="17">
        <f t="shared" si="2"/>
        <v>-5990</v>
      </c>
      <c r="I45" s="14" t="s">
        <v>114</v>
      </c>
      <c r="J45" s="15"/>
      <c r="K45" s="19">
        <v>42346</v>
      </c>
      <c r="L45" s="19">
        <v>42347</v>
      </c>
      <c r="M45" s="14" t="s">
        <v>52</v>
      </c>
      <c r="N45" s="15"/>
      <c r="O45" s="20">
        <v>23.2</v>
      </c>
      <c r="P45" s="28"/>
      <c r="Q45" s="22">
        <v>22000</v>
      </c>
      <c r="R45" s="30">
        <f>98*E45</f>
        <v>25186</v>
      </c>
      <c r="S45" s="23">
        <f>-40*E45</f>
        <v>-10280</v>
      </c>
      <c r="T45" s="29"/>
      <c r="U45" s="20">
        <f>E45*10</f>
        <v>2570</v>
      </c>
      <c r="V45" s="15"/>
      <c r="W45" s="20">
        <f>((O45*F45)+Q45+R45+S45+U45)/G45</f>
        <v>30.975337690631807</v>
      </c>
      <c r="X45" s="20">
        <f>((O45*F45)+Q45+R45+S45+T45+U45)/G45</f>
        <v>30.975337690631807</v>
      </c>
      <c r="Y45" s="25">
        <f t="shared" si="3"/>
        <v>896426.27276688453</v>
      </c>
      <c r="Z45" s="26">
        <v>42347</v>
      </c>
    </row>
    <row r="46" spans="1:30" s="11" customFormat="1" x14ac:dyDescent="0.25">
      <c r="A46" s="35"/>
      <c r="B46" s="13" t="s">
        <v>25</v>
      </c>
      <c r="C46" s="15" t="s">
        <v>26</v>
      </c>
      <c r="D46" s="14" t="s">
        <v>80</v>
      </c>
      <c r="E46" s="15" t="s">
        <v>27</v>
      </c>
      <c r="F46" s="16">
        <f>42940*0.4536</f>
        <v>19477.583999999999</v>
      </c>
      <c r="G46" s="17">
        <v>19433.349999999999</v>
      </c>
      <c r="H46" s="17">
        <f t="shared" si="2"/>
        <v>-44.234000000000378</v>
      </c>
      <c r="I46" s="11" t="s">
        <v>115</v>
      </c>
      <c r="J46" s="15"/>
      <c r="K46" s="19"/>
      <c r="L46" s="19">
        <v>42347</v>
      </c>
      <c r="M46" s="14" t="s">
        <v>52</v>
      </c>
      <c r="N46" s="15" t="s">
        <v>116</v>
      </c>
      <c r="O46" s="20"/>
      <c r="P46" s="21">
        <f>0.6764+0.155</f>
        <v>0.83140000000000003</v>
      </c>
      <c r="Q46" s="20"/>
      <c r="R46" s="20"/>
      <c r="S46" s="23">
        <v>17.21</v>
      </c>
      <c r="T46" s="29"/>
      <c r="V46" s="20"/>
      <c r="W46" s="20">
        <f>IF(O46&gt;0,O46,((P46*2.2046*S46)+(Q46+R46)/G46)+V46)</f>
        <v>31.544285412400004</v>
      </c>
      <c r="X46" s="20">
        <f>IF(O46&gt;0,O46,((P46*2.2046*S46)+(Q46+R46+T46)/G46)+V46)</f>
        <v>31.544285412400004</v>
      </c>
      <c r="Y46" s="25">
        <f t="shared" si="3"/>
        <v>614406.46883999568</v>
      </c>
      <c r="Z46" s="26">
        <v>42354</v>
      </c>
    </row>
    <row r="47" spans="1:30" s="11" customFormat="1" x14ac:dyDescent="0.25">
      <c r="A47" s="35"/>
      <c r="B47" s="13" t="s">
        <v>25</v>
      </c>
      <c r="C47" s="14" t="s">
        <v>26</v>
      </c>
      <c r="D47" s="14" t="s">
        <v>26</v>
      </c>
      <c r="E47" s="15" t="s">
        <v>27</v>
      </c>
      <c r="F47" s="16">
        <f>42844*0.4536</f>
        <v>19434.038400000001</v>
      </c>
      <c r="G47" s="17">
        <v>19293.8</v>
      </c>
      <c r="H47" s="17">
        <f t="shared" si="2"/>
        <v>-140.238400000002</v>
      </c>
      <c r="I47" s="11" t="s">
        <v>117</v>
      </c>
      <c r="J47" s="18" t="s">
        <v>29</v>
      </c>
      <c r="K47" s="19">
        <v>42347</v>
      </c>
      <c r="L47" s="19">
        <v>42348</v>
      </c>
      <c r="M47" s="14" t="s">
        <v>64</v>
      </c>
      <c r="N47" s="14" t="s">
        <v>118</v>
      </c>
      <c r="O47" s="20"/>
      <c r="P47" s="21">
        <f>0.6929+0.105</f>
        <v>0.79789999999999994</v>
      </c>
      <c r="Q47" s="22">
        <v>18500</v>
      </c>
      <c r="R47" s="20">
        <v>8655</v>
      </c>
      <c r="S47" s="23">
        <v>16.670000000000002</v>
      </c>
      <c r="T47" s="29">
        <f>W47*F47*0.005</f>
        <v>2995.8363218650829</v>
      </c>
      <c r="V47" s="20">
        <v>0.1</v>
      </c>
      <c r="W47" s="20">
        <f>IF(O47&gt;0,O47,((P47*2.2046*S47)+(Q47+R47)/G47)+V47)</f>
        <v>30.830816119670555</v>
      </c>
      <c r="X47" s="20">
        <f>IF(O47&gt;0,O47,((P47*2.2046*S47)+(Q47+R47+T47)/G47)+V47)</f>
        <v>30.98609068050694</v>
      </c>
      <c r="Y47" s="25">
        <f t="shared" si="3"/>
        <v>602184.87615085405</v>
      </c>
      <c r="Z47" s="26">
        <v>42341</v>
      </c>
    </row>
    <row r="48" spans="1:30" s="11" customFormat="1" x14ac:dyDescent="0.25">
      <c r="A48" s="35"/>
      <c r="B48" s="13" t="s">
        <v>25</v>
      </c>
      <c r="C48" s="14" t="s">
        <v>26</v>
      </c>
      <c r="D48" s="14" t="s">
        <v>26</v>
      </c>
      <c r="E48" s="15" t="s">
        <v>27</v>
      </c>
      <c r="F48" s="16">
        <f>42555*0.4536</f>
        <v>19302.948</v>
      </c>
      <c r="G48" s="17">
        <v>19251.54</v>
      </c>
      <c r="H48" s="17">
        <f t="shared" si="2"/>
        <v>-51.407999999999447</v>
      </c>
      <c r="I48" s="11" t="s">
        <v>119</v>
      </c>
      <c r="J48" s="18" t="s">
        <v>51</v>
      </c>
      <c r="K48" s="19">
        <v>42347</v>
      </c>
      <c r="L48" s="19">
        <v>42348</v>
      </c>
      <c r="M48" s="14" t="s">
        <v>64</v>
      </c>
      <c r="N48" s="14" t="s">
        <v>118</v>
      </c>
      <c r="O48" s="20"/>
      <c r="P48" s="21">
        <f>0.6929+0.105</f>
        <v>0.79789999999999994</v>
      </c>
      <c r="Q48" s="22">
        <v>18500</v>
      </c>
      <c r="R48" s="20">
        <v>8655</v>
      </c>
      <c r="S48" s="23">
        <v>16.670000000000002</v>
      </c>
      <c r="T48" s="29">
        <f>W48*F48*0.005</f>
        <v>2975.9263894581809</v>
      </c>
      <c r="V48" s="20">
        <v>0.1</v>
      </c>
      <c r="W48" s="20">
        <f>IF(O48&gt;0,O48,((P48*2.2046*S48)+(Q48+R48)/G48)+V48)</f>
        <v>30.833905675528737</v>
      </c>
      <c r="X48" s="20">
        <f>IF(O48&gt;0,O48,((P48*2.2046*S48)+(Q48+R48+T48)/G48)+V48)</f>
        <v>30.988486887704916</v>
      </c>
      <c r="Y48" s="25">
        <f t="shared" si="3"/>
        <v>598169.15099204984</v>
      </c>
      <c r="Z48" s="26">
        <v>42341</v>
      </c>
    </row>
    <row r="49" spans="1:26" s="11" customFormat="1" x14ac:dyDescent="0.25">
      <c r="A49" s="35"/>
      <c r="B49" s="13" t="s">
        <v>46</v>
      </c>
      <c r="C49" s="15" t="s">
        <v>47</v>
      </c>
      <c r="D49" s="14" t="s">
        <v>48</v>
      </c>
      <c r="E49" s="15">
        <v>250</v>
      </c>
      <c r="F49" s="16">
        <v>29010</v>
      </c>
      <c r="G49" s="17">
        <f>23860-450</f>
        <v>23410</v>
      </c>
      <c r="H49" s="17">
        <f t="shared" si="2"/>
        <v>-5600</v>
      </c>
      <c r="I49" s="11" t="s">
        <v>120</v>
      </c>
      <c r="J49" s="15"/>
      <c r="K49" s="19"/>
      <c r="L49" s="19">
        <v>42348</v>
      </c>
      <c r="M49" s="14" t="s">
        <v>64</v>
      </c>
      <c r="N49" s="15"/>
      <c r="O49" s="20">
        <v>23.5</v>
      </c>
      <c r="P49" s="28"/>
      <c r="Q49" s="22">
        <v>16500</v>
      </c>
      <c r="R49" s="20">
        <f>59.25*E49</f>
        <v>14812.5</v>
      </c>
      <c r="S49" s="23">
        <f>-35*E49</f>
        <v>-8750</v>
      </c>
      <c r="T49" s="29">
        <f>W49*F49*0.0045</f>
        <v>3934.4595637548055</v>
      </c>
      <c r="U49" s="20">
        <f>E49*5</f>
        <v>1250</v>
      </c>
      <c r="V49" s="15"/>
      <c r="W49" s="20">
        <f>((O49*F49)+Q49+R49+S49+U49)/G49</f>
        <v>30.138722768047842</v>
      </c>
      <c r="X49" s="20">
        <f>((O49*F49)+Q49+R49+S49+T49+U49)/G49</f>
        <v>30.306790241937414</v>
      </c>
      <c r="Y49" s="25">
        <f t="shared" si="3"/>
        <v>879199.98491860437</v>
      </c>
      <c r="Z49" s="26">
        <v>42361</v>
      </c>
    </row>
    <row r="50" spans="1:26" s="11" customFormat="1" x14ac:dyDescent="0.25">
      <c r="A50" s="35"/>
      <c r="B50" s="13" t="s">
        <v>46</v>
      </c>
      <c r="C50" s="15" t="s">
        <v>47</v>
      </c>
      <c r="D50" s="14" t="s">
        <v>109</v>
      </c>
      <c r="E50" s="15">
        <v>131</v>
      </c>
      <c r="F50" s="16">
        <v>13625</v>
      </c>
      <c r="G50" s="17">
        <f>10380+450</f>
        <v>10830</v>
      </c>
      <c r="H50" s="17">
        <f t="shared" si="2"/>
        <v>-2795</v>
      </c>
      <c r="I50" s="11" t="s">
        <v>121</v>
      </c>
      <c r="J50" s="15"/>
      <c r="K50" s="19"/>
      <c r="L50" s="19">
        <v>42348</v>
      </c>
      <c r="M50" s="14" t="s">
        <v>64</v>
      </c>
      <c r="N50" s="15"/>
      <c r="O50" s="20">
        <v>23.5</v>
      </c>
      <c r="P50" s="28"/>
      <c r="Q50" s="22">
        <v>13000</v>
      </c>
      <c r="R50" s="20">
        <f>59.25*E50</f>
        <v>7761.75</v>
      </c>
      <c r="S50" s="23">
        <f>-35*E50</f>
        <v>-4585</v>
      </c>
      <c r="T50" s="29">
        <f>W50*F50*0.0045</f>
        <v>1907.9864049515234</v>
      </c>
      <c r="U50" s="20">
        <f>E50*5</f>
        <v>655</v>
      </c>
      <c r="V50" s="15"/>
      <c r="W50" s="20">
        <f>((O50*F50)+Q50+R50+S50+U50)/G50</f>
        <v>31.119044321329639</v>
      </c>
      <c r="X50" s="20">
        <f>((O50*F50)+Q50+R50+S50+T50+U50)/G50</f>
        <v>31.2952203513344</v>
      </c>
      <c r="Y50" s="25">
        <f t="shared" si="3"/>
        <v>426397.37728693121</v>
      </c>
      <c r="Z50" s="26">
        <v>42361</v>
      </c>
    </row>
    <row r="51" spans="1:26" s="11" customFormat="1" x14ac:dyDescent="0.25">
      <c r="A51" s="35"/>
      <c r="B51" s="13" t="s">
        <v>25</v>
      </c>
      <c r="C51" s="14" t="s">
        <v>26</v>
      </c>
      <c r="D51" s="14" t="s">
        <v>26</v>
      </c>
      <c r="E51" s="15" t="s">
        <v>27</v>
      </c>
      <c r="F51" s="16">
        <f>42654*0.4536</f>
        <v>19347.8544</v>
      </c>
      <c r="G51" s="17">
        <v>19171.7</v>
      </c>
      <c r="H51" s="17">
        <f t="shared" si="2"/>
        <v>-176.15439999999944</v>
      </c>
      <c r="I51" s="14" t="s">
        <v>122</v>
      </c>
      <c r="J51" s="18" t="s">
        <v>29</v>
      </c>
      <c r="K51" s="19">
        <v>42349</v>
      </c>
      <c r="L51" s="19">
        <v>42350</v>
      </c>
      <c r="M51" s="14" t="s">
        <v>86</v>
      </c>
      <c r="N51" s="14" t="s">
        <v>123</v>
      </c>
      <c r="O51" s="20"/>
      <c r="P51" s="21">
        <f>0.7017+0.105</f>
        <v>0.80669999999999997</v>
      </c>
      <c r="Q51" s="22">
        <v>18500</v>
      </c>
      <c r="R51" s="20">
        <v>8668</v>
      </c>
      <c r="S51" s="23">
        <v>16.559999999999999</v>
      </c>
      <c r="T51" s="29">
        <f>W51*F51*0.005</f>
        <v>2995.8444421724989</v>
      </c>
      <c r="V51" s="20">
        <v>0.1</v>
      </c>
      <c r="W51" s="20">
        <f>IF(O51&gt;0,O51,((P51*2.2046*S51)+(Q51+R51)/G51)+V51)</f>
        <v>30.968234308942275</v>
      </c>
      <c r="X51" s="20">
        <f>IF(O51&gt;0,O51,((P51*2.2046*S51)+(Q51+R51+T51)/G51)+V51)</f>
        <v>31.124498200103336</v>
      </c>
      <c r="Y51" s="25">
        <f t="shared" si="3"/>
        <v>602192.25944866135</v>
      </c>
      <c r="Z51" s="26">
        <v>42342</v>
      </c>
    </row>
    <row r="52" spans="1:26" s="11" customFormat="1" x14ac:dyDescent="0.25">
      <c r="A52" s="35"/>
      <c r="B52" s="13" t="s">
        <v>46</v>
      </c>
      <c r="C52" s="15" t="s">
        <v>47</v>
      </c>
      <c r="D52" s="14" t="s">
        <v>71</v>
      </c>
      <c r="E52" s="15">
        <f>249+258</f>
        <v>507</v>
      </c>
      <c r="F52" s="16">
        <f>30700+29730</f>
        <v>60430</v>
      </c>
      <c r="G52" s="17">
        <f>23990+12450+11910</f>
        <v>48350</v>
      </c>
      <c r="H52" s="17">
        <f t="shared" si="2"/>
        <v>-12080</v>
      </c>
      <c r="I52" s="14" t="s">
        <v>124</v>
      </c>
      <c r="J52" s="15"/>
      <c r="K52" s="19"/>
      <c r="L52" s="19">
        <v>42349</v>
      </c>
      <c r="M52" s="14" t="s">
        <v>76</v>
      </c>
      <c r="N52" s="15"/>
      <c r="O52" s="20">
        <v>23.5</v>
      </c>
      <c r="P52" s="28"/>
      <c r="Q52" s="22">
        <f>16500+13000+13000</f>
        <v>42500</v>
      </c>
      <c r="R52" s="20">
        <f>59.25*E52</f>
        <v>30039.75</v>
      </c>
      <c r="S52" s="23">
        <f>-35*E52</f>
        <v>-17745</v>
      </c>
      <c r="T52" s="29">
        <f>W52*F52*0.0045</f>
        <v>8309.539167347466</v>
      </c>
      <c r="U52" s="20">
        <f>E52*5</f>
        <v>2535</v>
      </c>
      <c r="V52" s="15"/>
      <c r="W52" s="20">
        <f>((O52*F52)+Q52+R52+S52+U52)/G52</f>
        <v>30.557078593588418</v>
      </c>
      <c r="X52" s="20">
        <f>((O52*F52)+Q52+R52+S52+T52+U52)/G52</f>
        <v>30.728940830762095</v>
      </c>
      <c r="Y52" s="25">
        <f t="shared" si="3"/>
        <v>1856949.8944029533</v>
      </c>
      <c r="Z52" s="26">
        <v>42362</v>
      </c>
    </row>
    <row r="53" spans="1:26" s="11" customFormat="1" x14ac:dyDescent="0.25">
      <c r="A53" s="35"/>
      <c r="B53" s="13" t="s">
        <v>25</v>
      </c>
      <c r="C53" s="15" t="s">
        <v>42</v>
      </c>
      <c r="D53" s="14" t="s">
        <v>125</v>
      </c>
      <c r="E53" s="15" t="s">
        <v>43</v>
      </c>
      <c r="F53" s="16">
        <v>18480.45</v>
      </c>
      <c r="G53" s="17">
        <v>18400.13</v>
      </c>
      <c r="H53" s="17">
        <f t="shared" si="2"/>
        <v>-80.319999999999709</v>
      </c>
      <c r="I53" s="14" t="s">
        <v>126</v>
      </c>
      <c r="J53" s="15"/>
      <c r="K53" s="19"/>
      <c r="L53" s="19">
        <v>42349</v>
      </c>
      <c r="M53" s="14" t="s">
        <v>76</v>
      </c>
      <c r="N53" s="15"/>
      <c r="O53" s="20">
        <v>32.5</v>
      </c>
      <c r="P53" s="28"/>
      <c r="Q53" s="20"/>
      <c r="R53" s="20"/>
      <c r="S53" s="23"/>
      <c r="T53" s="29"/>
      <c r="U53" s="20"/>
      <c r="V53" s="20"/>
      <c r="W53" s="20">
        <f t="shared" ref="W53:W58" si="6">IF(O53&gt;0,O53,((P53*2.2046*S53)+(Q53+R53)/G53)+V53)</f>
        <v>32.5</v>
      </c>
      <c r="X53" s="20">
        <f t="shared" ref="X53:X58" si="7">IF(O53&gt;0,O53,((P53*2.2046*S53)+(Q53+R53+T53)/G53)+V53)</f>
        <v>32.5</v>
      </c>
      <c r="Y53" s="25">
        <f t="shared" si="3"/>
        <v>600614.625</v>
      </c>
      <c r="Z53" s="26">
        <v>42352</v>
      </c>
    </row>
    <row r="54" spans="1:26" s="11" customFormat="1" x14ac:dyDescent="0.25">
      <c r="A54" s="35"/>
      <c r="B54" s="13" t="s">
        <v>25</v>
      </c>
      <c r="C54" s="14" t="s">
        <v>32</v>
      </c>
      <c r="D54" s="15" t="s">
        <v>33</v>
      </c>
      <c r="E54" s="15" t="s">
        <v>39</v>
      </c>
      <c r="F54" s="16">
        <f>40791*0.4536</f>
        <v>18502.797600000002</v>
      </c>
      <c r="G54" s="17">
        <v>18488.32</v>
      </c>
      <c r="H54" s="17">
        <f t="shared" si="2"/>
        <v>-14.477600000001985</v>
      </c>
      <c r="I54" s="14" t="s">
        <v>127</v>
      </c>
      <c r="J54" s="18" t="s">
        <v>63</v>
      </c>
      <c r="K54" s="19">
        <v>42349</v>
      </c>
      <c r="L54" s="19">
        <v>42350</v>
      </c>
      <c r="M54" s="14" t="s">
        <v>86</v>
      </c>
      <c r="N54" s="14" t="s">
        <v>128</v>
      </c>
      <c r="O54" s="20"/>
      <c r="P54" s="21">
        <v>0.80169999999999997</v>
      </c>
      <c r="Q54" s="22">
        <v>18500</v>
      </c>
      <c r="R54" s="20">
        <v>8668</v>
      </c>
      <c r="S54" s="23">
        <v>17.399999999999999</v>
      </c>
      <c r="T54" s="29">
        <f>W54*F54*0.005</f>
        <v>2990.3030233386962</v>
      </c>
      <c r="V54" s="20">
        <v>0.1</v>
      </c>
      <c r="W54" s="20">
        <f t="shared" si="6"/>
        <v>32.322712359332037</v>
      </c>
      <c r="X54" s="20">
        <f t="shared" si="7"/>
        <v>32.484452475434459</v>
      </c>
      <c r="Y54" s="25">
        <f t="shared" si="3"/>
        <v>601053.24929978279</v>
      </c>
      <c r="Z54" s="26">
        <v>42361</v>
      </c>
    </row>
    <row r="55" spans="1:26" s="11" customFormat="1" x14ac:dyDescent="0.25">
      <c r="A55" s="35"/>
      <c r="B55" s="13" t="s">
        <v>25</v>
      </c>
      <c r="C55" s="14" t="s">
        <v>32</v>
      </c>
      <c r="D55" s="15" t="s">
        <v>33</v>
      </c>
      <c r="E55" s="15" t="s">
        <v>39</v>
      </c>
      <c r="F55" s="16">
        <f>40583*0.4536</f>
        <v>18408.448800000002</v>
      </c>
      <c r="G55" s="17">
        <v>18386.5</v>
      </c>
      <c r="H55" s="17">
        <f t="shared" si="2"/>
        <v>-21.948800000001938</v>
      </c>
      <c r="I55" s="14" t="s">
        <v>129</v>
      </c>
      <c r="J55" s="18" t="s">
        <v>51</v>
      </c>
      <c r="K55" s="19">
        <v>42349</v>
      </c>
      <c r="L55" s="19">
        <v>42350</v>
      </c>
      <c r="M55" s="14" t="s">
        <v>86</v>
      </c>
      <c r="N55" s="14" t="s">
        <v>128</v>
      </c>
      <c r="O55" s="20"/>
      <c r="P55" s="21">
        <v>0.80169999999999997</v>
      </c>
      <c r="Q55" s="22">
        <v>18500</v>
      </c>
      <c r="R55" s="20">
        <v>8668</v>
      </c>
      <c r="S55" s="23">
        <v>17.2</v>
      </c>
      <c r="T55" s="29">
        <f>W55*F55*0.005</f>
        <v>2943.2683725428788</v>
      </c>
      <c r="V55" s="20">
        <v>0.1</v>
      </c>
      <c r="W55" s="20">
        <f t="shared" si="6"/>
        <v>31.977364356119761</v>
      </c>
      <c r="X55" s="20">
        <f t="shared" si="7"/>
        <v>32.137442042060144</v>
      </c>
      <c r="Y55" s="25">
        <f t="shared" si="3"/>
        <v>591600.45639423165</v>
      </c>
      <c r="Z55" s="26">
        <v>42361</v>
      </c>
    </row>
    <row r="56" spans="1:26" s="11" customFormat="1" x14ac:dyDescent="0.25">
      <c r="A56" s="35"/>
      <c r="B56" s="13" t="s">
        <v>25</v>
      </c>
      <c r="C56" s="14" t="s">
        <v>32</v>
      </c>
      <c r="D56" s="15" t="s">
        <v>33</v>
      </c>
      <c r="E56" s="15" t="s">
        <v>39</v>
      </c>
      <c r="F56" s="16">
        <f>41239*0.4536</f>
        <v>18706.010399999999</v>
      </c>
      <c r="G56" s="17">
        <v>18617.41</v>
      </c>
      <c r="H56" s="17">
        <f t="shared" si="2"/>
        <v>-88.600399999999354</v>
      </c>
      <c r="I56" s="14" t="s">
        <v>130</v>
      </c>
      <c r="J56" s="18" t="s">
        <v>29</v>
      </c>
      <c r="K56" s="19">
        <v>42349</v>
      </c>
      <c r="L56" s="19">
        <v>42350</v>
      </c>
      <c r="M56" s="14" t="s">
        <v>86</v>
      </c>
      <c r="N56" s="14" t="s">
        <v>128</v>
      </c>
      <c r="O56" s="20"/>
      <c r="P56" s="21">
        <f>0.7017+0.1</f>
        <v>0.80169999999999997</v>
      </c>
      <c r="Q56" s="22">
        <v>18500</v>
      </c>
      <c r="R56" s="20">
        <v>8668</v>
      </c>
      <c r="S56" s="23">
        <v>17.2</v>
      </c>
      <c r="T56" s="29">
        <f>W56*F56*0.005</f>
        <v>2989.1304624904496</v>
      </c>
      <c r="V56" s="20">
        <v>0.1</v>
      </c>
      <c r="W56" s="20">
        <f t="shared" si="6"/>
        <v>31.959037748535088</v>
      </c>
      <c r="X56" s="20">
        <f t="shared" si="7"/>
        <v>32.119593403832489</v>
      </c>
      <c r="Y56" s="25">
        <f t="shared" si="3"/>
        <v>600829.44825586188</v>
      </c>
      <c r="Z56" s="26">
        <v>42361</v>
      </c>
    </row>
    <row r="57" spans="1:26" s="11" customFormat="1" x14ac:dyDescent="0.25">
      <c r="A57" s="35"/>
      <c r="B57" s="13" t="s">
        <v>25</v>
      </c>
      <c r="C57" s="14" t="s">
        <v>42</v>
      </c>
      <c r="D57" s="14" t="s">
        <v>42</v>
      </c>
      <c r="E57" s="15" t="s">
        <v>43</v>
      </c>
      <c r="F57" s="16">
        <f>41503*0.4536</f>
        <v>18825.7608</v>
      </c>
      <c r="G57" s="17">
        <v>18770.13</v>
      </c>
      <c r="H57" s="17">
        <f t="shared" si="2"/>
        <v>-55.630799999998999</v>
      </c>
      <c r="I57" s="14" t="s">
        <v>131</v>
      </c>
      <c r="J57" s="18" t="s">
        <v>63</v>
      </c>
      <c r="K57" s="19">
        <v>42349</v>
      </c>
      <c r="L57" s="19">
        <v>42350</v>
      </c>
      <c r="M57" s="14" t="s">
        <v>86</v>
      </c>
      <c r="N57" s="14" t="s">
        <v>132</v>
      </c>
      <c r="O57" s="20"/>
      <c r="P57" s="21">
        <f>0.7017+0.1075</f>
        <v>0.80920000000000003</v>
      </c>
      <c r="Q57" s="22">
        <v>18500</v>
      </c>
      <c r="R57" s="20">
        <v>8668</v>
      </c>
      <c r="S57" s="23">
        <v>16.559999999999999</v>
      </c>
      <c r="T57" s="29">
        <f>W57*F57*0.005</f>
        <v>2926.4477693442996</v>
      </c>
      <c r="V57" s="20">
        <v>0.1</v>
      </c>
      <c r="W57" s="20">
        <f t="shared" si="6"/>
        <v>31.08982208404878</v>
      </c>
      <c r="X57" s="20">
        <f t="shared" si="7"/>
        <v>31.24573191362078</v>
      </c>
      <c r="Y57" s="25">
        <f t="shared" si="3"/>
        <v>588224.67502675112</v>
      </c>
      <c r="Z57" s="26">
        <v>42342</v>
      </c>
    </row>
    <row r="58" spans="1:26" s="11" customFormat="1" x14ac:dyDescent="0.25">
      <c r="A58" s="35"/>
      <c r="B58" s="13" t="s">
        <v>25</v>
      </c>
      <c r="C58" s="14" t="s">
        <v>42</v>
      </c>
      <c r="D58" s="14" t="s">
        <v>89</v>
      </c>
      <c r="E58" s="15" t="s">
        <v>43</v>
      </c>
      <c r="F58" s="16">
        <v>18891.408800000001</v>
      </c>
      <c r="G58" s="17">
        <v>18850.13</v>
      </c>
      <c r="H58" s="17">
        <f t="shared" si="2"/>
        <v>-41.278800000000047</v>
      </c>
      <c r="I58" s="14" t="s">
        <v>133</v>
      </c>
      <c r="J58" s="15"/>
      <c r="K58" s="19">
        <v>42349</v>
      </c>
      <c r="L58" s="19">
        <v>42351</v>
      </c>
      <c r="M58" s="14" t="s">
        <v>95</v>
      </c>
      <c r="N58" s="14"/>
      <c r="O58" s="20">
        <v>32.700000000000003</v>
      </c>
      <c r="P58" s="21"/>
      <c r="Q58" s="20"/>
      <c r="R58" s="20"/>
      <c r="S58" s="23"/>
      <c r="T58" s="29"/>
      <c r="U58" s="48"/>
      <c r="V58" s="20"/>
      <c r="W58" s="20">
        <f t="shared" si="6"/>
        <v>32.700000000000003</v>
      </c>
      <c r="X58" s="20">
        <f t="shared" si="7"/>
        <v>32.700000000000003</v>
      </c>
      <c r="Y58" s="25">
        <f t="shared" si="3"/>
        <v>617749.06776000012</v>
      </c>
      <c r="Z58" s="26">
        <v>42366</v>
      </c>
    </row>
    <row r="59" spans="1:26" s="11" customFormat="1" ht="15.75" thickBot="1" x14ac:dyDescent="0.3">
      <c r="A59" s="35"/>
      <c r="B59" s="32"/>
      <c r="C59" s="3"/>
      <c r="D59" s="3"/>
      <c r="E59" s="3"/>
      <c r="F59" s="33"/>
      <c r="G59" s="33"/>
      <c r="H59" s="33"/>
      <c r="I59" s="5"/>
      <c r="J59" s="3"/>
      <c r="K59" s="6"/>
      <c r="L59" s="6"/>
      <c r="M59" s="3"/>
      <c r="N59" s="3"/>
      <c r="O59" s="7"/>
      <c r="P59" s="8"/>
      <c r="Q59" s="7"/>
      <c r="R59" s="7"/>
      <c r="S59" s="7"/>
      <c r="T59" s="7"/>
      <c r="U59" s="7"/>
      <c r="V59" s="7"/>
      <c r="W59" s="7"/>
      <c r="X59" s="7"/>
      <c r="Y59" s="7"/>
      <c r="Z59" s="34"/>
    </row>
    <row r="60" spans="1:26" s="11" customFormat="1" x14ac:dyDescent="0.25">
      <c r="A60" s="49"/>
      <c r="B60" s="36" t="s">
        <v>46</v>
      </c>
      <c r="C60" s="37" t="s">
        <v>47</v>
      </c>
      <c r="D60" s="38" t="s">
        <v>48</v>
      </c>
      <c r="E60" s="37">
        <v>248</v>
      </c>
      <c r="F60" s="39">
        <v>29705</v>
      </c>
      <c r="G60" s="40">
        <f>23140+425</f>
        <v>23565</v>
      </c>
      <c r="H60" s="40">
        <f t="shared" ref="H60:H89" si="8">G60-F60</f>
        <v>-6140</v>
      </c>
      <c r="I60" s="38" t="s">
        <v>134</v>
      </c>
      <c r="J60" s="37"/>
      <c r="K60" s="41"/>
      <c r="L60" s="41">
        <v>42351</v>
      </c>
      <c r="M60" s="38" t="s">
        <v>95</v>
      </c>
      <c r="N60" s="37"/>
      <c r="O60" s="42">
        <v>24</v>
      </c>
      <c r="P60" s="43"/>
      <c r="Q60" s="44">
        <v>16500</v>
      </c>
      <c r="R60" s="42">
        <f>59.25*E60</f>
        <v>14694</v>
      </c>
      <c r="S60" s="23">
        <f>-35*E60</f>
        <v>-8680</v>
      </c>
      <c r="T60" s="45">
        <f>W60*F60*0.0045</f>
        <v>4178.7844373010821</v>
      </c>
      <c r="U60" s="42">
        <f>E60*5</f>
        <v>1240</v>
      </c>
      <c r="V60" s="37"/>
      <c r="W60" s="42">
        <f>((O60*F60)+Q60+R60+S60+U60)/G60</f>
        <v>31.261362189688096</v>
      </c>
      <c r="X60" s="42">
        <f>((O60*F60)+Q60+R60+S60+T60+U60)/G60</f>
        <v>31.438692316456656</v>
      </c>
      <c r="Y60" s="46">
        <f t="shared" ref="Y60:Y89" si="9">X60*F60</f>
        <v>933886.35526034492</v>
      </c>
      <c r="Z60" s="47">
        <v>42366</v>
      </c>
    </row>
    <row r="61" spans="1:26" s="11" customFormat="1" x14ac:dyDescent="0.25">
      <c r="A61" s="49"/>
      <c r="B61" s="13" t="s">
        <v>46</v>
      </c>
      <c r="C61" s="15" t="s">
        <v>47</v>
      </c>
      <c r="D61" s="14" t="s">
        <v>73</v>
      </c>
      <c r="E61" s="15">
        <v>130</v>
      </c>
      <c r="F61" s="16">
        <v>14730</v>
      </c>
      <c r="G61" s="17">
        <f>12110-425</f>
        <v>11685</v>
      </c>
      <c r="H61" s="17">
        <f t="shared" si="8"/>
        <v>-3045</v>
      </c>
      <c r="I61" s="14" t="s">
        <v>135</v>
      </c>
      <c r="J61" s="15"/>
      <c r="K61" s="19"/>
      <c r="L61" s="19">
        <v>42351</v>
      </c>
      <c r="M61" s="14" t="s">
        <v>95</v>
      </c>
      <c r="N61" s="15"/>
      <c r="O61" s="20">
        <v>24</v>
      </c>
      <c r="P61" s="28"/>
      <c r="Q61" s="22">
        <v>13000</v>
      </c>
      <c r="R61" s="20">
        <f>59.25*E61</f>
        <v>7702.5</v>
      </c>
      <c r="S61" s="23">
        <f>-35*E61</f>
        <v>-4550</v>
      </c>
      <c r="T61" s="29">
        <f>W61*F61*0.0045</f>
        <v>2100.7126155327342</v>
      </c>
      <c r="U61" s="20">
        <f>E61*5</f>
        <v>650</v>
      </c>
      <c r="V61" s="15"/>
      <c r="W61" s="20">
        <f>((O61*F61)+Q61+R61+S61+U61)/G61</f>
        <v>31.692126658108688</v>
      </c>
      <c r="X61" s="20">
        <f>((O61*F61)+Q61+R61+S61+T61+U61)/G61</f>
        <v>31.871905230255262</v>
      </c>
      <c r="Y61" s="25">
        <f t="shared" si="9"/>
        <v>469473.16404166003</v>
      </c>
      <c r="Z61" s="26">
        <v>42366</v>
      </c>
    </row>
    <row r="62" spans="1:26" s="11" customFormat="1" x14ac:dyDescent="0.25">
      <c r="A62" s="49"/>
      <c r="B62" s="13" t="s">
        <v>46</v>
      </c>
      <c r="C62" s="15" t="s">
        <v>47</v>
      </c>
      <c r="D62" s="14" t="s">
        <v>48</v>
      </c>
      <c r="E62" s="15">
        <v>250</v>
      </c>
      <c r="F62" s="16">
        <v>29485</v>
      </c>
      <c r="G62" s="17">
        <v>23420</v>
      </c>
      <c r="H62" s="17">
        <f t="shared" si="8"/>
        <v>-6065</v>
      </c>
      <c r="I62" s="14" t="s">
        <v>136</v>
      </c>
      <c r="J62" s="15"/>
      <c r="K62" s="19"/>
      <c r="L62" s="19">
        <v>42352</v>
      </c>
      <c r="M62" s="14" t="s">
        <v>98</v>
      </c>
      <c r="N62" s="15"/>
      <c r="O62" s="20">
        <v>24</v>
      </c>
      <c r="P62" s="28"/>
      <c r="Q62" s="22">
        <v>16500</v>
      </c>
      <c r="R62" s="20">
        <f>59.25*E62</f>
        <v>14812.5</v>
      </c>
      <c r="S62" s="23">
        <f>-35*E62</f>
        <v>-8750</v>
      </c>
      <c r="T62" s="29">
        <f>W62*F62*0.0045</f>
        <v>4143.9345145708794</v>
      </c>
      <c r="U62" s="20">
        <f>E62*5</f>
        <v>1250</v>
      </c>
      <c r="V62" s="15"/>
      <c r="W62" s="20">
        <f>((O62*F62)+Q62+R62+S62+U62)/G62</f>
        <v>31.231959863364647</v>
      </c>
      <c r="X62" s="20">
        <f>((O62*F62)+Q62+R62+S62+T62+U62)/G62</f>
        <v>31.408899851177235</v>
      </c>
      <c r="Y62" s="25">
        <f t="shared" si="9"/>
        <v>926091.41211196082</v>
      </c>
      <c r="Z62" s="26">
        <v>42366</v>
      </c>
    </row>
    <row r="63" spans="1:26" s="11" customFormat="1" x14ac:dyDescent="0.25">
      <c r="A63" s="49"/>
      <c r="B63" s="13" t="s">
        <v>46</v>
      </c>
      <c r="C63" s="15" t="s">
        <v>47</v>
      </c>
      <c r="D63" s="14" t="s">
        <v>48</v>
      </c>
      <c r="E63" s="15">
        <v>129</v>
      </c>
      <c r="F63" s="16">
        <v>14365</v>
      </c>
      <c r="G63" s="17">
        <v>11650</v>
      </c>
      <c r="H63" s="17">
        <f t="shared" si="8"/>
        <v>-2715</v>
      </c>
      <c r="I63" s="14" t="s">
        <v>137</v>
      </c>
      <c r="J63" s="15"/>
      <c r="K63" s="19"/>
      <c r="L63" s="19">
        <v>42352</v>
      </c>
      <c r="M63" s="14" t="s">
        <v>98</v>
      </c>
      <c r="N63" s="15"/>
      <c r="O63" s="20">
        <v>24</v>
      </c>
      <c r="P63" s="28"/>
      <c r="Q63" s="22">
        <v>13000</v>
      </c>
      <c r="R63" s="20">
        <f>59.25*E63</f>
        <v>7643.25</v>
      </c>
      <c r="S63" s="23">
        <f>-35*E63</f>
        <v>-4515</v>
      </c>
      <c r="T63" s="29">
        <f>W63*F63*0.0045</f>
        <v>2006.0440440450641</v>
      </c>
      <c r="U63" s="20">
        <f>E63*5</f>
        <v>645</v>
      </c>
      <c r="V63" s="15"/>
      <c r="W63" s="20">
        <f>((O63*F63)+Q63+R63+S63+U63)/G63</f>
        <v>31.032896995708153</v>
      </c>
      <c r="X63" s="20">
        <f>((O63*F63)+Q63+R63+S63+T63+U63)/G63</f>
        <v>31.205089617514599</v>
      </c>
      <c r="Y63" s="25">
        <f t="shared" si="9"/>
        <v>448261.1123555972</v>
      </c>
      <c r="Z63" s="26">
        <v>42366</v>
      </c>
    </row>
    <row r="64" spans="1:26" s="11" customFormat="1" x14ac:dyDescent="0.25">
      <c r="A64" s="49"/>
      <c r="B64" s="13" t="s">
        <v>25</v>
      </c>
      <c r="C64" s="15" t="s">
        <v>42</v>
      </c>
      <c r="D64" s="14" t="s">
        <v>69</v>
      </c>
      <c r="E64" s="15" t="s">
        <v>43</v>
      </c>
      <c r="F64" s="16">
        <f>40568*0.4536</f>
        <v>18401.644800000002</v>
      </c>
      <c r="G64" s="17">
        <v>18330.13</v>
      </c>
      <c r="H64" s="17">
        <f t="shared" si="8"/>
        <v>-71.514800000000832</v>
      </c>
      <c r="I64" s="14">
        <v>5333</v>
      </c>
      <c r="J64" s="15"/>
      <c r="K64" s="19"/>
      <c r="L64" s="19">
        <v>42352</v>
      </c>
      <c r="M64" s="14" t="s">
        <v>98</v>
      </c>
      <c r="N64" s="15" t="s">
        <v>138</v>
      </c>
      <c r="O64" s="20"/>
      <c r="P64" s="21">
        <f>0.7017+0.15</f>
        <v>0.85170000000000001</v>
      </c>
      <c r="Q64" s="20"/>
      <c r="R64" s="20"/>
      <c r="S64" s="23">
        <v>17.37</v>
      </c>
      <c r="T64" s="29"/>
      <c r="V64" s="20"/>
      <c r="W64" s="20">
        <f t="shared" ref="W64:W70" si="10">IF(O64&gt;0,O64,((P64*2.2046*S64)+(Q64+R64)/G64)+V64)</f>
        <v>32.614916333400004</v>
      </c>
      <c r="X64" s="20">
        <f t="shared" ref="X64:X70" si="11">IF(O64&gt;0,O64,((P64*2.2046*S64)+(Q64+R64+T64)/G64)+V64)</f>
        <v>32.614916333400004</v>
      </c>
      <c r="Y64" s="25">
        <f t="shared" si="9"/>
        <v>600168.10554894526</v>
      </c>
      <c r="Z64" s="26">
        <v>42359</v>
      </c>
    </row>
    <row r="65" spans="1:26" s="11" customFormat="1" x14ac:dyDescent="0.25">
      <c r="A65" s="49"/>
      <c r="B65" s="13" t="s">
        <v>25</v>
      </c>
      <c r="C65" s="14" t="s">
        <v>26</v>
      </c>
      <c r="D65" s="14" t="s">
        <v>26</v>
      </c>
      <c r="E65" s="15" t="s">
        <v>27</v>
      </c>
      <c r="F65" s="16">
        <f>42688*0.4536</f>
        <v>19363.2768</v>
      </c>
      <c r="G65" s="17">
        <v>19176.55</v>
      </c>
      <c r="H65" s="17">
        <f t="shared" si="8"/>
        <v>-186.72680000000037</v>
      </c>
      <c r="I65" s="14" t="s">
        <v>139</v>
      </c>
      <c r="J65" s="18" t="s">
        <v>29</v>
      </c>
      <c r="K65" s="19">
        <v>42352</v>
      </c>
      <c r="L65" s="19">
        <v>42353</v>
      </c>
      <c r="M65" s="14" t="s">
        <v>30</v>
      </c>
      <c r="N65" s="14" t="s">
        <v>140</v>
      </c>
      <c r="O65" s="20"/>
      <c r="P65" s="21">
        <f>0.703+0.105</f>
        <v>0.80799999999999994</v>
      </c>
      <c r="Q65" s="22">
        <v>18500</v>
      </c>
      <c r="R65" s="20">
        <v>8707</v>
      </c>
      <c r="S65" s="23">
        <v>16.87</v>
      </c>
      <c r="T65" s="29">
        <f t="shared" ref="T65:T70" si="12">W65*F65*0.005</f>
        <v>3056.4524327797612</v>
      </c>
      <c r="V65" s="20">
        <v>0.1</v>
      </c>
      <c r="W65" s="20">
        <f t="shared" si="10"/>
        <v>31.569578479400356</v>
      </c>
      <c r="X65" s="20">
        <f t="shared" si="11"/>
        <v>31.728963375681477</v>
      </c>
      <c r="Y65" s="25">
        <f t="shared" si="9"/>
        <v>614376.70042038278</v>
      </c>
      <c r="Z65" s="26">
        <v>42345</v>
      </c>
    </row>
    <row r="66" spans="1:26" s="11" customFormat="1" x14ac:dyDescent="0.25">
      <c r="A66" s="49"/>
      <c r="B66" s="13" t="s">
        <v>25</v>
      </c>
      <c r="C66" s="15" t="s">
        <v>32</v>
      </c>
      <c r="D66" s="15" t="s">
        <v>33</v>
      </c>
      <c r="E66" s="15" t="s">
        <v>34</v>
      </c>
      <c r="F66" s="16">
        <f>37167*0.4536</f>
        <v>16858.9512</v>
      </c>
      <c r="G66" s="17">
        <f>18556-1711</f>
        <v>16845</v>
      </c>
      <c r="H66" s="17">
        <f t="shared" si="8"/>
        <v>-13.951199999999517</v>
      </c>
      <c r="I66" s="14" t="s">
        <v>141</v>
      </c>
      <c r="J66" s="18" t="s">
        <v>66</v>
      </c>
      <c r="K66" s="19">
        <v>42353</v>
      </c>
      <c r="L66" s="19">
        <v>42354</v>
      </c>
      <c r="M66" s="14" t="s">
        <v>52</v>
      </c>
      <c r="N66" s="14" t="s">
        <v>142</v>
      </c>
      <c r="O66" s="20"/>
      <c r="P66" s="21">
        <f>0.703+0.1</f>
        <v>0.80299999999999994</v>
      </c>
      <c r="Q66" s="22">
        <f>(18500*G66)/(G66+G67)</f>
        <v>16794.163612847595</v>
      </c>
      <c r="R66" s="20">
        <f>(8707*G66)/(G66+G67)</f>
        <v>7904.1504095710279</v>
      </c>
      <c r="S66" s="23">
        <v>17.29</v>
      </c>
      <c r="T66" s="29">
        <f t="shared" si="12"/>
        <v>2712.1492296489882</v>
      </c>
      <c r="V66" s="20">
        <v>0.1</v>
      </c>
      <c r="W66" s="20">
        <f t="shared" si="10"/>
        <v>32.174590192170292</v>
      </c>
      <c r="X66" s="20">
        <f t="shared" si="11"/>
        <v>32.335596379742213</v>
      </c>
      <c r="Y66" s="25">
        <f t="shared" si="9"/>
        <v>545144.24138897064</v>
      </c>
      <c r="Z66" s="26">
        <v>42367</v>
      </c>
    </row>
    <row r="67" spans="1:26" s="11" customFormat="1" x14ac:dyDescent="0.25">
      <c r="A67" s="49"/>
      <c r="B67" s="13" t="s">
        <v>37</v>
      </c>
      <c r="C67" s="14" t="s">
        <v>32</v>
      </c>
      <c r="D67" s="14" t="s">
        <v>33</v>
      </c>
      <c r="E67" s="15" t="s">
        <v>38</v>
      </c>
      <c r="F67" s="16">
        <f>3775*0.4536</f>
        <v>1712.34</v>
      </c>
      <c r="G67" s="17">
        <v>1711</v>
      </c>
      <c r="H67" s="17">
        <f t="shared" si="8"/>
        <v>-1.3399999999999181</v>
      </c>
      <c r="I67" s="14"/>
      <c r="J67" s="15"/>
      <c r="K67" s="19">
        <v>42352</v>
      </c>
      <c r="L67" s="19">
        <v>42354</v>
      </c>
      <c r="M67" s="14" t="s">
        <v>52</v>
      </c>
      <c r="N67" s="14"/>
      <c r="O67" s="20"/>
      <c r="P67" s="21">
        <v>0.4</v>
      </c>
      <c r="Q67" s="22">
        <f>(18500*G67)/(G67+G66)</f>
        <v>1705.8363871524036</v>
      </c>
      <c r="R67" s="20">
        <f>(8707*G67)/(G67+G66)</f>
        <v>802.84959042897174</v>
      </c>
      <c r="S67" s="23">
        <v>17.29</v>
      </c>
      <c r="T67" s="29">
        <f t="shared" si="12"/>
        <v>143.94977983664103</v>
      </c>
      <c r="V67" s="20">
        <v>0.1</v>
      </c>
      <c r="W67" s="20">
        <f t="shared" si="10"/>
        <v>16.813223990170297</v>
      </c>
      <c r="X67" s="20">
        <f t="shared" si="11"/>
        <v>16.897355947994168</v>
      </c>
      <c r="Y67" s="25">
        <f t="shared" si="9"/>
        <v>28934.018483988333</v>
      </c>
      <c r="Z67" s="26">
        <v>42367</v>
      </c>
    </row>
    <row r="68" spans="1:26" s="11" customFormat="1" x14ac:dyDescent="0.25">
      <c r="A68" s="49"/>
      <c r="B68" s="13" t="s">
        <v>25</v>
      </c>
      <c r="C68" s="15" t="s">
        <v>32</v>
      </c>
      <c r="D68" s="15" t="s">
        <v>33</v>
      </c>
      <c r="E68" s="15" t="s">
        <v>39</v>
      </c>
      <c r="F68" s="16">
        <f>41520*0.4536</f>
        <v>18833.472000000002</v>
      </c>
      <c r="G68" s="17">
        <v>18806.96</v>
      </c>
      <c r="H68" s="17">
        <f t="shared" si="8"/>
        <v>-26.512000000002445</v>
      </c>
      <c r="I68" s="14" t="s">
        <v>143</v>
      </c>
      <c r="J68" s="18" t="s">
        <v>41</v>
      </c>
      <c r="K68" s="19">
        <v>42352</v>
      </c>
      <c r="L68" s="19">
        <v>42353</v>
      </c>
      <c r="M68" s="14" t="s">
        <v>30</v>
      </c>
      <c r="N68" s="14" t="s">
        <v>142</v>
      </c>
      <c r="O68" s="20"/>
      <c r="P68" s="21">
        <v>0.80300000000000005</v>
      </c>
      <c r="Q68" s="22">
        <v>18500</v>
      </c>
      <c r="R68" s="20">
        <v>8707</v>
      </c>
      <c r="S68" s="23">
        <v>17.29</v>
      </c>
      <c r="T68" s="29">
        <f t="shared" si="12"/>
        <v>3027.9538231305778</v>
      </c>
      <c r="V68" s="20">
        <v>0.1</v>
      </c>
      <c r="W68" s="20">
        <f t="shared" si="10"/>
        <v>32.155025086511692</v>
      </c>
      <c r="X68" s="20">
        <f t="shared" si="11"/>
        <v>32.316026855172368</v>
      </c>
      <c r="Y68" s="25">
        <f t="shared" si="9"/>
        <v>608622.9869281369</v>
      </c>
      <c r="Z68" s="26">
        <v>42362</v>
      </c>
    </row>
    <row r="69" spans="1:26" s="11" customFormat="1" x14ac:dyDescent="0.25">
      <c r="A69" s="49"/>
      <c r="B69" s="13" t="s">
        <v>25</v>
      </c>
      <c r="C69" s="15" t="s">
        <v>32</v>
      </c>
      <c r="D69" s="15" t="s">
        <v>33</v>
      </c>
      <c r="E69" s="15" t="s">
        <v>27</v>
      </c>
      <c r="F69" s="16">
        <f>42490*0.4536</f>
        <v>19273.464</v>
      </c>
      <c r="G69" s="17">
        <v>19336.03</v>
      </c>
      <c r="H69" s="17">
        <f t="shared" si="8"/>
        <v>62.565999999998894</v>
      </c>
      <c r="I69" s="14" t="s">
        <v>144</v>
      </c>
      <c r="J69" s="18" t="s">
        <v>55</v>
      </c>
      <c r="K69" s="19">
        <v>42352</v>
      </c>
      <c r="L69" s="19">
        <v>42353</v>
      </c>
      <c r="M69" s="14" t="s">
        <v>30</v>
      </c>
      <c r="N69" s="14" t="s">
        <v>145</v>
      </c>
      <c r="O69" s="20"/>
      <c r="P69" s="21">
        <f>0.7044+0.1</f>
        <v>0.8044</v>
      </c>
      <c r="Q69" s="22">
        <v>18500</v>
      </c>
      <c r="R69" s="20">
        <v>8707</v>
      </c>
      <c r="S69" s="23">
        <v>17.29</v>
      </c>
      <c r="T69" s="29">
        <f t="shared" si="12"/>
        <v>3100.0216901780946</v>
      </c>
      <c r="V69" s="20">
        <v>0.1</v>
      </c>
      <c r="W69" s="20">
        <f t="shared" si="10"/>
        <v>32.168806709350164</v>
      </c>
      <c r="X69" s="20">
        <f t="shared" si="11"/>
        <v>32.329130296465934</v>
      </c>
      <c r="Y69" s="25">
        <f t="shared" si="9"/>
        <v>623094.32892024552</v>
      </c>
      <c r="Z69" s="26">
        <v>42362</v>
      </c>
    </row>
    <row r="70" spans="1:26" s="11" customFormat="1" x14ac:dyDescent="0.25">
      <c r="A70" s="49"/>
      <c r="B70" s="13" t="s">
        <v>25</v>
      </c>
      <c r="C70" s="14" t="s">
        <v>42</v>
      </c>
      <c r="D70" s="14" t="s">
        <v>42</v>
      </c>
      <c r="E70" s="15" t="s">
        <v>43</v>
      </c>
      <c r="F70" s="16">
        <f>40632*0.4536</f>
        <v>18430.675200000001</v>
      </c>
      <c r="G70" s="17">
        <v>18380.13</v>
      </c>
      <c r="H70" s="17">
        <f t="shared" si="8"/>
        <v>-50.545200000000477</v>
      </c>
      <c r="I70" s="14" t="s">
        <v>146</v>
      </c>
      <c r="J70" s="18" t="s">
        <v>29</v>
      </c>
      <c r="K70" s="19">
        <v>42352</v>
      </c>
      <c r="L70" s="19">
        <v>42354</v>
      </c>
      <c r="M70" s="14" t="s">
        <v>52</v>
      </c>
      <c r="N70" s="14" t="s">
        <v>147</v>
      </c>
      <c r="O70" s="20"/>
      <c r="P70" s="21">
        <f>0.703+0.1075</f>
        <v>0.8105</v>
      </c>
      <c r="Q70" s="22">
        <v>18500</v>
      </c>
      <c r="R70" s="20">
        <v>8707</v>
      </c>
      <c r="S70" s="23">
        <v>16.997</v>
      </c>
      <c r="T70" s="29">
        <f t="shared" si="12"/>
        <v>2944.3888689185733</v>
      </c>
      <c r="V70" s="20">
        <v>0.1</v>
      </c>
      <c r="W70" s="20">
        <f t="shared" si="10"/>
        <v>31.95096041753883</v>
      </c>
      <c r="X70" s="20">
        <f t="shared" si="11"/>
        <v>32.111154543963323</v>
      </c>
      <c r="Y70" s="25">
        <f t="shared" si="9"/>
        <v>591830.25969679223</v>
      </c>
      <c r="Z70" s="26">
        <v>42347</v>
      </c>
    </row>
    <row r="71" spans="1:26" s="11" customFormat="1" x14ac:dyDescent="0.25">
      <c r="A71" s="49"/>
      <c r="B71" s="13" t="s">
        <v>46</v>
      </c>
      <c r="C71" s="15" t="s">
        <v>47</v>
      </c>
      <c r="D71" s="14" t="s">
        <v>48</v>
      </c>
      <c r="E71" s="15">
        <v>230</v>
      </c>
      <c r="F71" s="16">
        <f>27705-2114</f>
        <v>25591</v>
      </c>
      <c r="G71" s="17">
        <f>9070+11500</f>
        <v>20570</v>
      </c>
      <c r="H71" s="17">
        <f t="shared" si="8"/>
        <v>-5021</v>
      </c>
      <c r="I71" s="14" t="s">
        <v>148</v>
      </c>
      <c r="J71" s="15"/>
      <c r="K71" s="19"/>
      <c r="L71" s="19">
        <v>42353</v>
      </c>
      <c r="M71" s="14" t="s">
        <v>30</v>
      </c>
      <c r="N71" s="15"/>
      <c r="O71" s="20">
        <v>24</v>
      </c>
      <c r="P71" s="28"/>
      <c r="Q71" s="22">
        <v>16500</v>
      </c>
      <c r="R71" s="20">
        <f>59.25*E71</f>
        <v>13627.5</v>
      </c>
      <c r="S71" s="23">
        <f>-35*E71</f>
        <v>-8050</v>
      </c>
      <c r="T71" s="29">
        <f>W71*F71*0.0045</f>
        <v>3568.4973084224598</v>
      </c>
      <c r="U71" s="20">
        <f>E71*5</f>
        <v>1150</v>
      </c>
      <c r="V71" s="15"/>
      <c r="W71" s="20">
        <f>((O71*F71)+Q71+R71+S71+U71)/G71</f>
        <v>30.987433155080215</v>
      </c>
      <c r="X71" s="20">
        <f>((O71*F71)+Q71+R71+S71+T71+U71)/G71</f>
        <v>31.160913821508142</v>
      </c>
      <c r="Y71" s="25">
        <f t="shared" si="9"/>
        <v>797438.94560621493</v>
      </c>
      <c r="Z71" s="26">
        <v>42366</v>
      </c>
    </row>
    <row r="72" spans="1:26" s="11" customFormat="1" x14ac:dyDescent="0.25">
      <c r="A72" s="49"/>
      <c r="B72" s="13" t="s">
        <v>46</v>
      </c>
      <c r="C72" s="15" t="s">
        <v>47</v>
      </c>
      <c r="D72" s="14" t="s">
        <v>48</v>
      </c>
      <c r="E72" s="15">
        <v>119</v>
      </c>
      <c r="F72" s="16">
        <f>15165-1283</f>
        <v>13882</v>
      </c>
      <c r="G72" s="17">
        <v>11020</v>
      </c>
      <c r="H72" s="17">
        <f t="shared" si="8"/>
        <v>-2862</v>
      </c>
      <c r="I72" s="14" t="s">
        <v>149</v>
      </c>
      <c r="J72" s="15"/>
      <c r="K72" s="19"/>
      <c r="L72" s="19">
        <v>42353</v>
      </c>
      <c r="M72" s="14" t="s">
        <v>30</v>
      </c>
      <c r="N72" s="15"/>
      <c r="O72" s="20">
        <v>24</v>
      </c>
      <c r="P72" s="28"/>
      <c r="Q72" s="22">
        <v>13000</v>
      </c>
      <c r="R72" s="20">
        <f>59.25*E72</f>
        <v>7050.75</v>
      </c>
      <c r="S72" s="23">
        <f>-35*E72</f>
        <v>-4165</v>
      </c>
      <c r="T72" s="29">
        <f>W72*F72*0.0045</f>
        <v>1982.0515212114335</v>
      </c>
      <c r="U72" s="20">
        <f>E72*5</f>
        <v>595</v>
      </c>
      <c r="V72" s="15"/>
      <c r="W72" s="20">
        <f>((O72*F72)+Q72+R72+S72+U72)/G72</f>
        <v>31.728561705989112</v>
      </c>
      <c r="X72" s="20">
        <f>((O72*F72)+Q72+R72+S72+T72+U72)/G72</f>
        <v>31.908421190672545</v>
      </c>
      <c r="Y72" s="25">
        <f t="shared" si="9"/>
        <v>442952.70296891627</v>
      </c>
      <c r="Z72" s="26">
        <v>42366</v>
      </c>
    </row>
    <row r="73" spans="1:26" s="11" customFormat="1" x14ac:dyDescent="0.25">
      <c r="A73" s="49"/>
      <c r="B73" s="13" t="s">
        <v>25</v>
      </c>
      <c r="C73" s="15" t="s">
        <v>32</v>
      </c>
      <c r="D73" s="15" t="s">
        <v>33</v>
      </c>
      <c r="E73" s="15" t="s">
        <v>150</v>
      </c>
      <c r="F73" s="16">
        <f>36622*0.4536</f>
        <v>16611.7392</v>
      </c>
      <c r="G73" s="17">
        <f>18290.11-1656</f>
        <v>16634.11</v>
      </c>
      <c r="H73" s="17">
        <f t="shared" si="8"/>
        <v>22.3708000000006</v>
      </c>
      <c r="I73" s="14" t="s">
        <v>151</v>
      </c>
      <c r="J73" s="18" t="s">
        <v>51</v>
      </c>
      <c r="K73" s="19">
        <v>42353</v>
      </c>
      <c r="L73" s="19">
        <v>42354</v>
      </c>
      <c r="M73" s="14" t="s">
        <v>52</v>
      </c>
      <c r="N73" s="14" t="s">
        <v>142</v>
      </c>
      <c r="O73" s="20"/>
      <c r="P73" s="21">
        <v>0.80300000000000005</v>
      </c>
      <c r="Q73" s="22">
        <f>(18500*G73)/(G73+G74)</f>
        <v>16824.99640516104</v>
      </c>
      <c r="R73" s="20">
        <f>(8681*G73)/(G73+G74)</f>
        <v>7895.015880713675</v>
      </c>
      <c r="S73" s="23">
        <v>17.29</v>
      </c>
      <c r="T73" s="29">
        <f>W73*F73*0.005</f>
        <v>2674.0318174138556</v>
      </c>
      <c r="V73" s="20">
        <v>0.1</v>
      </c>
      <c r="W73" s="20">
        <f>IF(O73&gt;0,O73,((P73*2.2046*S73)+(Q73+R73)/G73)+V73)</f>
        <v>32.194483494104645</v>
      </c>
      <c r="X73" s="20">
        <f>IF(O73&gt;0,O73,((P73*2.2046*S73)+(Q73+R73+T73)/G73)+V73)</f>
        <v>32.355239423782507</v>
      </c>
      <c r="Y73" s="25">
        <f t="shared" si="9"/>
        <v>537476.7990614333</v>
      </c>
      <c r="Z73" s="26">
        <v>42367</v>
      </c>
    </row>
    <row r="74" spans="1:26" s="11" customFormat="1" x14ac:dyDescent="0.25">
      <c r="A74" s="49"/>
      <c r="B74" s="13" t="s">
        <v>37</v>
      </c>
      <c r="C74" s="15" t="s">
        <v>32</v>
      </c>
      <c r="D74" s="14" t="s">
        <v>33</v>
      </c>
      <c r="E74" s="15" t="s">
        <v>38</v>
      </c>
      <c r="F74" s="16">
        <f>3649*0.4536</f>
        <v>1655.1864</v>
      </c>
      <c r="G74" s="17">
        <v>1656</v>
      </c>
      <c r="H74" s="17">
        <f t="shared" si="8"/>
        <v>0.81359999999995125</v>
      </c>
      <c r="I74" s="14"/>
      <c r="J74" s="15"/>
      <c r="K74" s="19">
        <v>42353</v>
      </c>
      <c r="L74" s="19">
        <v>42354</v>
      </c>
      <c r="M74" s="14" t="s">
        <v>52</v>
      </c>
      <c r="N74" s="14"/>
      <c r="O74" s="20"/>
      <c r="P74" s="21">
        <v>0.4</v>
      </c>
      <c r="Q74" s="22">
        <f>(18500*G74)/(G74+G73)</f>
        <v>1675.0035948389593</v>
      </c>
      <c r="R74" s="20">
        <f>(8681*G74)/(G74+G73)</f>
        <v>785.9841192863247</v>
      </c>
      <c r="S74" s="23">
        <v>17.29</v>
      </c>
      <c r="T74" s="29">
        <f>W74*F74*0.005</f>
        <v>139.30973405748216</v>
      </c>
      <c r="V74" s="20">
        <v>0.1</v>
      </c>
      <c r="W74" s="20">
        <f>IF(O74&gt;0,O74,((P74*2.2046*S74)+(Q74+R74)/G74)+V74)</f>
        <v>16.833117292104642</v>
      </c>
      <c r="X74" s="20">
        <f>IF(O74&gt;0,O74,((P74*2.2046*S74)+(Q74+R74+T74)/G74)+V74)</f>
        <v>16.917241527646599</v>
      </c>
      <c r="Y74" s="25">
        <f t="shared" si="9"/>
        <v>28001.188102075877</v>
      </c>
      <c r="Z74" s="26">
        <v>42367</v>
      </c>
    </row>
    <row r="75" spans="1:26" s="11" customFormat="1" x14ac:dyDescent="0.25">
      <c r="A75" s="49"/>
      <c r="B75" s="13" t="s">
        <v>46</v>
      </c>
      <c r="C75" s="15" t="s">
        <v>47</v>
      </c>
      <c r="D75" s="14" t="s">
        <v>48</v>
      </c>
      <c r="E75" s="15">
        <v>129</v>
      </c>
      <c r="F75" s="16">
        <f>11305+2114+1283</f>
        <v>14702</v>
      </c>
      <c r="G75" s="17">
        <v>11750</v>
      </c>
      <c r="H75" s="17">
        <f t="shared" si="8"/>
        <v>-2952</v>
      </c>
      <c r="I75" s="14" t="s">
        <v>152</v>
      </c>
      <c r="J75" s="15"/>
      <c r="K75" s="19"/>
      <c r="L75" s="19">
        <v>42354</v>
      </c>
      <c r="M75" s="14" t="s">
        <v>52</v>
      </c>
      <c r="N75" s="15"/>
      <c r="O75" s="20">
        <v>24</v>
      </c>
      <c r="P75" s="28"/>
      <c r="Q75" s="22">
        <v>13000</v>
      </c>
      <c r="R75" s="20">
        <f>59.25*E75</f>
        <v>7643.25</v>
      </c>
      <c r="S75" s="23">
        <f>-35*E75</f>
        <v>-4515</v>
      </c>
      <c r="T75" s="29">
        <f>W75*F75*0.0045</f>
        <v>2081.1721088297868</v>
      </c>
      <c r="U75" s="20">
        <f>E75*5</f>
        <v>645</v>
      </c>
      <c r="V75" s="15"/>
      <c r="W75" s="20">
        <f>((O75*F75)+Q75+R75+S75+U75)/G75</f>
        <v>31.457127659574468</v>
      </c>
      <c r="X75" s="20">
        <f>((O75*F75)+Q75+R75+S75+T75+U75)/G75</f>
        <v>31.634248690113171</v>
      </c>
      <c r="Y75" s="25">
        <f t="shared" si="9"/>
        <v>465086.72424204386</v>
      </c>
      <c r="Z75" s="26">
        <v>42367</v>
      </c>
    </row>
    <row r="76" spans="1:26" s="11" customFormat="1" x14ac:dyDescent="0.25">
      <c r="A76" s="49"/>
      <c r="B76" s="13" t="s">
        <v>25</v>
      </c>
      <c r="C76" s="15" t="s">
        <v>26</v>
      </c>
      <c r="D76" s="14" t="s">
        <v>80</v>
      </c>
      <c r="E76" s="15" t="s">
        <v>27</v>
      </c>
      <c r="F76" s="16">
        <f>40646*0.4536</f>
        <v>18437.025600000001</v>
      </c>
      <c r="G76" s="17">
        <v>18400.11</v>
      </c>
      <c r="H76" s="17">
        <f t="shared" si="8"/>
        <v>-36.915600000000268</v>
      </c>
      <c r="I76" s="11" t="s">
        <v>153</v>
      </c>
      <c r="J76" s="15"/>
      <c r="K76" s="19"/>
      <c r="L76" s="19">
        <v>42354</v>
      </c>
      <c r="M76" s="14" t="s">
        <v>52</v>
      </c>
      <c r="N76" s="15" t="s">
        <v>154</v>
      </c>
      <c r="O76" s="20"/>
      <c r="P76" s="21">
        <f>0.703+0.155</f>
        <v>0.85799999999999998</v>
      </c>
      <c r="Q76" s="20"/>
      <c r="R76" s="20"/>
      <c r="S76" s="23">
        <v>17.29</v>
      </c>
      <c r="T76" s="29"/>
      <c r="V76" s="20"/>
      <c r="W76" s="20">
        <f>IF(O76&gt;0,O76,((P76*2.2046*S76)+(Q76+R76)/G76)+V76)</f>
        <v>32.704844172000001</v>
      </c>
      <c r="X76" s="20">
        <f>IF(O76&gt;0,O76,((P76*2.2046*S76)+(Q76+R76+T76)/G76)+V76)</f>
        <v>32.704844172000001</v>
      </c>
      <c r="Y76" s="25">
        <f t="shared" si="9"/>
        <v>602980.04924317484</v>
      </c>
      <c r="Z76" s="26">
        <v>42361</v>
      </c>
    </row>
    <row r="77" spans="1:26" s="11" customFormat="1" x14ac:dyDescent="0.25">
      <c r="A77" s="49"/>
      <c r="B77" s="13" t="s">
        <v>25</v>
      </c>
      <c r="C77" s="14" t="s">
        <v>26</v>
      </c>
      <c r="D77" s="14" t="s">
        <v>26</v>
      </c>
      <c r="E77" s="15" t="s">
        <v>27</v>
      </c>
      <c r="F77" s="16">
        <f>42769*0.4536</f>
        <v>19400.018400000001</v>
      </c>
      <c r="G77" s="17">
        <v>19281.990000000002</v>
      </c>
      <c r="H77" s="17">
        <f t="shared" si="8"/>
        <v>-118.02839999999924</v>
      </c>
      <c r="I77" s="11" t="s">
        <v>155</v>
      </c>
      <c r="J77" s="18" t="s">
        <v>29</v>
      </c>
      <c r="K77" s="19">
        <v>42354</v>
      </c>
      <c r="L77" s="19">
        <v>42355</v>
      </c>
      <c r="M77" s="14" t="s">
        <v>64</v>
      </c>
      <c r="N77" s="14" t="s">
        <v>156</v>
      </c>
      <c r="O77" s="20"/>
      <c r="P77" s="21">
        <f>0.7228+0.105</f>
        <v>0.82779999999999998</v>
      </c>
      <c r="Q77" s="22">
        <v>18500</v>
      </c>
      <c r="R77" s="20">
        <v>8681</v>
      </c>
      <c r="S77" s="23">
        <v>17.094999999999999</v>
      </c>
      <c r="T77" s="29">
        <f>W77*F77*0.005</f>
        <v>3172.6288905748947</v>
      </c>
      <c r="V77" s="20">
        <v>0.1</v>
      </c>
      <c r="W77" s="20">
        <f>IF(O77&gt;0,O77,((P77*2.2046*S77)+(Q77+R77)/G77)+V77)</f>
        <v>32.707483314293086</v>
      </c>
      <c r="X77" s="20">
        <f>IF(O77&gt;0,O77,((P77*2.2046*S77)+(Q77+R77+T77)/G77)+V77)</f>
        <v>32.872021771712411</v>
      </c>
      <c r="Y77" s="25">
        <f t="shared" si="9"/>
        <v>637717.82721642137</v>
      </c>
      <c r="Z77" s="26">
        <v>42348</v>
      </c>
    </row>
    <row r="78" spans="1:26" s="11" customFormat="1" x14ac:dyDescent="0.25">
      <c r="A78" s="49"/>
      <c r="B78" s="13" t="s">
        <v>25</v>
      </c>
      <c r="C78" s="14" t="s">
        <v>26</v>
      </c>
      <c r="D78" s="14" t="s">
        <v>26</v>
      </c>
      <c r="E78" s="15" t="s">
        <v>27</v>
      </c>
      <c r="F78" s="16">
        <f>42539*0.4536</f>
        <v>19295.690399999999</v>
      </c>
      <c r="G78" s="17">
        <v>19079.68</v>
      </c>
      <c r="H78" s="17">
        <f t="shared" si="8"/>
        <v>-216.01039999999921</v>
      </c>
      <c r="I78" s="11" t="s">
        <v>157</v>
      </c>
      <c r="J78" s="18" t="s">
        <v>51</v>
      </c>
      <c r="K78" s="19">
        <v>42354</v>
      </c>
      <c r="L78" s="19">
        <v>42356</v>
      </c>
      <c r="M78" s="14" t="s">
        <v>76</v>
      </c>
      <c r="N78" s="14" t="s">
        <v>156</v>
      </c>
      <c r="O78" s="20"/>
      <c r="P78" s="21">
        <v>0.82779999999999998</v>
      </c>
      <c r="Q78" s="22">
        <v>18500</v>
      </c>
      <c r="R78" s="20">
        <v>8681</v>
      </c>
      <c r="S78" s="23">
        <v>17.094999999999999</v>
      </c>
      <c r="T78" s="29">
        <f>W78*F78*0.005</f>
        <v>3157.0094416806314</v>
      </c>
      <c r="V78" s="20">
        <v>0.1</v>
      </c>
      <c r="W78" s="20">
        <f>IF(O78&gt;0,O78,((P78*2.2046*S78)+(Q78+R78)/G78)+V78)</f>
        <v>32.722430514127979</v>
      </c>
      <c r="X78" s="20">
        <f>IF(O78&gt;0,O78,((P78*2.2046*S78)+(Q78+R78+T78)/G78)+V78)</f>
        <v>32.887894999993598</v>
      </c>
      <c r="Y78" s="25">
        <f t="shared" si="9"/>
        <v>634594.6398275845</v>
      </c>
      <c r="Z78" s="26">
        <v>42348</v>
      </c>
    </row>
    <row r="79" spans="1:26" s="11" customFormat="1" x14ac:dyDescent="0.25">
      <c r="A79" s="49"/>
      <c r="B79" s="13" t="s">
        <v>46</v>
      </c>
      <c r="C79" s="15" t="s">
        <v>47</v>
      </c>
      <c r="D79" s="14" t="s">
        <v>73</v>
      </c>
      <c r="E79" s="15">
        <v>219</v>
      </c>
      <c r="F79" s="16">
        <f>25530-1115</f>
        <v>24415</v>
      </c>
      <c r="G79" s="17">
        <v>19630</v>
      </c>
      <c r="H79" s="17">
        <f t="shared" si="8"/>
        <v>-4785</v>
      </c>
      <c r="I79" s="11" t="s">
        <v>158</v>
      </c>
      <c r="J79" s="15"/>
      <c r="K79" s="19"/>
      <c r="L79" s="19">
        <v>42355</v>
      </c>
      <c r="M79" s="14" t="s">
        <v>64</v>
      </c>
      <c r="N79" s="15"/>
      <c r="O79" s="20">
        <v>24</v>
      </c>
      <c r="P79" s="28"/>
      <c r="Q79" s="22">
        <v>16500</v>
      </c>
      <c r="R79" s="20">
        <f>59.25*E79</f>
        <v>12975.75</v>
      </c>
      <c r="S79" s="23">
        <f>-35*E79</f>
        <v>-7665</v>
      </c>
      <c r="T79" s="29">
        <f>W79*F79*0.0045</f>
        <v>3407.7716652126842</v>
      </c>
      <c r="U79" s="20">
        <f>E79*5</f>
        <v>1095</v>
      </c>
      <c r="V79" s="15"/>
      <c r="W79" s="20">
        <f>((O79*F79)+Q79+R79+S79+U79)/G79</f>
        <v>31.0171039225675</v>
      </c>
      <c r="X79" s="20">
        <f>((O79*F79)+Q79+R79+S79+T79+U79)/G79</f>
        <v>31.190704109282358</v>
      </c>
      <c r="Y79" s="25">
        <f t="shared" si="9"/>
        <v>761521.04082812881</v>
      </c>
      <c r="Z79" s="26">
        <v>42368</v>
      </c>
    </row>
    <row r="80" spans="1:26" s="11" customFormat="1" x14ac:dyDescent="0.25">
      <c r="A80" s="49"/>
      <c r="B80" s="13" t="s">
        <v>46</v>
      </c>
      <c r="C80" s="15" t="s">
        <v>47</v>
      </c>
      <c r="D80" s="14" t="s">
        <v>73</v>
      </c>
      <c r="E80" s="15">
        <v>130</v>
      </c>
      <c r="F80" s="16">
        <f>13625+1115</f>
        <v>14740</v>
      </c>
      <c r="G80" s="17">
        <v>11760</v>
      </c>
      <c r="H80" s="17">
        <f t="shared" si="8"/>
        <v>-2980</v>
      </c>
      <c r="I80" s="11" t="s">
        <v>159</v>
      </c>
      <c r="J80" s="15"/>
      <c r="K80" s="19"/>
      <c r="L80" s="19">
        <v>42355</v>
      </c>
      <c r="M80" s="14" t="s">
        <v>64</v>
      </c>
      <c r="N80" s="15"/>
      <c r="O80" s="20">
        <v>24</v>
      </c>
      <c r="P80" s="28"/>
      <c r="Q80" s="22">
        <v>13000</v>
      </c>
      <c r="R80" s="20">
        <f>59.25*E80</f>
        <v>7702.5</v>
      </c>
      <c r="S80" s="23">
        <f>-35*E80</f>
        <v>-4550</v>
      </c>
      <c r="T80" s="29">
        <f>W80*F80*0.0045</f>
        <v>2090.0859375</v>
      </c>
      <c r="U80" s="20">
        <f>E80*5</f>
        <v>650</v>
      </c>
      <c r="V80" s="15"/>
      <c r="W80" s="20">
        <f>((O80*F80)+Q80+R80+S80+U80)/G80</f>
        <v>31.510416666666668</v>
      </c>
      <c r="X80" s="20">
        <f>((O80*F80)+Q80+R80+S80+T80+U80)/G80</f>
        <v>31.688145062712586</v>
      </c>
      <c r="Y80" s="25">
        <f t="shared" si="9"/>
        <v>467083.25822438352</v>
      </c>
      <c r="Z80" s="26">
        <v>42368</v>
      </c>
    </row>
    <row r="81" spans="1:26" s="11" customFormat="1" x14ac:dyDescent="0.25">
      <c r="A81" s="49"/>
      <c r="B81" s="13" t="s">
        <v>25</v>
      </c>
      <c r="C81" s="14" t="s">
        <v>26</v>
      </c>
      <c r="D81" s="14" t="s">
        <v>26</v>
      </c>
      <c r="E81" s="15" t="s">
        <v>27</v>
      </c>
      <c r="F81" s="16">
        <f>42606*0.4536</f>
        <v>19326.081600000001</v>
      </c>
      <c r="G81" s="17">
        <v>19230.63</v>
      </c>
      <c r="H81" s="17">
        <f t="shared" si="8"/>
        <v>-95.451600000000326</v>
      </c>
      <c r="I81" s="14" t="s">
        <v>160</v>
      </c>
      <c r="J81" s="18" t="s">
        <v>29</v>
      </c>
      <c r="K81" s="19">
        <v>42355</v>
      </c>
      <c r="L81" s="19">
        <v>42356</v>
      </c>
      <c r="M81" s="14" t="s">
        <v>76</v>
      </c>
      <c r="N81" s="14" t="s">
        <v>161</v>
      </c>
      <c r="O81" s="20"/>
      <c r="P81" s="21">
        <f>0.7157+0.105</f>
        <v>0.82069999999999999</v>
      </c>
      <c r="Q81" s="22">
        <v>18500</v>
      </c>
      <c r="R81" s="20">
        <v>8668</v>
      </c>
      <c r="S81" s="23">
        <v>17.398</v>
      </c>
      <c r="T81" s="29">
        <f>W81*F81*0.005</f>
        <v>3187.9543171238497</v>
      </c>
      <c r="V81" s="20">
        <v>0.1</v>
      </c>
      <c r="W81" s="20">
        <f>IF(O81&gt;0,O81,((P81*2.2046*S81)+(Q81+R81)/G81)+V81)</f>
        <v>32.991212425842697</v>
      </c>
      <c r="X81" s="20">
        <f>IF(O81&gt;0,O81,((P81*2.2046*S81)+(Q81+R81+T81)/G81)+V81)</f>
        <v>33.156987250542862</v>
      </c>
      <c r="Y81" s="25">
        <f t="shared" si="9"/>
        <v>640794.64121415105</v>
      </c>
      <c r="Z81" s="26">
        <v>42349</v>
      </c>
    </row>
    <row r="82" spans="1:26" s="11" customFormat="1" x14ac:dyDescent="0.25">
      <c r="A82" s="49"/>
      <c r="B82" s="13" t="s">
        <v>25</v>
      </c>
      <c r="C82" s="15" t="s">
        <v>32</v>
      </c>
      <c r="D82" s="15" t="s">
        <v>33</v>
      </c>
      <c r="E82" s="15" t="s">
        <v>162</v>
      </c>
      <c r="F82" s="16">
        <f>41847*0.4536</f>
        <v>18981.799200000001</v>
      </c>
      <c r="G82" s="17">
        <v>19231.14</v>
      </c>
      <c r="H82" s="17">
        <f t="shared" si="8"/>
        <v>249.34079999999813</v>
      </c>
      <c r="I82" s="14" t="s">
        <v>163</v>
      </c>
      <c r="J82" s="18" t="s">
        <v>106</v>
      </c>
      <c r="K82" s="19">
        <v>42355</v>
      </c>
      <c r="L82" s="19">
        <v>42357</v>
      </c>
      <c r="M82" s="14" t="s">
        <v>86</v>
      </c>
      <c r="N82" s="14" t="s">
        <v>164</v>
      </c>
      <c r="O82" s="20"/>
      <c r="P82" s="21">
        <f>0.7228+0.1</f>
        <v>0.82279999999999998</v>
      </c>
      <c r="Q82" s="22">
        <v>18500</v>
      </c>
      <c r="R82" s="20">
        <v>8668</v>
      </c>
      <c r="S82" s="23">
        <v>17.32</v>
      </c>
      <c r="T82" s="29">
        <f>W82*F82*0.005</f>
        <v>3125.3754550119975</v>
      </c>
      <c r="V82" s="20">
        <v>0.1</v>
      </c>
      <c r="W82" s="20">
        <f>IF(O82&gt;0,O82,((P82*2.2046*S82)+(Q82+R82)/G82)+V82)</f>
        <v>32.930234084575048</v>
      </c>
      <c r="X82" s="20">
        <f>IF(O82&gt;0,O82,((P82*2.2046*S82)+(Q82+R82+T82)/G82)+V82)</f>
        <v>33.092750474919669</v>
      </c>
      <c r="Y82" s="25">
        <f t="shared" si="9"/>
        <v>628159.94449062983</v>
      </c>
      <c r="Z82" s="26">
        <v>42368</v>
      </c>
    </row>
    <row r="83" spans="1:26" s="11" customFormat="1" x14ac:dyDescent="0.25">
      <c r="A83" s="49"/>
      <c r="B83" s="13" t="s">
        <v>25</v>
      </c>
      <c r="C83" s="15" t="s">
        <v>32</v>
      </c>
      <c r="D83" s="15" t="s">
        <v>33</v>
      </c>
      <c r="E83" s="15" t="s">
        <v>27</v>
      </c>
      <c r="F83" s="16">
        <f>41530*0.4536</f>
        <v>18838.008000000002</v>
      </c>
      <c r="G83" s="17">
        <v>18799.27</v>
      </c>
      <c r="H83" s="17">
        <f t="shared" si="8"/>
        <v>-38.738000000001193</v>
      </c>
      <c r="I83" s="50" t="s">
        <v>165</v>
      </c>
      <c r="J83" s="18" t="s">
        <v>55</v>
      </c>
      <c r="K83" s="19">
        <v>42355</v>
      </c>
      <c r="L83" s="19">
        <v>42356</v>
      </c>
      <c r="M83" s="14" t="s">
        <v>76</v>
      </c>
      <c r="N83" s="14" t="s">
        <v>164</v>
      </c>
      <c r="O83" s="20"/>
      <c r="P83" s="21">
        <v>0.82279999999999998</v>
      </c>
      <c r="Q83" s="22">
        <v>18500</v>
      </c>
      <c r="R83" s="20">
        <v>8668</v>
      </c>
      <c r="S83" s="23">
        <v>17.37</v>
      </c>
      <c r="T83" s="29">
        <f>W83*F83*0.005</f>
        <v>3113.2996613070691</v>
      </c>
      <c r="V83" s="20">
        <v>0.1</v>
      </c>
      <c r="W83" s="20">
        <f>IF(O83&gt;0,O83,((P83*2.2046*S83)+(Q83+R83)/G83)+V83)</f>
        <v>33.053385063931053</v>
      </c>
      <c r="X83" s="20">
        <f>IF(O83&gt;0,O83,((P83*2.2046*S83)+(Q83+R83+T83)/G83)+V83)</f>
        <v>33.21899254024833</v>
      </c>
      <c r="Y83" s="25">
        <f t="shared" si="9"/>
        <v>625779.64722513838</v>
      </c>
      <c r="Z83" s="26">
        <v>42368</v>
      </c>
    </row>
    <row r="84" spans="1:26" s="11" customFormat="1" x14ac:dyDescent="0.25">
      <c r="A84" s="49"/>
      <c r="B84" s="13" t="s">
        <v>25</v>
      </c>
      <c r="C84" s="15" t="s">
        <v>42</v>
      </c>
      <c r="D84" s="14" t="s">
        <v>166</v>
      </c>
      <c r="E84" s="15" t="s">
        <v>43</v>
      </c>
      <c r="F84" s="16">
        <v>18374.43</v>
      </c>
      <c r="G84" s="17">
        <v>18290.13</v>
      </c>
      <c r="H84" s="17">
        <f t="shared" si="8"/>
        <v>-84.299999999999272</v>
      </c>
      <c r="I84" s="51"/>
      <c r="J84" s="15"/>
      <c r="K84" s="19"/>
      <c r="L84" s="19">
        <v>42356</v>
      </c>
      <c r="M84" s="14" t="s">
        <v>76</v>
      </c>
      <c r="N84" s="14"/>
      <c r="O84" s="20">
        <v>34</v>
      </c>
      <c r="P84" s="21"/>
      <c r="Q84" s="20"/>
      <c r="R84" s="20"/>
      <c r="S84" s="23"/>
      <c r="T84" s="29"/>
      <c r="V84" s="20"/>
      <c r="W84" s="20">
        <f>IF(O84&gt;0,O84,((P84*2.2046*S84)+(Q84+R84)/G84)+V84)</f>
        <v>34</v>
      </c>
      <c r="X84" s="20">
        <f>IF(O84&gt;0,O84,((P84*2.2046*S84)+(Q84+R84+T84)/G84)+V84)</f>
        <v>34</v>
      </c>
      <c r="Y84" s="25">
        <f t="shared" si="9"/>
        <v>624730.62</v>
      </c>
      <c r="Z84" s="26">
        <v>42008</v>
      </c>
    </row>
    <row r="85" spans="1:26" s="11" customFormat="1" x14ac:dyDescent="0.25">
      <c r="A85" s="49"/>
      <c r="B85" s="13" t="s">
        <v>46</v>
      </c>
      <c r="C85" s="15" t="s">
        <v>47</v>
      </c>
      <c r="D85" s="14" t="s">
        <v>48</v>
      </c>
      <c r="E85" s="15">
        <f>249+229</f>
        <v>478</v>
      </c>
      <c r="F85" s="16">
        <f>28945+25350</f>
        <v>54295</v>
      </c>
      <c r="G85" s="17">
        <f>22320+10820+10590</f>
        <v>43730</v>
      </c>
      <c r="H85" s="17">
        <f t="shared" si="8"/>
        <v>-10565</v>
      </c>
      <c r="I85" s="14" t="s">
        <v>167</v>
      </c>
      <c r="J85" s="15"/>
      <c r="K85" s="19"/>
      <c r="L85" s="19">
        <v>42356</v>
      </c>
      <c r="M85" s="14" t="s">
        <v>76</v>
      </c>
      <c r="N85" s="15"/>
      <c r="O85" s="20">
        <v>24</v>
      </c>
      <c r="P85" s="28"/>
      <c r="Q85" s="22">
        <f>16500+13000+13000</f>
        <v>42500</v>
      </c>
      <c r="R85" s="20">
        <f>59.25*E85</f>
        <v>28321.5</v>
      </c>
      <c r="S85" s="23">
        <f>-35*E85</f>
        <v>-16730</v>
      </c>
      <c r="T85" s="29">
        <f>W85*F85*0.0045</f>
        <v>7596.1185088326083</v>
      </c>
      <c r="U85" s="20">
        <f>E85*5</f>
        <v>2390</v>
      </c>
      <c r="V85" s="15"/>
      <c r="W85" s="20">
        <f>((O85*F85)+Q85+R85+S85+U85)/G85</f>
        <v>31.089903956094215</v>
      </c>
      <c r="X85" s="20">
        <f>((O85*F85)+Q85+R85+S85+T85+U85)/G85</f>
        <v>31.263608929998458</v>
      </c>
      <c r="Y85" s="25">
        <f t="shared" si="9"/>
        <v>1697457.6468542663</v>
      </c>
      <c r="Z85" s="26">
        <v>42369</v>
      </c>
    </row>
    <row r="86" spans="1:26" s="11" customFormat="1" x14ac:dyDescent="0.25">
      <c r="A86" s="49"/>
      <c r="B86" s="13" t="s">
        <v>25</v>
      </c>
      <c r="C86" s="14" t="s">
        <v>32</v>
      </c>
      <c r="D86" s="15" t="s">
        <v>33</v>
      </c>
      <c r="E86" s="15" t="s">
        <v>39</v>
      </c>
      <c r="F86" s="16">
        <f>41553*0.4536</f>
        <v>18848.4408</v>
      </c>
      <c r="G86" s="17">
        <v>18755.599999999999</v>
      </c>
      <c r="H86" s="17">
        <f t="shared" si="8"/>
        <v>-92.840800000001764</v>
      </c>
      <c r="I86" s="14" t="s">
        <v>168</v>
      </c>
      <c r="J86" s="18" t="s">
        <v>29</v>
      </c>
      <c r="K86" s="19">
        <v>42356</v>
      </c>
      <c r="L86" s="19">
        <v>42357</v>
      </c>
      <c r="M86" s="14" t="s">
        <v>86</v>
      </c>
      <c r="N86" s="14" t="s">
        <v>169</v>
      </c>
      <c r="O86" s="20"/>
      <c r="P86" s="21">
        <f>0.7157+0.1</f>
        <v>0.81569999999999998</v>
      </c>
      <c r="Q86" s="22">
        <v>18500</v>
      </c>
      <c r="R86" s="20">
        <v>8668</v>
      </c>
      <c r="S86" s="23">
        <v>17.29</v>
      </c>
      <c r="T86" s="29">
        <f>W86*F86*0.005</f>
        <v>3076.1597672833959</v>
      </c>
      <c r="V86" s="20">
        <v>0.1</v>
      </c>
      <c r="W86" s="20">
        <f>IF(O86&gt;0,O86,((P86*2.2046*S86)+(Q86+R86)/G86)+V86)</f>
        <v>32.640999856957883</v>
      </c>
      <c r="X86" s="20">
        <f>IF(O86&gt;0,O86,((P86*2.2046*S86)+(Q86+R86+T86)/G86)+V86)</f>
        <v>32.805012726036097</v>
      </c>
      <c r="Y86" s="25">
        <f t="shared" si="9"/>
        <v>618323.34030993795</v>
      </c>
      <c r="Z86" s="26">
        <v>42368</v>
      </c>
    </row>
    <row r="87" spans="1:26" s="11" customFormat="1" x14ac:dyDescent="0.25">
      <c r="A87" s="49"/>
      <c r="B87" s="13" t="s">
        <v>25</v>
      </c>
      <c r="C87" s="14" t="s">
        <v>32</v>
      </c>
      <c r="D87" s="15" t="s">
        <v>33</v>
      </c>
      <c r="E87" s="15" t="s">
        <v>39</v>
      </c>
      <c r="F87" s="16">
        <f>40364*0.4536</f>
        <v>18309.110400000001</v>
      </c>
      <c r="G87" s="17">
        <v>18245.599999999999</v>
      </c>
      <c r="H87" s="17">
        <f t="shared" si="8"/>
        <v>-63.510400000002846</v>
      </c>
      <c r="I87" s="14" t="s">
        <v>170</v>
      </c>
      <c r="J87" s="18" t="s">
        <v>29</v>
      </c>
      <c r="K87" s="19">
        <v>42356</v>
      </c>
      <c r="L87" s="19">
        <v>42357</v>
      </c>
      <c r="M87" s="14" t="s">
        <v>86</v>
      </c>
      <c r="N87" s="14" t="s">
        <v>169</v>
      </c>
      <c r="O87" s="20"/>
      <c r="P87" s="21">
        <v>0.81569999999999998</v>
      </c>
      <c r="Q87" s="22">
        <v>18500</v>
      </c>
      <c r="R87" s="20">
        <v>8668</v>
      </c>
      <c r="S87" s="23">
        <v>17.37</v>
      </c>
      <c r="T87" s="29">
        <f>W87*F87*0.005</f>
        <v>3005.0150042663977</v>
      </c>
      <c r="V87" s="20">
        <v>0.1</v>
      </c>
      <c r="W87" s="20">
        <f>IF(O87&gt;0,O87,((P87*2.2046*S87)+(Q87+R87)/G87)+V87)</f>
        <v>32.825352391412714</v>
      </c>
      <c r="X87" s="20">
        <f>IF(O87&gt;0,O87,((P87*2.2046*S87)+(Q87+R87+T87)/G87)+V87)</f>
        <v>32.99005045583737</v>
      </c>
      <c r="Y87" s="25">
        <f t="shared" si="9"/>
        <v>604018.4758974968</v>
      </c>
      <c r="Z87" s="26">
        <v>42368</v>
      </c>
    </row>
    <row r="88" spans="1:26" s="11" customFormat="1" x14ac:dyDescent="0.25">
      <c r="A88" s="49"/>
      <c r="B88" s="13" t="s">
        <v>25</v>
      </c>
      <c r="C88" s="14" t="s">
        <v>32</v>
      </c>
      <c r="D88" s="15" t="s">
        <v>33</v>
      </c>
      <c r="E88" s="15" t="s">
        <v>39</v>
      </c>
      <c r="F88" s="16">
        <f>40303*0.4536</f>
        <v>18281.4408</v>
      </c>
      <c r="G88" s="17">
        <v>18292.419999999998</v>
      </c>
      <c r="H88" s="17">
        <f t="shared" si="8"/>
        <v>10.979199999997945</v>
      </c>
      <c r="I88" s="50" t="s">
        <v>171</v>
      </c>
      <c r="J88" s="18" t="s">
        <v>63</v>
      </c>
      <c r="K88" s="19">
        <v>42356</v>
      </c>
      <c r="L88" s="19">
        <v>42357</v>
      </c>
      <c r="M88" s="14" t="s">
        <v>86</v>
      </c>
      <c r="N88" s="14" t="s">
        <v>169</v>
      </c>
      <c r="O88" s="20"/>
      <c r="P88" s="21">
        <v>0.81569999999999998</v>
      </c>
      <c r="Q88" s="22">
        <v>18500</v>
      </c>
      <c r="R88" s="20">
        <v>8668</v>
      </c>
      <c r="S88" s="23">
        <v>17.37</v>
      </c>
      <c r="T88" s="29">
        <f>W88*F88*0.005</f>
        <v>3000.1253128627573</v>
      </c>
      <c r="V88" s="20">
        <v>0.1</v>
      </c>
      <c r="W88" s="20">
        <f>IF(O88&gt;0,O88,((P88*2.2046*S88)+(Q88+R88)/G88)+V88)</f>
        <v>32.821541208751526</v>
      </c>
      <c r="X88" s="20">
        <f>IF(O88&gt;0,O88,((P88*2.2046*S88)+(Q88+R88+T88)/G88)+V88)</f>
        <v>32.985550416547042</v>
      </c>
      <c r="Y88" s="25">
        <f t="shared" si="9"/>
        <v>603023.3871955201</v>
      </c>
      <c r="Z88" s="26">
        <v>42368</v>
      </c>
    </row>
    <row r="89" spans="1:26" s="11" customFormat="1" x14ac:dyDescent="0.25">
      <c r="A89" s="49"/>
      <c r="B89" s="13" t="s">
        <v>25</v>
      </c>
      <c r="C89" s="14" t="s">
        <v>26</v>
      </c>
      <c r="D89" s="14" t="s">
        <v>26</v>
      </c>
      <c r="E89" s="15" t="s">
        <v>27</v>
      </c>
      <c r="F89" s="16">
        <f>42358*0.4536</f>
        <v>19213.588800000001</v>
      </c>
      <c r="G89" s="17">
        <v>19064.32</v>
      </c>
      <c r="H89" s="17">
        <f t="shared" si="8"/>
        <v>-149.26880000000165</v>
      </c>
      <c r="I89" s="14" t="s">
        <v>172</v>
      </c>
      <c r="J89" s="18" t="s">
        <v>63</v>
      </c>
      <c r="K89" s="19">
        <v>42356</v>
      </c>
      <c r="L89" s="19">
        <v>42357</v>
      </c>
      <c r="M89" s="14" t="s">
        <v>86</v>
      </c>
      <c r="N89" s="14" t="s">
        <v>173</v>
      </c>
      <c r="O89" s="20"/>
      <c r="P89" s="21">
        <f>0.6955+0.105</f>
        <v>0.80049999999999999</v>
      </c>
      <c r="Q89" s="22">
        <v>18500</v>
      </c>
      <c r="R89" s="20">
        <v>8668</v>
      </c>
      <c r="S89" s="23">
        <v>17.38</v>
      </c>
      <c r="T89" s="29">
        <f>W89*F89*0.005</f>
        <v>3093.0983318060144</v>
      </c>
      <c r="V89" s="20">
        <v>0.1</v>
      </c>
      <c r="W89" s="20">
        <f>IF(O89&gt;0,O89,((P89*2.2046*S89)+(Q89+R89)/G89)+V89)</f>
        <v>32.196986872187189</v>
      </c>
      <c r="X89" s="20">
        <f>IF(O89&gt;0,O89,((P89*2.2046*S89)+(Q89+R89+T89)/G89)+V89)</f>
        <v>32.359232277835332</v>
      </c>
      <c r="Y89" s="25">
        <f t="shared" si="9"/>
        <v>621736.98287001543</v>
      </c>
      <c r="Z89" s="26">
        <v>42352</v>
      </c>
    </row>
    <row r="90" spans="1:26" s="11" customFormat="1" ht="15.75" thickBot="1" x14ac:dyDescent="0.3">
      <c r="A90" s="49"/>
      <c r="B90" s="32"/>
      <c r="C90" s="3"/>
      <c r="D90" s="3"/>
      <c r="E90" s="3"/>
      <c r="F90" s="33"/>
      <c r="G90" s="33"/>
      <c r="H90" s="33"/>
      <c r="I90" s="5"/>
      <c r="J90" s="3"/>
      <c r="K90" s="6"/>
      <c r="L90" s="6"/>
      <c r="M90" s="3"/>
      <c r="N90" s="3"/>
      <c r="O90" s="7"/>
      <c r="P90" s="8"/>
      <c r="Q90" s="7"/>
      <c r="R90" s="7"/>
      <c r="S90" s="7"/>
      <c r="T90" s="7"/>
      <c r="U90" s="7"/>
      <c r="V90" s="7"/>
      <c r="W90" s="7"/>
      <c r="X90" s="7"/>
      <c r="Y90" s="7"/>
      <c r="Z90" s="34"/>
    </row>
    <row r="91" spans="1:26" s="11" customFormat="1" x14ac:dyDescent="0.25">
      <c r="A91" s="52"/>
      <c r="B91" s="36" t="s">
        <v>46</v>
      </c>
      <c r="C91" s="37" t="s">
        <v>47</v>
      </c>
      <c r="D91" s="38" t="s">
        <v>48</v>
      </c>
      <c r="E91" s="37">
        <f>249+210</f>
        <v>459</v>
      </c>
      <c r="F91" s="39">
        <f>28345+22255</f>
        <v>50600</v>
      </c>
      <c r="G91" s="40">
        <f>20720+8340+11980</f>
        <v>41040</v>
      </c>
      <c r="H91" s="40">
        <f t="shared" ref="H91:H123" si="13">G91-F91</f>
        <v>-9560</v>
      </c>
      <c r="I91" s="38" t="s">
        <v>174</v>
      </c>
      <c r="J91" s="37"/>
      <c r="K91" s="41"/>
      <c r="L91" s="41">
        <v>42358</v>
      </c>
      <c r="M91" s="38" t="s">
        <v>95</v>
      </c>
      <c r="N91" s="37"/>
      <c r="O91" s="42">
        <v>24.5</v>
      </c>
      <c r="P91" s="43"/>
      <c r="Q91" s="44">
        <f>16500+16500+13000</f>
        <v>46000</v>
      </c>
      <c r="R91" s="42">
        <f>59.25*E91</f>
        <v>27195.75</v>
      </c>
      <c r="S91" s="23">
        <f>-35*E91</f>
        <v>-16065</v>
      </c>
      <c r="T91" s="45">
        <f>W91*F91*0.0045</f>
        <v>7207.8687445175428</v>
      </c>
      <c r="U91" s="42">
        <f>E91*5</f>
        <v>2295</v>
      </c>
      <c r="V91" s="37"/>
      <c r="W91" s="42">
        <f>((O91*F91)+Q91+R91+S91+U91)/G91</f>
        <v>31.655110867446393</v>
      </c>
      <c r="X91" s="42">
        <f>((O91*F91)+Q91+R91+S91+T91+U91)/G91</f>
        <v>31.830741197478496</v>
      </c>
      <c r="Y91" s="46">
        <f t="shared" ref="Y91:Y123" si="14">X91*F91</f>
        <v>1610635.5045924119</v>
      </c>
      <c r="Z91" s="47">
        <v>42008</v>
      </c>
    </row>
    <row r="92" spans="1:26" s="11" customFormat="1" x14ac:dyDescent="0.25">
      <c r="A92" s="52"/>
      <c r="B92" s="13" t="s">
        <v>46</v>
      </c>
      <c r="C92" s="15" t="s">
        <v>47</v>
      </c>
      <c r="D92" s="14" t="s">
        <v>71</v>
      </c>
      <c r="E92" s="15">
        <v>130</v>
      </c>
      <c r="F92" s="16">
        <v>15195</v>
      </c>
      <c r="G92" s="17">
        <v>10930</v>
      </c>
      <c r="H92" s="17">
        <f t="shared" si="13"/>
        <v>-4265</v>
      </c>
      <c r="I92" s="14" t="s">
        <v>175</v>
      </c>
      <c r="J92" s="15"/>
      <c r="K92" s="19"/>
      <c r="L92" s="19">
        <v>42358</v>
      </c>
      <c r="M92" s="14" t="s">
        <v>95</v>
      </c>
      <c r="N92" s="15"/>
      <c r="O92" s="20">
        <v>24.5</v>
      </c>
      <c r="P92" s="28"/>
      <c r="Q92" s="22">
        <v>16500</v>
      </c>
      <c r="R92" s="20">
        <f>59.25*E92</f>
        <v>7702.5</v>
      </c>
      <c r="S92" s="23">
        <f>-35*E92</f>
        <v>-4550</v>
      </c>
      <c r="T92" s="29">
        <f>W92*F92*0.0045</f>
        <v>2455.9596477584628</v>
      </c>
      <c r="U92" s="20">
        <f>E92*5</f>
        <v>650</v>
      </c>
      <c r="V92" s="15"/>
      <c r="W92" s="20">
        <f>((O92*F92)+Q92+R92+S92+U92)/G92</f>
        <v>35.917657822506861</v>
      </c>
      <c r="X92" s="20">
        <f>((O92*F92)+Q92+R92+S92+T92+U92)/G92</f>
        <v>36.142356783875428</v>
      </c>
      <c r="Y92" s="25">
        <f t="shared" si="14"/>
        <v>549183.11133098719</v>
      </c>
      <c r="Z92" s="26">
        <v>42008</v>
      </c>
    </row>
    <row r="93" spans="1:26" s="11" customFormat="1" x14ac:dyDescent="0.25">
      <c r="A93" s="52"/>
      <c r="B93" s="13" t="s">
        <v>46</v>
      </c>
      <c r="C93" s="15" t="s">
        <v>47</v>
      </c>
      <c r="D93" s="14" t="s">
        <v>48</v>
      </c>
      <c r="E93" s="15">
        <v>250</v>
      </c>
      <c r="F93" s="16">
        <v>24680</v>
      </c>
      <c r="G93" s="17">
        <v>19660</v>
      </c>
      <c r="H93" s="17">
        <f t="shared" si="13"/>
        <v>-5020</v>
      </c>
      <c r="I93" s="14" t="s">
        <v>176</v>
      </c>
      <c r="J93" s="15"/>
      <c r="K93" s="19"/>
      <c r="L93" s="19">
        <v>42359</v>
      </c>
      <c r="M93" s="14" t="s">
        <v>98</v>
      </c>
      <c r="N93" s="15"/>
      <c r="O93" s="20">
        <v>24.5</v>
      </c>
      <c r="P93" s="28"/>
      <c r="Q93" s="22">
        <v>16500</v>
      </c>
      <c r="R93" s="20">
        <f>59.25*E93</f>
        <v>14812.5</v>
      </c>
      <c r="S93" s="23">
        <f>-35*E93</f>
        <v>-8750</v>
      </c>
      <c r="T93" s="29">
        <f>W93*F93*0.0045</f>
        <v>3550.2622507629703</v>
      </c>
      <c r="U93" s="20">
        <f>E93*5</f>
        <v>1250</v>
      </c>
      <c r="V93" s="15"/>
      <c r="W93" s="20">
        <f>((O93*F93)+Q93+R93+S93+U93)/G93</f>
        <v>31.96706510681587</v>
      </c>
      <c r="X93" s="20">
        <f>((O93*F93)+Q93+R93+S93+T93+U93)/G93</f>
        <v>32.147648130761091</v>
      </c>
      <c r="Y93" s="25">
        <f t="shared" si="14"/>
        <v>793403.95586718374</v>
      </c>
      <c r="Z93" s="26">
        <v>42373</v>
      </c>
    </row>
    <row r="94" spans="1:26" s="11" customFormat="1" x14ac:dyDescent="0.25">
      <c r="A94" s="52"/>
      <c r="B94" s="13" t="s">
        <v>46</v>
      </c>
      <c r="C94" s="15" t="s">
        <v>47</v>
      </c>
      <c r="D94" s="14" t="s">
        <v>109</v>
      </c>
      <c r="E94" s="15">
        <v>230</v>
      </c>
      <c r="F94" s="16">
        <v>23515</v>
      </c>
      <c r="G94" s="17">
        <v>18650</v>
      </c>
      <c r="H94" s="17">
        <f t="shared" si="13"/>
        <v>-4865</v>
      </c>
      <c r="I94" s="14" t="s">
        <v>177</v>
      </c>
      <c r="J94" s="15"/>
      <c r="K94" s="19"/>
      <c r="L94" s="19">
        <v>42359</v>
      </c>
      <c r="M94" s="14" t="s">
        <v>98</v>
      </c>
      <c r="N94" s="15"/>
      <c r="O94" s="20">
        <v>24.5</v>
      </c>
      <c r="P94" s="28"/>
      <c r="Q94" s="22">
        <v>16500</v>
      </c>
      <c r="R94" s="20">
        <f>59.25*E94</f>
        <v>13627.5</v>
      </c>
      <c r="S94" s="23">
        <f>-35*E94</f>
        <v>-8050</v>
      </c>
      <c r="T94" s="29">
        <f>W94*F94*0.0045</f>
        <v>3400.5999752010725</v>
      </c>
      <c r="U94" s="20">
        <f>E94*5</f>
        <v>1150</v>
      </c>
      <c r="V94" s="15"/>
      <c r="W94" s="20">
        <f>((O94*F94)+Q94+R94+S94+U94)/G94</f>
        <v>32.136461126005365</v>
      </c>
      <c r="X94" s="20">
        <f>((O94*F94)+Q94+R94+S94+T94+U94)/G94</f>
        <v>32.318798926284238</v>
      </c>
      <c r="Y94" s="25">
        <f t="shared" si="14"/>
        <v>759976.55675157381</v>
      </c>
      <c r="Z94" s="26">
        <v>42373</v>
      </c>
    </row>
    <row r="95" spans="1:26" s="11" customFormat="1" x14ac:dyDescent="0.25">
      <c r="A95" s="52"/>
      <c r="B95" s="13" t="s">
        <v>25</v>
      </c>
      <c r="C95" s="15" t="s">
        <v>42</v>
      </c>
      <c r="D95" s="14" t="s">
        <v>69</v>
      </c>
      <c r="E95" s="15" t="s">
        <v>43</v>
      </c>
      <c r="F95" s="16">
        <f>39674*0.4536</f>
        <v>17996.126400000001</v>
      </c>
      <c r="G95" s="17">
        <v>17920.13</v>
      </c>
      <c r="H95" s="17">
        <f t="shared" si="13"/>
        <v>-75.996399999999994</v>
      </c>
      <c r="I95" s="14">
        <v>5339</v>
      </c>
      <c r="J95" s="15"/>
      <c r="K95" s="19"/>
      <c r="L95" s="19">
        <v>42358</v>
      </c>
      <c r="M95" s="14" t="s">
        <v>95</v>
      </c>
      <c r="N95" s="15" t="s">
        <v>178</v>
      </c>
      <c r="O95" s="20"/>
      <c r="P95" s="21">
        <f>0.7157+0.15</f>
        <v>0.86570000000000003</v>
      </c>
      <c r="Q95" s="20"/>
      <c r="R95" s="20"/>
      <c r="S95" s="23">
        <v>17.274999999999999</v>
      </c>
      <c r="T95" s="29"/>
      <c r="V95" s="20"/>
      <c r="W95" s="20">
        <f t="shared" ref="W95:W107" si="15">IF(O95&gt;0,O95,((P95*2.2046*S95)+(Q95+R95)/G95)+V95)</f>
        <v>32.969721350499995</v>
      </c>
      <c r="X95" s="20">
        <f t="shared" ref="X95:X107" si="16">IF(O95&gt;0,O95,((P95*2.2046*S95)+(Q95+R95+T95)/G95)+V95)</f>
        <v>32.969721350499995</v>
      </c>
      <c r="Y95" s="25">
        <f t="shared" si="14"/>
        <v>593327.27279637661</v>
      </c>
      <c r="Z95" s="26">
        <v>42366</v>
      </c>
    </row>
    <row r="96" spans="1:26" s="11" customFormat="1" x14ac:dyDescent="0.25">
      <c r="A96" s="52"/>
      <c r="B96" s="13" t="s">
        <v>25</v>
      </c>
      <c r="C96" s="15" t="s">
        <v>42</v>
      </c>
      <c r="D96" s="14" t="s">
        <v>179</v>
      </c>
      <c r="E96" s="15" t="s">
        <v>43</v>
      </c>
      <c r="F96" s="16">
        <v>18594.419999999998</v>
      </c>
      <c r="G96" s="17">
        <v>18500</v>
      </c>
      <c r="H96" s="17">
        <f t="shared" si="13"/>
        <v>-94.419999999998254</v>
      </c>
      <c r="I96" s="14" t="s">
        <v>180</v>
      </c>
      <c r="J96" s="15"/>
      <c r="K96" s="19"/>
      <c r="L96" s="19">
        <v>42359</v>
      </c>
      <c r="M96" s="14" t="s">
        <v>98</v>
      </c>
      <c r="N96" s="15"/>
      <c r="O96" s="20">
        <v>33</v>
      </c>
      <c r="P96" s="21"/>
      <c r="Q96" s="20"/>
      <c r="R96" s="20"/>
      <c r="S96" s="23"/>
      <c r="T96" s="29"/>
      <c r="V96" s="20"/>
      <c r="W96" s="20">
        <f t="shared" si="15"/>
        <v>33</v>
      </c>
      <c r="X96" s="20">
        <f t="shared" si="16"/>
        <v>33</v>
      </c>
      <c r="Y96" s="25">
        <f t="shared" si="14"/>
        <v>613615.86</v>
      </c>
      <c r="Z96" s="26">
        <v>42362</v>
      </c>
    </row>
    <row r="97" spans="1:26" s="11" customFormat="1" x14ac:dyDescent="0.25">
      <c r="A97" s="52"/>
      <c r="B97" s="13" t="s">
        <v>25</v>
      </c>
      <c r="C97" s="14" t="s">
        <v>26</v>
      </c>
      <c r="D97" s="14" t="s">
        <v>26</v>
      </c>
      <c r="E97" s="15" t="s">
        <v>27</v>
      </c>
      <c r="F97" s="16">
        <f>42615*0.4536</f>
        <v>19330.164000000001</v>
      </c>
      <c r="G97" s="17">
        <v>19195.349999999999</v>
      </c>
      <c r="H97" s="17">
        <f t="shared" si="13"/>
        <v>-134.81400000000212</v>
      </c>
      <c r="I97" s="14" t="s">
        <v>181</v>
      </c>
      <c r="J97" s="18" t="s">
        <v>66</v>
      </c>
      <c r="K97" s="19">
        <v>42356</v>
      </c>
      <c r="L97" s="19">
        <v>42360</v>
      </c>
      <c r="M97" s="14" t="s">
        <v>30</v>
      </c>
      <c r="N97" s="14" t="s">
        <v>173</v>
      </c>
      <c r="O97" s="20"/>
      <c r="P97" s="21">
        <f>0.6955+0.105</f>
        <v>0.80049999999999999</v>
      </c>
      <c r="Q97" s="22">
        <v>18500</v>
      </c>
      <c r="R97" s="20">
        <v>8668</v>
      </c>
      <c r="S97" s="23">
        <v>17.38</v>
      </c>
      <c r="T97" s="29">
        <f t="shared" ref="T97:T107" si="17">W97*F97*0.005</f>
        <v>3110.9249906251148</v>
      </c>
      <c r="V97" s="20">
        <v>0.1</v>
      </c>
      <c r="W97" s="20">
        <f t="shared" si="15"/>
        <v>32.187259152329126</v>
      </c>
      <c r="X97" s="20">
        <f t="shared" si="16"/>
        <v>32.349325746094031</v>
      </c>
      <c r="Y97" s="25">
        <f t="shared" si="14"/>
        <v>625317.77196141996</v>
      </c>
      <c r="Z97" s="26">
        <v>42352</v>
      </c>
    </row>
    <row r="98" spans="1:26" s="11" customFormat="1" x14ac:dyDescent="0.25">
      <c r="A98" s="52"/>
      <c r="B98" s="13" t="s">
        <v>25</v>
      </c>
      <c r="C98" s="14" t="s">
        <v>42</v>
      </c>
      <c r="D98" s="14" t="s">
        <v>42</v>
      </c>
      <c r="E98" s="15" t="s">
        <v>43</v>
      </c>
      <c r="F98" s="16">
        <f>41515*0.4536</f>
        <v>18831.204000000002</v>
      </c>
      <c r="G98" s="17">
        <v>18770.13</v>
      </c>
      <c r="H98" s="17">
        <f t="shared" si="13"/>
        <v>-61.074000000000524</v>
      </c>
      <c r="I98" s="14" t="s">
        <v>182</v>
      </c>
      <c r="J98" s="18" t="s">
        <v>41</v>
      </c>
      <c r="K98" s="19">
        <v>42356</v>
      </c>
      <c r="L98" s="19">
        <v>42360</v>
      </c>
      <c r="M98" s="14" t="s">
        <v>30</v>
      </c>
      <c r="N98" s="14" t="s">
        <v>183</v>
      </c>
      <c r="O98" s="20"/>
      <c r="P98" s="21">
        <f>0.7157+0.1075</f>
        <v>0.82320000000000004</v>
      </c>
      <c r="Q98" s="22">
        <v>18500</v>
      </c>
      <c r="R98" s="20">
        <v>8668</v>
      </c>
      <c r="S98" s="23">
        <v>17.398</v>
      </c>
      <c r="T98" s="29">
        <f t="shared" si="17"/>
        <v>3118.6132231086003</v>
      </c>
      <c r="V98" s="20">
        <v>0.1</v>
      </c>
      <c r="W98" s="20">
        <f t="shared" si="15"/>
        <v>33.121761339408785</v>
      </c>
      <c r="X98" s="20">
        <f t="shared" si="16"/>
        <v>33.287909001844184</v>
      </c>
      <c r="Y98" s="25">
        <f t="shared" si="14"/>
        <v>626851.40514716425</v>
      </c>
      <c r="Z98" s="26">
        <v>42349</v>
      </c>
    </row>
    <row r="99" spans="1:26" s="11" customFormat="1" x14ac:dyDescent="0.25">
      <c r="A99" s="52"/>
      <c r="B99" s="13" t="s">
        <v>25</v>
      </c>
      <c r="C99" s="15" t="s">
        <v>32</v>
      </c>
      <c r="D99" s="15" t="s">
        <v>33</v>
      </c>
      <c r="E99" s="15" t="s">
        <v>34</v>
      </c>
      <c r="F99" s="16">
        <f>37105*0.4536</f>
        <v>16830.828000000001</v>
      </c>
      <c r="G99" s="17">
        <f>18375.12-1622.5</f>
        <v>16752.62</v>
      </c>
      <c r="H99" s="17">
        <f t="shared" si="13"/>
        <v>-78.208000000002357</v>
      </c>
      <c r="I99" s="14" t="s">
        <v>184</v>
      </c>
      <c r="J99" s="18" t="s">
        <v>66</v>
      </c>
      <c r="K99" s="19">
        <v>42359</v>
      </c>
      <c r="L99" s="19">
        <v>42360</v>
      </c>
      <c r="M99" s="14" t="s">
        <v>30</v>
      </c>
      <c r="N99" s="14" t="s">
        <v>185</v>
      </c>
      <c r="O99" s="20"/>
      <c r="P99" s="21">
        <f>0.6744+0.1</f>
        <v>0.77439999999999998</v>
      </c>
      <c r="Q99" s="22">
        <f>(18500*G99)/(G99+G100)</f>
        <v>16866.473252963791</v>
      </c>
      <c r="R99" s="20">
        <f>(8668*G99)/(G99+G100)</f>
        <v>7902.6264949562237</v>
      </c>
      <c r="S99" s="23">
        <v>17.32</v>
      </c>
      <c r="T99" s="29">
        <f t="shared" si="17"/>
        <v>2621.2294965085594</v>
      </c>
      <c r="V99" s="20">
        <v>0.1</v>
      </c>
      <c r="W99" s="20">
        <f t="shared" si="15"/>
        <v>31.147956553397837</v>
      </c>
      <c r="X99" s="20">
        <f t="shared" si="16"/>
        <v>31.304423392406218</v>
      </c>
      <c r="Y99" s="25">
        <f t="shared" si="14"/>
        <v>526879.36575676559</v>
      </c>
      <c r="Z99" s="26">
        <v>42369</v>
      </c>
    </row>
    <row r="100" spans="1:26" s="11" customFormat="1" x14ac:dyDescent="0.25">
      <c r="A100" s="52"/>
      <c r="B100" s="13" t="s">
        <v>37</v>
      </c>
      <c r="C100" s="14" t="s">
        <v>32</v>
      </c>
      <c r="D100" s="14" t="s">
        <v>33</v>
      </c>
      <c r="E100" s="15" t="s">
        <v>38</v>
      </c>
      <c r="F100" s="16">
        <f>3577*0.4536</f>
        <v>1622.5272</v>
      </c>
      <c r="G100" s="17">
        <v>1622.5</v>
      </c>
      <c r="H100" s="17">
        <f t="shared" si="13"/>
        <v>-2.7199999999993452E-2</v>
      </c>
      <c r="I100" s="14"/>
      <c r="J100" s="15"/>
      <c r="K100" s="19">
        <v>42359</v>
      </c>
      <c r="L100" s="19">
        <v>42360</v>
      </c>
      <c r="M100" s="14" t="s">
        <v>30</v>
      </c>
      <c r="N100" s="14"/>
      <c r="O100" s="20"/>
      <c r="P100" s="21">
        <v>0.4</v>
      </c>
      <c r="Q100" s="22">
        <f>(18500*G100)/(G100+G99)</f>
        <v>1633.5267470362098</v>
      </c>
      <c r="R100" s="20">
        <f>(8668*G100)/(G100+G99)</f>
        <v>765.37350504377662</v>
      </c>
      <c r="S100" s="23">
        <v>17.32</v>
      </c>
      <c r="T100" s="29">
        <f t="shared" si="17"/>
        <v>136.71405877100685</v>
      </c>
      <c r="V100" s="20">
        <v>0.1</v>
      </c>
      <c r="W100" s="20">
        <f t="shared" si="15"/>
        <v>16.851989756597838</v>
      </c>
      <c r="X100" s="20">
        <f t="shared" si="16"/>
        <v>16.9362511179359</v>
      </c>
      <c r="Y100" s="25">
        <f t="shared" si="14"/>
        <v>27479.528104881403</v>
      </c>
      <c r="Z100" s="26">
        <v>42369</v>
      </c>
    </row>
    <row r="101" spans="1:26" s="11" customFormat="1" x14ac:dyDescent="0.25">
      <c r="A101" s="52"/>
      <c r="B101" s="13" t="s">
        <v>25</v>
      </c>
      <c r="C101" s="15" t="s">
        <v>32</v>
      </c>
      <c r="D101" s="15" t="s">
        <v>33</v>
      </c>
      <c r="E101" s="15" t="s">
        <v>39</v>
      </c>
      <c r="F101" s="16">
        <f>41596*0.4536</f>
        <v>18867.945599999999</v>
      </c>
      <c r="G101" s="17">
        <v>18805.43</v>
      </c>
      <c r="H101" s="17">
        <f t="shared" si="13"/>
        <v>-62.515599999998813</v>
      </c>
      <c r="I101" s="14" t="s">
        <v>186</v>
      </c>
      <c r="J101" s="18" t="s">
        <v>29</v>
      </c>
      <c r="K101" s="19">
        <v>42359</v>
      </c>
      <c r="L101" s="19">
        <v>42361</v>
      </c>
      <c r="M101" s="14" t="s">
        <v>52</v>
      </c>
      <c r="N101" s="14" t="s">
        <v>185</v>
      </c>
      <c r="O101" s="20"/>
      <c r="P101" s="21">
        <v>0.77439999999999998</v>
      </c>
      <c r="Q101" s="22">
        <v>18500</v>
      </c>
      <c r="R101" s="20">
        <v>8668</v>
      </c>
      <c r="S101" s="23">
        <v>17.32</v>
      </c>
      <c r="T101" s="29">
        <f t="shared" si="17"/>
        <v>2935.2980621494212</v>
      </c>
      <c r="V101" s="20">
        <v>0.1</v>
      </c>
      <c r="W101" s="20">
        <f t="shared" si="15"/>
        <v>31.114124710529389</v>
      </c>
      <c r="X101" s="20">
        <f t="shared" si="16"/>
        <v>31.270212503371638</v>
      </c>
      <c r="Y101" s="25">
        <f t="shared" si="14"/>
        <v>590004.66841405584</v>
      </c>
      <c r="Z101" s="26">
        <v>42369</v>
      </c>
    </row>
    <row r="102" spans="1:26" s="11" customFormat="1" x14ac:dyDescent="0.25">
      <c r="A102" s="52"/>
      <c r="B102" s="13" t="s">
        <v>25</v>
      </c>
      <c r="C102" s="15" t="s">
        <v>32</v>
      </c>
      <c r="D102" s="15" t="s">
        <v>33</v>
      </c>
      <c r="E102" s="15" t="s">
        <v>39</v>
      </c>
      <c r="F102" s="16">
        <f>40770*0.4536</f>
        <v>18493.272000000001</v>
      </c>
      <c r="G102" s="17">
        <v>18416.96</v>
      </c>
      <c r="H102" s="17">
        <f t="shared" si="13"/>
        <v>-76.312000000001717</v>
      </c>
      <c r="I102" s="14" t="s">
        <v>187</v>
      </c>
      <c r="J102" s="18" t="s">
        <v>29</v>
      </c>
      <c r="K102" s="19">
        <v>42359</v>
      </c>
      <c r="L102" s="19">
        <v>42360</v>
      </c>
      <c r="M102" s="14" t="s">
        <v>30</v>
      </c>
      <c r="N102" s="14" t="s">
        <v>185</v>
      </c>
      <c r="O102" s="20"/>
      <c r="P102" s="21">
        <v>0.77439999999999998</v>
      </c>
      <c r="Q102" s="22">
        <v>18500</v>
      </c>
      <c r="R102" s="20">
        <v>8668</v>
      </c>
      <c r="S102" s="23">
        <v>17.32</v>
      </c>
      <c r="T102" s="29">
        <f t="shared" si="17"/>
        <v>2879.8275757126185</v>
      </c>
      <c r="V102" s="20">
        <v>0.1</v>
      </c>
      <c r="W102" s="20">
        <f t="shared" si="15"/>
        <v>31.144597621368661</v>
      </c>
      <c r="X102" s="20">
        <f t="shared" si="16"/>
        <v>31.300965858890631</v>
      </c>
      <c r="Y102" s="25">
        <f t="shared" si="14"/>
        <v>578857.27549117804</v>
      </c>
      <c r="Z102" s="26">
        <v>42369</v>
      </c>
    </row>
    <row r="103" spans="1:26" s="11" customFormat="1" x14ac:dyDescent="0.25">
      <c r="A103" s="52"/>
      <c r="B103" s="13" t="s">
        <v>25</v>
      </c>
      <c r="C103" s="15" t="s">
        <v>32</v>
      </c>
      <c r="D103" s="15" t="s">
        <v>33</v>
      </c>
      <c r="E103" s="15" t="s">
        <v>39</v>
      </c>
      <c r="F103" s="16">
        <f>40406*0.4536</f>
        <v>18328.161599999999</v>
      </c>
      <c r="G103" s="17">
        <v>18485.43</v>
      </c>
      <c r="H103" s="17">
        <f t="shared" si="13"/>
        <v>157.26840000000084</v>
      </c>
      <c r="I103" s="50" t="s">
        <v>188</v>
      </c>
      <c r="J103" s="18" t="s">
        <v>55</v>
      </c>
      <c r="K103" s="19">
        <v>42359</v>
      </c>
      <c r="L103" s="19">
        <v>42361</v>
      </c>
      <c r="M103" s="14" t="s">
        <v>52</v>
      </c>
      <c r="N103" s="14" t="s">
        <v>189</v>
      </c>
      <c r="O103" s="20"/>
      <c r="P103" s="21">
        <f>0.639+0.1</f>
        <v>0.73899999999999999</v>
      </c>
      <c r="Q103" s="22">
        <v>18500</v>
      </c>
      <c r="R103" s="20">
        <v>8668</v>
      </c>
      <c r="S103" s="23">
        <v>17.32</v>
      </c>
      <c r="T103" s="29">
        <f t="shared" si="17"/>
        <v>2729.7443032798965</v>
      </c>
      <c r="V103" s="20">
        <v>0.1</v>
      </c>
      <c r="W103" s="20">
        <f t="shared" si="15"/>
        <v>29.787431635040761</v>
      </c>
      <c r="X103" s="20">
        <f t="shared" si="16"/>
        <v>29.935101681303134</v>
      </c>
      <c r="Y103" s="25">
        <f t="shared" si="14"/>
        <v>548655.3811273555</v>
      </c>
      <c r="Z103" s="26">
        <v>42369</v>
      </c>
    </row>
    <row r="104" spans="1:26" s="11" customFormat="1" x14ac:dyDescent="0.25">
      <c r="A104" s="52"/>
      <c r="B104" s="13" t="s">
        <v>25</v>
      </c>
      <c r="C104" s="15" t="s">
        <v>32</v>
      </c>
      <c r="D104" s="15" t="s">
        <v>33</v>
      </c>
      <c r="E104" s="15" t="s">
        <v>27</v>
      </c>
      <c r="F104" s="16">
        <f>40922*0.4536</f>
        <v>18562.2192</v>
      </c>
      <c r="G104" s="17">
        <v>18642.03</v>
      </c>
      <c r="H104" s="17">
        <f t="shared" si="13"/>
        <v>79.81079999999929</v>
      </c>
      <c r="I104" s="14" t="s">
        <v>190</v>
      </c>
      <c r="J104" s="18" t="s">
        <v>51</v>
      </c>
      <c r="K104" s="19">
        <v>42359</v>
      </c>
      <c r="L104" s="19">
        <v>42360</v>
      </c>
      <c r="M104" s="14" t="s">
        <v>30</v>
      </c>
      <c r="N104" s="14" t="s">
        <v>189</v>
      </c>
      <c r="O104" s="20"/>
      <c r="P104" s="21">
        <v>0.73899999999999999</v>
      </c>
      <c r="Q104" s="22">
        <v>18500</v>
      </c>
      <c r="R104" s="20">
        <v>8668</v>
      </c>
      <c r="S104" s="23">
        <v>17.260000000000002</v>
      </c>
      <c r="T104" s="29">
        <f t="shared" si="17"/>
        <v>2754.3858633281898</v>
      </c>
      <c r="V104" s="20">
        <v>0.1</v>
      </c>
      <c r="W104" s="20">
        <f t="shared" si="15"/>
        <v>29.677333659848063</v>
      </c>
      <c r="X104" s="20">
        <f t="shared" si="16"/>
        <v>29.82508505083543</v>
      </c>
      <c r="Y104" s="25">
        <f t="shared" si="14"/>
        <v>553619.76637225039</v>
      </c>
      <c r="Z104" s="26">
        <v>42373</v>
      </c>
    </row>
    <row r="105" spans="1:26" s="11" customFormat="1" x14ac:dyDescent="0.25">
      <c r="A105" s="52"/>
      <c r="B105" s="13" t="s">
        <v>25</v>
      </c>
      <c r="C105" s="15" t="s">
        <v>32</v>
      </c>
      <c r="D105" s="15" t="s">
        <v>33</v>
      </c>
      <c r="E105" s="15" t="s">
        <v>27</v>
      </c>
      <c r="F105" s="16">
        <f>41950*0.4536</f>
        <v>19028.52</v>
      </c>
      <c r="G105" s="17">
        <v>19006.98</v>
      </c>
      <c r="H105" s="17">
        <f t="shared" si="13"/>
        <v>-21.540000000000873</v>
      </c>
      <c r="I105" s="14" t="s">
        <v>191</v>
      </c>
      <c r="J105" s="18" t="s">
        <v>55</v>
      </c>
      <c r="K105" s="19">
        <v>42359</v>
      </c>
      <c r="L105" s="19">
        <v>42362</v>
      </c>
      <c r="M105" s="14" t="s">
        <v>64</v>
      </c>
      <c r="N105" s="14" t="s">
        <v>189</v>
      </c>
      <c r="O105" s="20"/>
      <c r="P105" s="21">
        <v>0.73899999999999999</v>
      </c>
      <c r="Q105" s="22">
        <v>18500</v>
      </c>
      <c r="R105" s="20">
        <v>8668</v>
      </c>
      <c r="S105" s="23">
        <v>17.260000000000002</v>
      </c>
      <c r="T105" s="29">
        <f t="shared" si="17"/>
        <v>2820.9163686717557</v>
      </c>
      <c r="V105" s="20">
        <v>0.1</v>
      </c>
      <c r="W105" s="20">
        <f t="shared" si="15"/>
        <v>29.649351275577455</v>
      </c>
      <c r="X105" s="20">
        <f t="shared" si="16"/>
        <v>29.797766035243207</v>
      </c>
      <c r="Y105" s="25">
        <f t="shared" si="14"/>
        <v>567007.38695694611</v>
      </c>
      <c r="Z105" s="26">
        <v>42373</v>
      </c>
    </row>
    <row r="106" spans="1:26" s="11" customFormat="1" x14ac:dyDescent="0.25">
      <c r="A106" s="52"/>
      <c r="B106" s="13" t="s">
        <v>25</v>
      </c>
      <c r="C106" s="14" t="s">
        <v>42</v>
      </c>
      <c r="D106" s="14" t="s">
        <v>42</v>
      </c>
      <c r="E106" s="15" t="s">
        <v>43</v>
      </c>
      <c r="F106" s="16">
        <f>41490*0.4536</f>
        <v>18819.864000000001</v>
      </c>
      <c r="G106" s="17">
        <v>18829.060000000001</v>
      </c>
      <c r="H106" s="17">
        <f t="shared" si="13"/>
        <v>9.1959999999999127</v>
      </c>
      <c r="I106" s="14" t="s">
        <v>192</v>
      </c>
      <c r="J106" s="18" t="s">
        <v>29</v>
      </c>
      <c r="K106" s="19">
        <v>42359</v>
      </c>
      <c r="L106" s="19">
        <v>42361</v>
      </c>
      <c r="M106" s="14" t="s">
        <v>52</v>
      </c>
      <c r="N106" s="14" t="s">
        <v>193</v>
      </c>
      <c r="O106" s="20"/>
      <c r="P106" s="21">
        <f>0.639+0.1075</f>
        <v>0.74650000000000005</v>
      </c>
      <c r="Q106" s="22">
        <v>18500</v>
      </c>
      <c r="R106" s="20">
        <v>8668</v>
      </c>
      <c r="S106" s="23">
        <v>17.215</v>
      </c>
      <c r="T106" s="29">
        <f t="shared" si="17"/>
        <v>2811.1405084962025</v>
      </c>
      <c r="V106" s="20">
        <v>0.1</v>
      </c>
      <c r="W106" s="20">
        <f t="shared" si="15"/>
        <v>29.874185153476162</v>
      </c>
      <c r="X106" s="20">
        <f t="shared" si="16"/>
        <v>30.023483127379066</v>
      </c>
      <c r="Y106" s="25">
        <f t="shared" si="14"/>
        <v>565037.86926356878</v>
      </c>
      <c r="Z106" s="26">
        <v>42354</v>
      </c>
    </row>
    <row r="107" spans="1:26" s="11" customFormat="1" x14ac:dyDescent="0.25">
      <c r="A107" s="52"/>
      <c r="B107" s="13" t="s">
        <v>25</v>
      </c>
      <c r="C107" s="14" t="s">
        <v>26</v>
      </c>
      <c r="D107" s="14" t="s">
        <v>26</v>
      </c>
      <c r="E107" s="15" t="s">
        <v>27</v>
      </c>
      <c r="F107" s="16">
        <f>42499*0.4536</f>
        <v>19277.546399999999</v>
      </c>
      <c r="G107" s="17">
        <v>19166.2</v>
      </c>
      <c r="H107" s="17">
        <f t="shared" si="13"/>
        <v>-111.34639999999854</v>
      </c>
      <c r="I107" s="14" t="s">
        <v>194</v>
      </c>
      <c r="J107" s="18" t="s">
        <v>51</v>
      </c>
      <c r="K107" s="19">
        <v>42359</v>
      </c>
      <c r="L107" s="19">
        <v>42361</v>
      </c>
      <c r="M107" s="14" t="s">
        <v>52</v>
      </c>
      <c r="N107" s="14" t="s">
        <v>195</v>
      </c>
      <c r="O107" s="20"/>
      <c r="P107" s="21">
        <f>0.639+0.105</f>
        <v>0.74399999999999999</v>
      </c>
      <c r="Q107" s="22">
        <v>18500</v>
      </c>
      <c r="R107" s="20">
        <v>8668</v>
      </c>
      <c r="S107" s="23">
        <v>17.215</v>
      </c>
      <c r="T107" s="29">
        <f t="shared" si="17"/>
        <v>2867.9132523154271</v>
      </c>
      <c r="V107" s="20">
        <v>0.1</v>
      </c>
      <c r="W107" s="20">
        <f t="shared" si="15"/>
        <v>29.753923998496273</v>
      </c>
      <c r="X107" s="20">
        <f t="shared" si="16"/>
        <v>29.903557898398986</v>
      </c>
      <c r="Y107" s="25">
        <f t="shared" si="14"/>
        <v>576467.22491147288</v>
      </c>
      <c r="Z107" s="26">
        <v>42354</v>
      </c>
    </row>
    <row r="108" spans="1:26" s="11" customFormat="1" x14ac:dyDescent="0.25">
      <c r="A108" s="52"/>
      <c r="B108" s="13" t="s">
        <v>46</v>
      </c>
      <c r="C108" s="15" t="s">
        <v>47</v>
      </c>
      <c r="D108" s="14" t="s">
        <v>109</v>
      </c>
      <c r="E108" s="15">
        <v>250</v>
      </c>
      <c r="F108" s="16">
        <v>24335</v>
      </c>
      <c r="G108" s="17">
        <v>19150</v>
      </c>
      <c r="H108" s="17">
        <f t="shared" si="13"/>
        <v>-5185</v>
      </c>
      <c r="I108" s="14" t="s">
        <v>196</v>
      </c>
      <c r="J108" s="15"/>
      <c r="K108" s="19"/>
      <c r="L108" s="19">
        <v>42360</v>
      </c>
      <c r="M108" s="14" t="s">
        <v>30</v>
      </c>
      <c r="N108" s="15"/>
      <c r="O108" s="20">
        <v>24.5</v>
      </c>
      <c r="P108" s="28"/>
      <c r="Q108" s="22">
        <v>16500</v>
      </c>
      <c r="R108" s="20">
        <f>59.25*E108</f>
        <v>14812.5</v>
      </c>
      <c r="S108" s="23">
        <f>-35*E108</f>
        <v>-8750</v>
      </c>
      <c r="T108" s="29">
        <f>W108*F108*0.0045</f>
        <v>3545.5269007832899</v>
      </c>
      <c r="U108" s="20">
        <f>E108*5</f>
        <v>1250</v>
      </c>
      <c r="V108" s="15"/>
      <c r="W108" s="20">
        <f>((O108*F108)+Q108+R108+S108+U108)/G108</f>
        <v>32.37702349869452</v>
      </c>
      <c r="X108" s="20">
        <f>((O108*F108)+Q108+R108+S108+T108+U108)/G108</f>
        <v>32.56216850656832</v>
      </c>
      <c r="Y108" s="25">
        <f t="shared" si="14"/>
        <v>792400.37060734001</v>
      </c>
      <c r="Z108" s="26">
        <v>42342</v>
      </c>
    </row>
    <row r="109" spans="1:26" s="11" customFormat="1" x14ac:dyDescent="0.25">
      <c r="A109" s="52"/>
      <c r="B109" s="13" t="s">
        <v>46</v>
      </c>
      <c r="C109" s="15" t="s">
        <v>47</v>
      </c>
      <c r="D109" s="14" t="s">
        <v>197</v>
      </c>
      <c r="E109" s="15">
        <f>100+129</f>
        <v>229</v>
      </c>
      <c r="F109" s="16">
        <f>10995+13485</f>
        <v>24480</v>
      </c>
      <c r="G109" s="17">
        <f>8400+11130</f>
        <v>19530</v>
      </c>
      <c r="H109" s="17">
        <f t="shared" si="13"/>
        <v>-4950</v>
      </c>
      <c r="I109" s="14" t="s">
        <v>198</v>
      </c>
      <c r="J109" s="15"/>
      <c r="K109" s="19"/>
      <c r="L109" s="19">
        <v>42360</v>
      </c>
      <c r="M109" s="14" t="s">
        <v>30</v>
      </c>
      <c r="N109" s="15"/>
      <c r="O109" s="20">
        <v>24.5</v>
      </c>
      <c r="P109" s="28"/>
      <c r="Q109" s="22">
        <v>16500</v>
      </c>
      <c r="R109" s="20">
        <f>59.25*E109</f>
        <v>13568.25</v>
      </c>
      <c r="S109" s="23">
        <f>-35*E109</f>
        <v>-8015</v>
      </c>
      <c r="T109" s="29">
        <f>W109*F109*0.0045</f>
        <v>3513.8290230414741</v>
      </c>
      <c r="U109" s="20">
        <f>E109*5</f>
        <v>1145</v>
      </c>
      <c r="V109" s="15"/>
      <c r="W109" s="20">
        <f>((O109*F109)+Q109+R109+S109+U109)/G109</f>
        <v>31.897503840245776</v>
      </c>
      <c r="X109" s="20">
        <f>((O109*F109)+Q109+R109+S109+T109+U109)/G109</f>
        <v>32.077423401077397</v>
      </c>
      <c r="Y109" s="25">
        <f t="shared" si="14"/>
        <v>785255.32485837466</v>
      </c>
      <c r="Z109" s="26">
        <v>42342</v>
      </c>
    </row>
    <row r="110" spans="1:26" s="11" customFormat="1" x14ac:dyDescent="0.25">
      <c r="A110" s="52"/>
      <c r="B110" s="13" t="s">
        <v>46</v>
      </c>
      <c r="C110" s="15" t="s">
        <v>47</v>
      </c>
      <c r="D110" s="14" t="s">
        <v>109</v>
      </c>
      <c r="E110" s="15">
        <f>250</f>
        <v>250</v>
      </c>
      <c r="F110" s="16">
        <f>24140</f>
        <v>24140</v>
      </c>
      <c r="G110" s="17">
        <f>21680</f>
        <v>21680</v>
      </c>
      <c r="H110" s="17">
        <f t="shared" si="13"/>
        <v>-2460</v>
      </c>
      <c r="I110" s="14" t="s">
        <v>199</v>
      </c>
      <c r="J110" s="15"/>
      <c r="K110" s="19"/>
      <c r="L110" s="19">
        <v>42361</v>
      </c>
      <c r="M110" s="14" t="s">
        <v>52</v>
      </c>
      <c r="N110" s="15"/>
      <c r="O110" s="20">
        <v>24.5</v>
      </c>
      <c r="P110" s="28"/>
      <c r="Q110" s="20">
        <f>16500+16500</f>
        <v>33000</v>
      </c>
      <c r="R110" s="20">
        <f>59.25*E110</f>
        <v>14812.5</v>
      </c>
      <c r="S110" s="23">
        <f>-35*E110</f>
        <v>-8750</v>
      </c>
      <c r="T110" s="29">
        <f>W110*F110*0.0045</f>
        <v>3165.4145652675275</v>
      </c>
      <c r="U110" s="20">
        <f>E110*5</f>
        <v>1250</v>
      </c>
      <c r="V110" s="15"/>
      <c r="W110" s="20">
        <f>((O110*F110)+Q110+R110+S110+U110)/G110</f>
        <v>29.139414206642066</v>
      </c>
      <c r="X110" s="20">
        <f>((O110*F110)+Q110+R110+S110+T110+U110)/G110</f>
        <v>29.285420413527099</v>
      </c>
      <c r="Y110" s="25">
        <f t="shared" si="14"/>
        <v>706950.04878254421</v>
      </c>
      <c r="Z110" s="26">
        <v>42343</v>
      </c>
    </row>
    <row r="111" spans="1:26" s="11" customFormat="1" x14ac:dyDescent="0.25">
      <c r="A111" s="52"/>
      <c r="B111" s="13" t="s">
        <v>46</v>
      </c>
      <c r="C111" s="15" t="s">
        <v>47</v>
      </c>
      <c r="D111" s="14" t="s">
        <v>48</v>
      </c>
      <c r="E111" s="15">
        <v>229</v>
      </c>
      <c r="F111" s="16">
        <v>24985</v>
      </c>
      <c r="G111" s="17">
        <v>17680</v>
      </c>
      <c r="H111" s="17">
        <f t="shared" si="13"/>
        <v>-7305</v>
      </c>
      <c r="I111" s="14" t="s">
        <v>200</v>
      </c>
      <c r="J111" s="15"/>
      <c r="K111" s="19"/>
      <c r="L111" s="19">
        <v>42361</v>
      </c>
      <c r="M111" s="14" t="s">
        <v>52</v>
      </c>
      <c r="N111" s="15"/>
      <c r="O111" s="20">
        <v>24.5</v>
      </c>
      <c r="P111" s="28"/>
      <c r="Q111" s="20">
        <v>16500</v>
      </c>
      <c r="R111" s="20">
        <f>59.25*E111</f>
        <v>13568.25</v>
      </c>
      <c r="S111" s="23">
        <f>-35*E111</f>
        <v>-8015</v>
      </c>
      <c r="T111" s="29">
        <f>W111*F111*0.0045</f>
        <v>4040.2615695347849</v>
      </c>
      <c r="U111" s="20">
        <f>E111*5</f>
        <v>1145</v>
      </c>
      <c r="V111" s="15"/>
      <c r="W111" s="20">
        <f>((O111*F111)+Q111+R111+S111+U111)/G111</f>
        <v>35.934997171945703</v>
      </c>
      <c r="X111" s="20">
        <f>((O111*F111)+Q111+R111+S111+T111+U111)/G111</f>
        <v>36.163518753932962</v>
      </c>
      <c r="Y111" s="25">
        <f t="shared" si="14"/>
        <v>903545.51606701501</v>
      </c>
      <c r="Z111" s="26">
        <v>42343</v>
      </c>
    </row>
    <row r="112" spans="1:26" s="11" customFormat="1" x14ac:dyDescent="0.25">
      <c r="A112" s="52"/>
      <c r="B112" s="13" t="s">
        <v>25</v>
      </c>
      <c r="C112" s="15" t="s">
        <v>32</v>
      </c>
      <c r="D112" s="15" t="s">
        <v>33</v>
      </c>
      <c r="E112" s="15" t="s">
        <v>39</v>
      </c>
      <c r="F112" s="16">
        <f>41105*0.4536</f>
        <v>18645.227999999999</v>
      </c>
      <c r="G112" s="17">
        <v>18497.86</v>
      </c>
      <c r="H112" s="17">
        <f t="shared" si="13"/>
        <v>-147.36799999999857</v>
      </c>
      <c r="I112" s="14" t="s">
        <v>201</v>
      </c>
      <c r="J112" s="18" t="s">
        <v>51</v>
      </c>
      <c r="K112" s="19">
        <v>42360</v>
      </c>
      <c r="L112" s="19">
        <v>42366</v>
      </c>
      <c r="M112" s="53" t="s">
        <v>98</v>
      </c>
      <c r="N112" s="14" t="s">
        <v>189</v>
      </c>
      <c r="O112" s="20"/>
      <c r="P112" s="21">
        <f>0.639+0.1</f>
        <v>0.73899999999999999</v>
      </c>
      <c r="Q112" s="22">
        <v>18500</v>
      </c>
      <c r="R112" s="20">
        <v>11306</v>
      </c>
      <c r="S112" s="23">
        <v>17.260000000000002</v>
      </c>
      <c r="T112" s="29">
        <f t="shared" ref="T112:T121" si="18">W112*F112*0.005</f>
        <v>2781.0572456940754</v>
      </c>
      <c r="V112" s="20">
        <v>0.1</v>
      </c>
      <c r="W112" s="20">
        <f t="shared" ref="W112:W121" si="19">IF(O112&gt;0,O112,((P112*2.2046*S112)+(Q112+R112)/G112)+V112)</f>
        <v>29.831303169841373</v>
      </c>
      <c r="X112" s="20">
        <f t="shared" ref="X112:X121" si="20">IF(O112&gt;0,O112,((P112*2.2046*S112)+(Q112+R112+T112)/G112)+V112)</f>
        <v>29.981647979765011</v>
      </c>
      <c r="Y112" s="25">
        <f t="shared" si="14"/>
        <v>559014.66239845799</v>
      </c>
      <c r="Z112" s="26">
        <v>42373</v>
      </c>
    </row>
    <row r="113" spans="1:26" s="11" customFormat="1" x14ac:dyDescent="0.25">
      <c r="A113" s="52"/>
      <c r="B113" s="13" t="s">
        <v>25</v>
      </c>
      <c r="C113" s="15" t="s">
        <v>32</v>
      </c>
      <c r="D113" s="15" t="s">
        <v>33</v>
      </c>
      <c r="E113" s="15" t="s">
        <v>34</v>
      </c>
      <c r="F113" s="16">
        <f>37566*0.4536</f>
        <v>17039.937600000001</v>
      </c>
      <c r="G113" s="17">
        <f>18527.86-1625</f>
        <v>16902.86</v>
      </c>
      <c r="H113" s="17">
        <f t="shared" si="13"/>
        <v>-137.07760000000053</v>
      </c>
      <c r="I113" s="14" t="s">
        <v>202</v>
      </c>
      <c r="J113" s="18" t="s">
        <v>66</v>
      </c>
      <c r="K113" s="19">
        <v>42360</v>
      </c>
      <c r="L113" s="19">
        <v>42364</v>
      </c>
      <c r="M113" s="14" t="s">
        <v>86</v>
      </c>
      <c r="N113" s="14" t="s">
        <v>189</v>
      </c>
      <c r="O113" s="20"/>
      <c r="P113" s="21">
        <v>0.73899999999999999</v>
      </c>
      <c r="Q113" s="22">
        <f>(18500*G113)/(G113+G114)</f>
        <v>16877.443482409733</v>
      </c>
      <c r="R113" s="20">
        <f>(11306*G113)/(G113+G114)</f>
        <v>10314.398703358078</v>
      </c>
      <c r="S113" s="23">
        <v>17.260000000000002</v>
      </c>
      <c r="T113" s="29">
        <f t="shared" si="18"/>
        <v>2541.3954346070473</v>
      </c>
      <c r="V113" s="20">
        <v>0.1</v>
      </c>
      <c r="W113" s="20">
        <f t="shared" si="19"/>
        <v>29.828694145065967</v>
      </c>
      <c r="X113" s="20">
        <f t="shared" si="20"/>
        <v>29.979047128798129</v>
      </c>
      <c r="Y113" s="25">
        <f t="shared" si="14"/>
        <v>510841.09238217934</v>
      </c>
      <c r="Z113" s="26">
        <v>42373</v>
      </c>
    </row>
    <row r="114" spans="1:26" s="11" customFormat="1" x14ac:dyDescent="0.25">
      <c r="A114" s="52"/>
      <c r="B114" s="13" t="s">
        <v>37</v>
      </c>
      <c r="C114" s="15" t="s">
        <v>32</v>
      </c>
      <c r="D114" s="14" t="s">
        <v>33</v>
      </c>
      <c r="E114" s="15" t="s">
        <v>38</v>
      </c>
      <c r="F114" s="16">
        <f>3580*0.4536</f>
        <v>1623.8879999999999</v>
      </c>
      <c r="G114" s="17">
        <v>1625</v>
      </c>
      <c r="H114" s="17">
        <f t="shared" si="13"/>
        <v>1.11200000000008</v>
      </c>
      <c r="J114" s="15"/>
      <c r="K114" s="19">
        <v>42360</v>
      </c>
      <c r="L114" s="19">
        <v>42364</v>
      </c>
      <c r="M114" s="14" t="s">
        <v>86</v>
      </c>
      <c r="N114" s="14"/>
      <c r="O114" s="20"/>
      <c r="P114" s="21">
        <v>0.4</v>
      </c>
      <c r="Q114" s="22">
        <f>(18500*G114)/(G114+G113)</f>
        <v>1622.5565175902668</v>
      </c>
      <c r="R114" s="20">
        <f>(11306*G114)/(G114+G113)</f>
        <v>991.60129664192186</v>
      </c>
      <c r="S114" s="23">
        <v>17.260000000000002</v>
      </c>
      <c r="T114" s="29">
        <f t="shared" si="18"/>
        <v>137.45619932495103</v>
      </c>
      <c r="V114" s="20">
        <v>0.1</v>
      </c>
      <c r="W114" s="20">
        <f t="shared" si="19"/>
        <v>16.929270901065966</v>
      </c>
      <c r="X114" s="20">
        <f t="shared" si="20"/>
        <v>17.013859331419784</v>
      </c>
      <c r="Y114" s="25">
        <f t="shared" si="14"/>
        <v>27628.602001980609</v>
      </c>
      <c r="Z114" s="26">
        <v>42008</v>
      </c>
    </row>
    <row r="115" spans="1:26" s="11" customFormat="1" x14ac:dyDescent="0.25">
      <c r="A115" s="52"/>
      <c r="B115" s="13" t="s">
        <v>25</v>
      </c>
      <c r="C115" s="15" t="s">
        <v>32</v>
      </c>
      <c r="D115" s="15" t="s">
        <v>33</v>
      </c>
      <c r="E115" s="15" t="s">
        <v>39</v>
      </c>
      <c r="F115" s="16">
        <f>40884*0.4536</f>
        <v>18544.982400000001</v>
      </c>
      <c r="G115" s="17">
        <v>18542.71</v>
      </c>
      <c r="H115" s="17">
        <f t="shared" si="13"/>
        <v>-2.2724000000016531</v>
      </c>
      <c r="I115" s="14" t="s">
        <v>203</v>
      </c>
      <c r="J115" s="18" t="s">
        <v>106</v>
      </c>
      <c r="K115" s="19">
        <v>42360</v>
      </c>
      <c r="L115" s="19">
        <v>42362</v>
      </c>
      <c r="M115" s="14" t="s">
        <v>64</v>
      </c>
      <c r="N115" s="14" t="s">
        <v>189</v>
      </c>
      <c r="O115" s="20"/>
      <c r="P115" s="21">
        <v>0.73899999999999999</v>
      </c>
      <c r="Q115" s="22">
        <v>18500</v>
      </c>
      <c r="R115" s="20">
        <v>8681</v>
      </c>
      <c r="S115" s="23">
        <v>17.399999999999999</v>
      </c>
      <c r="T115" s="29">
        <f t="shared" si="18"/>
        <v>2773.7664016118551</v>
      </c>
      <c r="V115" s="20">
        <v>0.1</v>
      </c>
      <c r="W115" s="20">
        <f t="shared" si="19"/>
        <v>29.913928649636844</v>
      </c>
      <c r="X115" s="20">
        <f t="shared" si="20"/>
        <v>30.063516622571321</v>
      </c>
      <c r="Y115" s="25">
        <f t="shared" si="14"/>
        <v>557527.38664769265</v>
      </c>
      <c r="Z115" s="26">
        <v>42373</v>
      </c>
    </row>
    <row r="116" spans="1:26" s="11" customFormat="1" x14ac:dyDescent="0.25">
      <c r="A116" s="52"/>
      <c r="B116" s="13" t="s">
        <v>25</v>
      </c>
      <c r="C116" s="14" t="s">
        <v>26</v>
      </c>
      <c r="D116" s="14" t="s">
        <v>26</v>
      </c>
      <c r="E116" s="15" t="s">
        <v>27</v>
      </c>
      <c r="F116" s="16">
        <f>42220*0.4536</f>
        <v>19150.991999999998</v>
      </c>
      <c r="G116" s="17">
        <v>19086.98</v>
      </c>
      <c r="H116" s="17">
        <f t="shared" si="13"/>
        <v>-64.011999999998807</v>
      </c>
      <c r="I116" s="14" t="s">
        <v>204</v>
      </c>
      <c r="J116" s="18" t="s">
        <v>29</v>
      </c>
      <c r="K116" s="19">
        <v>42360</v>
      </c>
      <c r="L116" s="19">
        <v>42365</v>
      </c>
      <c r="M116" s="53" t="s">
        <v>95</v>
      </c>
      <c r="N116" s="14" t="s">
        <v>195</v>
      </c>
      <c r="O116" s="20"/>
      <c r="P116" s="21">
        <f>0.639+0.105</f>
        <v>0.74399999999999999</v>
      </c>
      <c r="Q116" s="22">
        <v>18500</v>
      </c>
      <c r="R116" s="20">
        <v>11306</v>
      </c>
      <c r="S116" s="23">
        <v>17.2</v>
      </c>
      <c r="T116" s="29">
        <f t="shared" si="18"/>
        <v>2860.5274990867074</v>
      </c>
      <c r="V116" s="20">
        <v>0.1</v>
      </c>
      <c r="W116" s="20">
        <f t="shared" si="19"/>
        <v>29.873413336360933</v>
      </c>
      <c r="X116" s="20">
        <f t="shared" si="20"/>
        <v>30.023281335336502</v>
      </c>
      <c r="Y116" s="25">
        <f t="shared" si="14"/>
        <v>574975.62066677865</v>
      </c>
      <c r="Z116" s="26">
        <v>42355</v>
      </c>
    </row>
    <row r="117" spans="1:26" s="11" customFormat="1" x14ac:dyDescent="0.25">
      <c r="A117" s="52"/>
      <c r="B117" s="13" t="s">
        <v>25</v>
      </c>
      <c r="C117" s="14" t="s">
        <v>26</v>
      </c>
      <c r="D117" s="14" t="s">
        <v>26</v>
      </c>
      <c r="E117" s="15" t="s">
        <v>27</v>
      </c>
      <c r="F117" s="16">
        <f>42853*0.4536</f>
        <v>19438.120800000001</v>
      </c>
      <c r="G117" s="17">
        <v>19318.240000000002</v>
      </c>
      <c r="H117" s="17">
        <f t="shared" si="13"/>
        <v>-119.880799999999</v>
      </c>
      <c r="I117" s="14" t="s">
        <v>205</v>
      </c>
      <c r="J117" s="18" t="s">
        <v>206</v>
      </c>
      <c r="K117" s="19">
        <v>42360</v>
      </c>
      <c r="L117" s="19">
        <v>42364</v>
      </c>
      <c r="M117" s="14" t="s">
        <v>86</v>
      </c>
      <c r="N117" s="14" t="s">
        <v>195</v>
      </c>
      <c r="O117" s="20"/>
      <c r="P117" s="21">
        <v>0.74399999999999999</v>
      </c>
      <c r="Q117" s="22">
        <v>24000</v>
      </c>
      <c r="R117" s="20">
        <v>11306</v>
      </c>
      <c r="S117" s="23">
        <v>17.2</v>
      </c>
      <c r="T117" s="29">
        <f t="shared" si="18"/>
        <v>2929.2688695774955</v>
      </c>
      <c r="V117" s="20">
        <v>0.1</v>
      </c>
      <c r="W117" s="20">
        <f t="shared" si="19"/>
        <v>30.139424481583582</v>
      </c>
      <c r="X117" s="20">
        <f t="shared" si="20"/>
        <v>30.291056766386831</v>
      </c>
      <c r="Y117" s="25">
        <f t="shared" si="14"/>
        <v>588801.22058468463</v>
      </c>
      <c r="Z117" s="26">
        <v>42355</v>
      </c>
    </row>
    <row r="118" spans="1:26" s="11" customFormat="1" x14ac:dyDescent="0.25">
      <c r="A118" s="52"/>
      <c r="B118" s="13" t="s">
        <v>25</v>
      </c>
      <c r="C118" s="14" t="s">
        <v>26</v>
      </c>
      <c r="D118" s="14" t="s">
        <v>26</v>
      </c>
      <c r="E118" s="15" t="s">
        <v>27</v>
      </c>
      <c r="F118" s="16">
        <f>42813*0.4536</f>
        <v>19419.9768</v>
      </c>
      <c r="G118" s="17">
        <v>19329.740000000002</v>
      </c>
      <c r="H118" s="17">
        <f t="shared" si="13"/>
        <v>-90.236799999998766</v>
      </c>
      <c r="I118" s="14" t="s">
        <v>207</v>
      </c>
      <c r="J118" s="18" t="s">
        <v>29</v>
      </c>
      <c r="K118" s="19">
        <v>42360</v>
      </c>
      <c r="L118" s="19">
        <v>42361</v>
      </c>
      <c r="M118" s="14" t="s">
        <v>52</v>
      </c>
      <c r="N118" s="14" t="s">
        <v>195</v>
      </c>
      <c r="O118" s="20"/>
      <c r="P118" s="21">
        <v>0.74399999999999999</v>
      </c>
      <c r="Q118" s="22">
        <v>18500</v>
      </c>
      <c r="R118" s="20">
        <v>8681</v>
      </c>
      <c r="S118" s="23">
        <v>17.14</v>
      </c>
      <c r="T118" s="29">
        <f t="shared" si="18"/>
        <v>2876.0584699576675</v>
      </c>
      <c r="V118" s="20">
        <v>0.1</v>
      </c>
      <c r="W118" s="20">
        <f t="shared" si="19"/>
        <v>29.619587083725737</v>
      </c>
      <c r="X118" s="20">
        <f t="shared" si="20"/>
        <v>29.768376383010551</v>
      </c>
      <c r="Y118" s="25">
        <f t="shared" si="14"/>
        <v>578101.17873173289</v>
      </c>
      <c r="Z118" s="26">
        <v>42356</v>
      </c>
    </row>
    <row r="119" spans="1:26" s="11" customFormat="1" x14ac:dyDescent="0.25">
      <c r="A119" s="52"/>
      <c r="B119" s="13" t="s">
        <v>25</v>
      </c>
      <c r="C119" s="14" t="s">
        <v>26</v>
      </c>
      <c r="D119" s="14" t="s">
        <v>26</v>
      </c>
      <c r="E119" s="15" t="s">
        <v>27</v>
      </c>
      <c r="F119" s="16">
        <f>42591*0.4536</f>
        <v>19319.277600000001</v>
      </c>
      <c r="G119" s="17">
        <v>19083.52</v>
      </c>
      <c r="H119" s="17">
        <f t="shared" si="13"/>
        <v>-235.75760000000082</v>
      </c>
      <c r="I119" s="14" t="s">
        <v>208</v>
      </c>
      <c r="J119" s="18" t="s">
        <v>209</v>
      </c>
      <c r="K119" s="19">
        <v>42361</v>
      </c>
      <c r="L119" s="19">
        <v>42367</v>
      </c>
      <c r="M119" s="53" t="s">
        <v>30</v>
      </c>
      <c r="N119" s="14" t="s">
        <v>210</v>
      </c>
      <c r="O119" s="20"/>
      <c r="P119" s="21">
        <f>0.5924+0.105</f>
        <v>0.69740000000000002</v>
      </c>
      <c r="Q119" s="22">
        <v>24000</v>
      </c>
      <c r="R119" s="20">
        <v>11306</v>
      </c>
      <c r="S119" s="23">
        <v>17.14</v>
      </c>
      <c r="T119" s="29">
        <f t="shared" si="18"/>
        <v>2733.9311506620802</v>
      </c>
      <c r="V119" s="20">
        <v>0.1</v>
      </c>
      <c r="W119" s="20">
        <f t="shared" si="19"/>
        <v>28.302622978636425</v>
      </c>
      <c r="X119" s="20">
        <f t="shared" si="20"/>
        <v>28.445884345022819</v>
      </c>
      <c r="Y119" s="25">
        <f t="shared" si="14"/>
        <v>549553.93623899005</v>
      </c>
      <c r="Z119" s="26">
        <v>42356</v>
      </c>
    </row>
    <row r="120" spans="1:26" s="11" customFormat="1" x14ac:dyDescent="0.25">
      <c r="A120" s="52"/>
      <c r="B120" s="13" t="s">
        <v>25</v>
      </c>
      <c r="C120" s="14" t="s">
        <v>26</v>
      </c>
      <c r="D120" s="14" t="s">
        <v>26</v>
      </c>
      <c r="E120" s="15" t="s">
        <v>27</v>
      </c>
      <c r="F120" s="16">
        <f>42679*0.4536</f>
        <v>19359.1944</v>
      </c>
      <c r="G120" s="17">
        <v>19271.490000000002</v>
      </c>
      <c r="H120" s="17">
        <f t="shared" si="13"/>
        <v>-87.704399999998714</v>
      </c>
      <c r="I120" s="14" t="s">
        <v>211</v>
      </c>
      <c r="J120" s="18" t="s">
        <v>212</v>
      </c>
      <c r="K120" s="19">
        <v>42361</v>
      </c>
      <c r="L120" s="19">
        <v>42364</v>
      </c>
      <c r="M120" s="14" t="s">
        <v>86</v>
      </c>
      <c r="N120" s="14" t="s">
        <v>210</v>
      </c>
      <c r="O120" s="20"/>
      <c r="P120" s="21">
        <v>0.69740000000000002</v>
      </c>
      <c r="Q120" s="22">
        <v>24000</v>
      </c>
      <c r="R120" s="20">
        <v>8681</v>
      </c>
      <c r="S120" s="23">
        <v>17.14</v>
      </c>
      <c r="T120" s="29">
        <f t="shared" si="18"/>
        <v>2724.6484605655378</v>
      </c>
      <c r="V120" s="20">
        <v>0.1</v>
      </c>
      <c r="W120" s="20">
        <f t="shared" si="19"/>
        <v>28.148366138268003</v>
      </c>
      <c r="X120" s="20">
        <f t="shared" si="20"/>
        <v>28.289748483928122</v>
      </c>
      <c r="Y120" s="25">
        <f t="shared" si="14"/>
        <v>547666.74042746983</v>
      </c>
      <c r="Z120" s="26">
        <v>42356</v>
      </c>
    </row>
    <row r="121" spans="1:26" s="11" customFormat="1" x14ac:dyDescent="0.25">
      <c r="A121" s="52"/>
      <c r="B121" s="54" t="s">
        <v>25</v>
      </c>
      <c r="C121" s="50" t="s">
        <v>42</v>
      </c>
      <c r="D121" s="50" t="s">
        <v>42</v>
      </c>
      <c r="E121" s="55" t="s">
        <v>213</v>
      </c>
      <c r="F121" s="56">
        <v>19000</v>
      </c>
      <c r="G121" s="57">
        <v>19000</v>
      </c>
      <c r="H121" s="57">
        <f t="shared" si="13"/>
        <v>0</v>
      </c>
      <c r="I121" s="50" t="s">
        <v>214</v>
      </c>
      <c r="J121" s="55" t="s">
        <v>215</v>
      </c>
      <c r="K121" s="58">
        <v>42361</v>
      </c>
      <c r="L121" s="58">
        <v>42362</v>
      </c>
      <c r="M121" s="50" t="s">
        <v>64</v>
      </c>
      <c r="N121" s="50" t="s">
        <v>216</v>
      </c>
      <c r="O121" s="59"/>
      <c r="P121" s="60">
        <f>0.5924+0.1075</f>
        <v>0.69990000000000008</v>
      </c>
      <c r="Q121" s="59">
        <v>18500</v>
      </c>
      <c r="R121" s="59">
        <v>8700</v>
      </c>
      <c r="S121" s="61">
        <v>17.2</v>
      </c>
      <c r="T121" s="62">
        <f t="shared" si="18"/>
        <v>2666.7612483600005</v>
      </c>
      <c r="U121" s="63"/>
      <c r="V121" s="59">
        <v>0.1</v>
      </c>
      <c r="W121" s="59">
        <f t="shared" si="19"/>
        <v>28.071171035368426</v>
      </c>
      <c r="X121" s="59">
        <f t="shared" si="20"/>
        <v>28.211526890545269</v>
      </c>
      <c r="Y121" s="64">
        <f t="shared" si="14"/>
        <v>536019.0109203601</v>
      </c>
      <c r="Z121" s="65">
        <v>42355</v>
      </c>
    </row>
    <row r="122" spans="1:26" s="11" customFormat="1" x14ac:dyDescent="0.25">
      <c r="A122" s="52"/>
      <c r="B122" s="13" t="s">
        <v>46</v>
      </c>
      <c r="C122" s="15" t="s">
        <v>47</v>
      </c>
      <c r="D122" s="14" t="s">
        <v>217</v>
      </c>
      <c r="E122" s="15">
        <f>230+210+40</f>
        <v>480</v>
      </c>
      <c r="F122" s="16">
        <f>24405+22480+3815</f>
        <v>50700</v>
      </c>
      <c r="G122" s="17">
        <f>19870+20270</f>
        <v>40140</v>
      </c>
      <c r="H122" s="17">
        <f t="shared" si="13"/>
        <v>-10560</v>
      </c>
      <c r="I122" s="14" t="s">
        <v>218</v>
      </c>
      <c r="J122" s="15"/>
      <c r="K122" s="19"/>
      <c r="L122" s="19">
        <v>42363</v>
      </c>
      <c r="M122" s="14" t="s">
        <v>76</v>
      </c>
      <c r="N122" s="15"/>
      <c r="O122" s="20">
        <v>24.5</v>
      </c>
      <c r="P122" s="28"/>
      <c r="Q122" s="22">
        <f>16500+16500</f>
        <v>33000</v>
      </c>
      <c r="R122" s="20">
        <f>59.25*E122</f>
        <v>28440</v>
      </c>
      <c r="S122" s="23">
        <f>-35*E122</f>
        <v>-16800</v>
      </c>
      <c r="T122" s="29">
        <f>W122*F122*0.0045</f>
        <v>7327.5709641255598</v>
      </c>
      <c r="U122" s="20">
        <f>E122*5</f>
        <v>2400</v>
      </c>
      <c r="V122" s="15"/>
      <c r="W122" s="20">
        <f>((O122*F122)+Q122+R122+S122+U122)/G122</f>
        <v>32.117339312406578</v>
      </c>
      <c r="X122" s="20">
        <f>((O122*F122)+Q122+R122+S122+T122+U122)/G122</f>
        <v>32.299889660292116</v>
      </c>
      <c r="Y122" s="25">
        <f t="shared" si="14"/>
        <v>1637604.4057768104</v>
      </c>
      <c r="Z122" s="26">
        <v>42375</v>
      </c>
    </row>
    <row r="123" spans="1:26" s="11" customFormat="1" x14ac:dyDescent="0.25">
      <c r="A123" s="52"/>
      <c r="B123" s="13" t="s">
        <v>219</v>
      </c>
      <c r="C123" s="15" t="s">
        <v>26</v>
      </c>
      <c r="D123" s="14" t="s">
        <v>80</v>
      </c>
      <c r="E123" s="15" t="s">
        <v>27</v>
      </c>
      <c r="F123" s="16">
        <f>42780*0.4536</f>
        <v>19405.008000000002</v>
      </c>
      <c r="G123" s="17">
        <v>19372.79</v>
      </c>
      <c r="H123" s="17">
        <f t="shared" si="13"/>
        <v>-32.218000000000757</v>
      </c>
      <c r="I123" s="14" t="s">
        <v>220</v>
      </c>
      <c r="J123" s="15"/>
      <c r="K123" s="19"/>
      <c r="L123" s="19">
        <v>42364</v>
      </c>
      <c r="M123" s="14" t="s">
        <v>86</v>
      </c>
      <c r="N123" s="15"/>
      <c r="O123" s="20"/>
      <c r="P123" s="28">
        <v>0.747</v>
      </c>
      <c r="Q123" s="20"/>
      <c r="R123" s="20"/>
      <c r="S123" s="23">
        <v>17.829999999999998</v>
      </c>
      <c r="T123" s="29"/>
      <c r="U123" s="20"/>
      <c r="V123" s="20"/>
      <c r="W123" s="20">
        <f>IF(O123&gt;0,O123,((P123*2.2046*S123)+(Q123+R123)/G123)+V123)</f>
        <v>29.363089446</v>
      </c>
      <c r="X123" s="20">
        <f>IF(O123&gt;0,O123,((P123*2.2046*S123)+(Q123+R123+T123)/G123)+V123)</f>
        <v>29.363089446</v>
      </c>
      <c r="Y123" s="25">
        <f t="shared" si="14"/>
        <v>569790.98560434557</v>
      </c>
      <c r="Z123" s="26">
        <v>42384</v>
      </c>
    </row>
    <row r="124" spans="1:26" s="11" customFormat="1" ht="15.75" thickBot="1" x14ac:dyDescent="0.3">
      <c r="A124" s="52"/>
      <c r="B124" s="32"/>
      <c r="C124" s="3"/>
      <c r="D124" s="3"/>
      <c r="E124" s="3"/>
      <c r="F124" s="33"/>
      <c r="G124" s="33"/>
      <c r="H124" s="33"/>
      <c r="I124" s="5"/>
      <c r="J124" s="3"/>
      <c r="K124" s="6"/>
      <c r="L124" s="6"/>
      <c r="M124" s="3"/>
      <c r="N124" s="3"/>
      <c r="O124" s="7"/>
      <c r="P124" s="8"/>
      <c r="Q124" s="7"/>
      <c r="R124" s="7"/>
      <c r="S124" s="7"/>
      <c r="T124" s="7"/>
      <c r="U124" s="7"/>
      <c r="V124" s="7"/>
      <c r="W124" s="7"/>
      <c r="X124" s="7"/>
      <c r="Y124" s="7"/>
      <c r="Z124" s="34"/>
    </row>
    <row r="125" spans="1:26" s="11" customFormat="1" x14ac:dyDescent="0.25">
      <c r="A125" s="66"/>
      <c r="B125" s="36" t="s">
        <v>46</v>
      </c>
      <c r="C125" s="37" t="s">
        <v>47</v>
      </c>
      <c r="D125" s="38" t="s">
        <v>221</v>
      </c>
      <c r="E125" s="37">
        <f>230+130</f>
        <v>360</v>
      </c>
      <c r="F125" s="39">
        <f>23955+14770</f>
        <v>38725</v>
      </c>
      <c r="G125" s="40">
        <f>19970+11040</f>
        <v>31010</v>
      </c>
      <c r="H125" s="40">
        <f t="shared" ref="H125:H152" si="21">G125-F125</f>
        <v>-7715</v>
      </c>
      <c r="I125" s="38" t="s">
        <v>222</v>
      </c>
      <c r="J125" s="37"/>
      <c r="K125" s="41"/>
      <c r="L125" s="41">
        <v>42365</v>
      </c>
      <c r="M125" s="38" t="s">
        <v>95</v>
      </c>
      <c r="N125" s="37"/>
      <c r="O125" s="42">
        <v>24.5</v>
      </c>
      <c r="P125" s="43"/>
      <c r="Q125" s="44">
        <f>16500+13000</f>
        <v>29500</v>
      </c>
      <c r="R125" s="42">
        <f>59.25*E125</f>
        <v>21330</v>
      </c>
      <c r="S125" s="23">
        <f>-35*E125</f>
        <v>-12600</v>
      </c>
      <c r="T125" s="45">
        <f>W125*F125*0.0045</f>
        <v>5556.5770084247015</v>
      </c>
      <c r="U125" s="42">
        <f>E125*5</f>
        <v>1800</v>
      </c>
      <c r="V125" s="37"/>
      <c r="W125" s="42">
        <f>((O125*F125)+Q125+R125+S125+U125)/G125</f>
        <v>31.886246372138022</v>
      </c>
      <c r="X125" s="42">
        <f>((O125*F125)+Q125+R125+S125+T125+U125)/G125</f>
        <v>32.065432989629947</v>
      </c>
      <c r="Y125" s="46">
        <f t="shared" ref="Y125:Y152" si="22">X125*F125</f>
        <v>1241733.8925234198</v>
      </c>
      <c r="Z125" s="47">
        <v>42380</v>
      </c>
    </row>
    <row r="126" spans="1:26" s="11" customFormat="1" x14ac:dyDescent="0.25">
      <c r="A126" s="66"/>
      <c r="B126" s="13" t="s">
        <v>46</v>
      </c>
      <c r="C126" s="15" t="s">
        <v>47</v>
      </c>
      <c r="D126" s="14" t="s">
        <v>48</v>
      </c>
      <c r="E126" s="15">
        <v>230</v>
      </c>
      <c r="F126" s="16">
        <v>22630</v>
      </c>
      <c r="G126" s="17">
        <v>17940</v>
      </c>
      <c r="H126" s="17">
        <f t="shared" si="21"/>
        <v>-4690</v>
      </c>
      <c r="I126" s="14" t="s">
        <v>223</v>
      </c>
      <c r="J126" s="15"/>
      <c r="K126" s="19"/>
      <c r="L126" s="19">
        <v>42366</v>
      </c>
      <c r="M126" s="14" t="s">
        <v>98</v>
      </c>
      <c r="N126" s="15"/>
      <c r="O126" s="20">
        <v>24.5</v>
      </c>
      <c r="P126" s="28"/>
      <c r="Q126" s="22">
        <v>16500</v>
      </c>
      <c r="R126" s="20">
        <f>59.25*E126</f>
        <v>13627.5</v>
      </c>
      <c r="S126" s="23">
        <f>-35*E126</f>
        <v>-8050</v>
      </c>
      <c r="T126" s="29">
        <f>W126*F126*0.0045</f>
        <v>3279.0557796822736</v>
      </c>
      <c r="U126" s="20">
        <f>E126*5</f>
        <v>1150</v>
      </c>
      <c r="V126" s="15"/>
      <c r="W126" s="20">
        <f>((O126*F126)+Q126+R126+S126+U126)/G126</f>
        <v>32.199693422519509</v>
      </c>
      <c r="X126" s="20">
        <f>((O126*F126)+Q126+R126+S126+T126+U126)/G126</f>
        <v>32.382472451487303</v>
      </c>
      <c r="Y126" s="25">
        <f t="shared" si="22"/>
        <v>732815.35157715762</v>
      </c>
      <c r="Z126" s="26">
        <v>42380</v>
      </c>
    </row>
    <row r="127" spans="1:26" s="11" customFormat="1" x14ac:dyDescent="0.25">
      <c r="A127" s="66"/>
      <c r="B127" s="13" t="s">
        <v>46</v>
      </c>
      <c r="C127" s="15" t="s">
        <v>47</v>
      </c>
      <c r="D127" s="14" t="s">
        <v>221</v>
      </c>
      <c r="E127" s="15">
        <v>130</v>
      </c>
      <c r="F127" s="16">
        <v>12590</v>
      </c>
      <c r="G127" s="17">
        <v>10210</v>
      </c>
      <c r="H127" s="17">
        <f t="shared" si="21"/>
        <v>-2380</v>
      </c>
      <c r="I127" s="14" t="s">
        <v>224</v>
      </c>
      <c r="J127" s="15"/>
      <c r="K127" s="19"/>
      <c r="L127" s="19">
        <v>42366</v>
      </c>
      <c r="M127" s="14" t="s">
        <v>98</v>
      </c>
      <c r="N127" s="15"/>
      <c r="O127" s="20">
        <v>24.5</v>
      </c>
      <c r="P127" s="28"/>
      <c r="Q127" s="22">
        <v>13000</v>
      </c>
      <c r="R127" s="20">
        <f>59.25*E127</f>
        <v>7702.5</v>
      </c>
      <c r="S127" s="23">
        <f>-35*E127</f>
        <v>-4550</v>
      </c>
      <c r="T127" s="29">
        <f>W127*F127*0.0045</f>
        <v>1804.8446290401566</v>
      </c>
      <c r="U127" s="20">
        <f>E127*5</f>
        <v>650</v>
      </c>
      <c r="V127" s="15"/>
      <c r="W127" s="20">
        <f>((O127*F127)+Q127+R127+S127+U127)/G127</f>
        <v>31.856758080313419</v>
      </c>
      <c r="X127" s="20">
        <f>((O127*F127)+Q127+R127+S127+T127+U127)/G127</f>
        <v>32.03353032605682</v>
      </c>
      <c r="Y127" s="25">
        <f t="shared" si="22"/>
        <v>403302.14680505538</v>
      </c>
      <c r="Z127" s="26">
        <v>42380</v>
      </c>
    </row>
    <row r="128" spans="1:26" s="11" customFormat="1" x14ac:dyDescent="0.25">
      <c r="A128" s="66"/>
      <c r="B128" s="13" t="s">
        <v>25</v>
      </c>
      <c r="C128" s="15" t="s">
        <v>26</v>
      </c>
      <c r="D128" s="14" t="s">
        <v>80</v>
      </c>
      <c r="E128" s="15" t="s">
        <v>27</v>
      </c>
      <c r="F128" s="16">
        <f>42352*0.4536</f>
        <v>19210.867200000001</v>
      </c>
      <c r="G128" s="17">
        <v>18997.45</v>
      </c>
      <c r="H128" s="17">
        <f t="shared" si="21"/>
        <v>-213.41719999999987</v>
      </c>
      <c r="I128" s="14" t="s">
        <v>225</v>
      </c>
      <c r="J128" s="15"/>
      <c r="K128" s="19"/>
      <c r="L128" s="19">
        <v>42366</v>
      </c>
      <c r="M128" s="14" t="s">
        <v>98</v>
      </c>
      <c r="N128" s="15"/>
      <c r="O128" s="20"/>
      <c r="P128" s="28">
        <v>0.747</v>
      </c>
      <c r="Q128" s="20"/>
      <c r="R128" s="20"/>
      <c r="S128" s="23">
        <v>17.829999999999998</v>
      </c>
      <c r="T128" s="29"/>
      <c r="U128" s="20"/>
      <c r="V128" s="20"/>
      <c r="W128" s="20">
        <f t="shared" ref="W128:W139" si="23">IF(O128&gt;0,O128,((P128*2.2046*S128)+(Q128+R128)/G128)+V128)</f>
        <v>29.363089446</v>
      </c>
      <c r="X128" s="20">
        <f t="shared" ref="X128:X139" si="24">IF(O128&gt;0,O128,((P128*2.2046*S128)+(Q128+R128+T128)/G128)+V128)</f>
        <v>29.363089446</v>
      </c>
      <c r="Y128" s="25">
        <f t="shared" si="22"/>
        <v>564090.41192882764</v>
      </c>
      <c r="Z128" s="26">
        <v>42384</v>
      </c>
    </row>
    <row r="129" spans="1:26" s="11" customFormat="1" x14ac:dyDescent="0.25">
      <c r="A129" s="66"/>
      <c r="B129" s="13" t="s">
        <v>25</v>
      </c>
      <c r="C129" s="15" t="s">
        <v>42</v>
      </c>
      <c r="D129" s="14" t="s">
        <v>69</v>
      </c>
      <c r="E129" s="15" t="s">
        <v>43</v>
      </c>
      <c r="F129" s="16">
        <f>41816*0.4536</f>
        <v>18967.7376</v>
      </c>
      <c r="G129" s="17">
        <v>18920.13</v>
      </c>
      <c r="H129" s="17">
        <f t="shared" si="21"/>
        <v>-47.607599999999366</v>
      </c>
      <c r="I129" s="14">
        <v>5345</v>
      </c>
      <c r="J129" s="15"/>
      <c r="K129" s="19"/>
      <c r="L129" s="19">
        <v>42364</v>
      </c>
      <c r="M129" s="14" t="s">
        <v>86</v>
      </c>
      <c r="N129" s="15" t="s">
        <v>226</v>
      </c>
      <c r="O129" s="20"/>
      <c r="P129" s="21">
        <f>0.5984+0.15</f>
        <v>0.74840000000000007</v>
      </c>
      <c r="Q129" s="20"/>
      <c r="R129" s="20"/>
      <c r="S129" s="23">
        <v>17.29</v>
      </c>
      <c r="T129" s="29"/>
      <c r="V129" s="20"/>
      <c r="W129" s="20">
        <f t="shared" si="23"/>
        <v>28.527162445600002</v>
      </c>
      <c r="X129" s="20">
        <f t="shared" si="24"/>
        <v>28.527162445600002</v>
      </c>
      <c r="Y129" s="25">
        <f t="shared" si="22"/>
        <v>541095.7317407151</v>
      </c>
      <c r="Z129" s="26">
        <v>42373</v>
      </c>
    </row>
    <row r="130" spans="1:26" s="11" customFormat="1" x14ac:dyDescent="0.25">
      <c r="A130" s="66"/>
      <c r="B130" s="13" t="s">
        <v>25</v>
      </c>
      <c r="C130" s="15" t="s">
        <v>32</v>
      </c>
      <c r="D130" s="15" t="s">
        <v>33</v>
      </c>
      <c r="E130" s="15" t="s">
        <v>39</v>
      </c>
      <c r="F130" s="16">
        <f>37730*0.4536</f>
        <v>17114.328000000001</v>
      </c>
      <c r="G130" s="17">
        <f>18665.64-1542</f>
        <v>17123.64</v>
      </c>
      <c r="H130" s="17">
        <f t="shared" si="21"/>
        <v>9.3119999999980791</v>
      </c>
      <c r="I130" s="14" t="s">
        <v>227</v>
      </c>
      <c r="J130" s="67" t="s">
        <v>29</v>
      </c>
      <c r="K130" s="19">
        <v>42366</v>
      </c>
      <c r="L130" s="19">
        <v>42367</v>
      </c>
      <c r="M130" s="14" t="s">
        <v>30</v>
      </c>
      <c r="N130" s="14" t="s">
        <v>228</v>
      </c>
      <c r="O130" s="20"/>
      <c r="P130" s="21">
        <f>0.5544+0.1</f>
        <v>0.65439999999999998</v>
      </c>
      <c r="Q130" s="22">
        <f>(18500*G130)/(G130+G131)</f>
        <v>16971.683799751845</v>
      </c>
      <c r="R130" s="20">
        <f>(8681*G130)/(G130+G131)</f>
        <v>7963.8479494943658</v>
      </c>
      <c r="S130" s="23">
        <v>17.399999999999999</v>
      </c>
      <c r="T130" s="29">
        <f t="shared" ref="T130:T139" si="25">W130*F130*0.005</f>
        <v>2281.2556572061899</v>
      </c>
      <c r="V130" s="20">
        <v>0.1</v>
      </c>
      <c r="W130" s="20">
        <f t="shared" si="23"/>
        <v>26.659015267280019</v>
      </c>
      <c r="X130" s="20">
        <f t="shared" si="24"/>
        <v>26.792237856472866</v>
      </c>
      <c r="Y130" s="25">
        <f t="shared" si="22"/>
        <v>458531.14652969356</v>
      </c>
      <c r="Z130" s="26">
        <v>42376</v>
      </c>
    </row>
    <row r="131" spans="1:26" s="11" customFormat="1" x14ac:dyDescent="0.25">
      <c r="A131" s="66"/>
      <c r="B131" s="13" t="s">
        <v>37</v>
      </c>
      <c r="C131" s="14" t="s">
        <v>32</v>
      </c>
      <c r="D131" s="14" t="s">
        <v>33</v>
      </c>
      <c r="E131" s="15" t="s">
        <v>38</v>
      </c>
      <c r="F131" s="16">
        <f>3400*0.4536</f>
        <v>1542.24</v>
      </c>
      <c r="G131" s="17">
        <v>1542</v>
      </c>
      <c r="H131" s="17">
        <f t="shared" si="21"/>
        <v>-0.24000000000000909</v>
      </c>
      <c r="I131" s="14"/>
      <c r="J131" s="15"/>
      <c r="K131" s="19">
        <v>42366</v>
      </c>
      <c r="L131" s="19">
        <v>42367</v>
      </c>
      <c r="M131" s="14" t="s">
        <v>30</v>
      </c>
      <c r="N131" s="14"/>
      <c r="O131" s="20"/>
      <c r="P131" s="21">
        <v>0.4</v>
      </c>
      <c r="Q131" s="22">
        <f>(18500*G131)/(G131+G130)</f>
        <v>1528.3162002481565</v>
      </c>
      <c r="R131" s="20">
        <f>(8681*G131)/(G131+G130)</f>
        <v>717.15205050563497</v>
      </c>
      <c r="S131" s="23">
        <v>17.399999999999999</v>
      </c>
      <c r="T131" s="29">
        <f t="shared" si="25"/>
        <v>130.32098487907851</v>
      </c>
      <c r="V131" s="20">
        <v>0.1</v>
      </c>
      <c r="W131" s="20">
        <f t="shared" si="23"/>
        <v>16.90022109128002</v>
      </c>
      <c r="X131" s="20">
        <f t="shared" si="24"/>
        <v>16.984735348659449</v>
      </c>
      <c r="Y131" s="25">
        <f t="shared" si="22"/>
        <v>26194.538244116549</v>
      </c>
      <c r="Z131" s="26">
        <v>42376</v>
      </c>
    </row>
    <row r="132" spans="1:26" s="11" customFormat="1" x14ac:dyDescent="0.25">
      <c r="A132" s="66"/>
      <c r="B132" s="13" t="s">
        <v>25</v>
      </c>
      <c r="C132" s="15" t="s">
        <v>32</v>
      </c>
      <c r="D132" s="15" t="s">
        <v>33</v>
      </c>
      <c r="E132" s="15" t="s">
        <v>39</v>
      </c>
      <c r="F132" s="16">
        <f>37855*0.4536</f>
        <v>17171.027999999998</v>
      </c>
      <c r="G132" s="17">
        <f>18518.83-1358</f>
        <v>17160.830000000002</v>
      </c>
      <c r="H132" s="17">
        <f t="shared" si="21"/>
        <v>-10.197999999996682</v>
      </c>
      <c r="I132" s="14" t="s">
        <v>229</v>
      </c>
      <c r="J132" s="67" t="s">
        <v>106</v>
      </c>
      <c r="K132" s="19">
        <v>42366</v>
      </c>
      <c r="L132" s="19">
        <v>42367</v>
      </c>
      <c r="M132" s="14" t="s">
        <v>30</v>
      </c>
      <c r="N132" s="14" t="s">
        <v>228</v>
      </c>
      <c r="O132" s="20"/>
      <c r="P132" s="21">
        <v>0.65439999999999998</v>
      </c>
      <c r="Q132" s="22">
        <f>(25000*G132)/(G132+G133)</f>
        <v>23166.730835587347</v>
      </c>
      <c r="R132" s="20">
        <f>(8681*G132)/(G132+G133)</f>
        <v>8044.4156153493504</v>
      </c>
      <c r="S132" s="23">
        <v>17.29</v>
      </c>
      <c r="T132" s="29">
        <f t="shared" si="25"/>
        <v>2306.3144050564983</v>
      </c>
      <c r="V132" s="20">
        <v>0.1</v>
      </c>
      <c r="W132" s="20">
        <f t="shared" si="23"/>
        <v>26.862857658335869</v>
      </c>
      <c r="X132" s="20">
        <f t="shared" si="24"/>
        <v>26.997251764276928</v>
      </c>
      <c r="Y132" s="25">
        <f t="shared" si="22"/>
        <v>463570.56596744852</v>
      </c>
      <c r="Z132" s="26">
        <v>42375</v>
      </c>
    </row>
    <row r="133" spans="1:26" s="11" customFormat="1" x14ac:dyDescent="0.25">
      <c r="A133" s="66"/>
      <c r="B133" s="13" t="s">
        <v>37</v>
      </c>
      <c r="C133" s="14" t="s">
        <v>32</v>
      </c>
      <c r="D133" s="14" t="s">
        <v>33</v>
      </c>
      <c r="E133" s="15" t="s">
        <v>38</v>
      </c>
      <c r="F133" s="16">
        <f>3010*0.4536</f>
        <v>1365.336</v>
      </c>
      <c r="G133" s="17">
        <v>1358</v>
      </c>
      <c r="H133" s="17">
        <f t="shared" si="21"/>
        <v>-7.3360000000000127</v>
      </c>
      <c r="I133" s="14"/>
      <c r="J133" s="15"/>
      <c r="K133" s="19">
        <v>42366</v>
      </c>
      <c r="L133" s="19">
        <v>42367</v>
      </c>
      <c r="M133" s="14" t="s">
        <v>30</v>
      </c>
      <c r="N133" s="14"/>
      <c r="O133" s="20"/>
      <c r="P133" s="21">
        <v>0.4</v>
      </c>
      <c r="Q133" s="22">
        <f>(25000*G133)/(G133+G132)</f>
        <v>1833.2691644126544</v>
      </c>
      <c r="R133" s="20">
        <f>(8681*G133)/(G133+G132)</f>
        <v>636.58438465065012</v>
      </c>
      <c r="S133" s="23">
        <v>17.29</v>
      </c>
      <c r="T133" s="29">
        <f t="shared" si="25"/>
        <v>117.18513005639697</v>
      </c>
      <c r="V133" s="20">
        <v>0.1</v>
      </c>
      <c r="W133" s="20">
        <f t="shared" si="23"/>
        <v>17.165757008735866</v>
      </c>
      <c r="X133" s="20">
        <f t="shared" si="24"/>
        <v>17.25204944618535</v>
      </c>
      <c r="Y133" s="25">
        <f t="shared" si="22"/>
        <v>23554.844182656921</v>
      </c>
      <c r="Z133" s="26">
        <v>42376</v>
      </c>
    </row>
    <row r="134" spans="1:26" s="11" customFormat="1" x14ac:dyDescent="0.25">
      <c r="A134" s="66"/>
      <c r="B134" s="13" t="s">
        <v>25</v>
      </c>
      <c r="C134" s="15" t="s">
        <v>32</v>
      </c>
      <c r="D134" s="15" t="s">
        <v>33</v>
      </c>
      <c r="E134" s="15" t="s">
        <v>39</v>
      </c>
      <c r="F134" s="16">
        <f>40474*0.4536</f>
        <v>18359.006399999998</v>
      </c>
      <c r="G134" s="17">
        <v>18277.759999999998</v>
      </c>
      <c r="H134" s="17">
        <f t="shared" si="21"/>
        <v>-81.246399999999994</v>
      </c>
      <c r="I134" s="50" t="s">
        <v>230</v>
      </c>
      <c r="J134" s="67" t="s">
        <v>41</v>
      </c>
      <c r="K134" s="19">
        <v>42366</v>
      </c>
      <c r="L134" s="19">
        <v>42367</v>
      </c>
      <c r="M134" s="14" t="s">
        <v>30</v>
      </c>
      <c r="N134" s="14" t="s">
        <v>228</v>
      </c>
      <c r="O134" s="20"/>
      <c r="P134" s="21">
        <v>0.65439999999999998</v>
      </c>
      <c r="Q134" s="22">
        <v>18500</v>
      </c>
      <c r="R134" s="20">
        <v>8681</v>
      </c>
      <c r="S134" s="23">
        <v>17.29</v>
      </c>
      <c r="T134" s="29">
        <f t="shared" si="25"/>
        <v>2435.4343797414435</v>
      </c>
      <c r="V134" s="20">
        <v>0.1</v>
      </c>
      <c r="W134" s="20">
        <f t="shared" si="23"/>
        <v>26.531222079005794</v>
      </c>
      <c r="X134" s="20">
        <f t="shared" si="24"/>
        <v>26.664467858562013</v>
      </c>
      <c r="Y134" s="25">
        <f t="shared" si="22"/>
        <v>489533.13606793422</v>
      </c>
      <c r="Z134" s="26">
        <v>42376</v>
      </c>
    </row>
    <row r="135" spans="1:26" s="11" customFormat="1" x14ac:dyDescent="0.25">
      <c r="A135" s="66"/>
      <c r="B135" s="13" t="s">
        <v>25</v>
      </c>
      <c r="C135" s="15" t="s">
        <v>32</v>
      </c>
      <c r="D135" s="15" t="s">
        <v>33</v>
      </c>
      <c r="E135" s="15" t="s">
        <v>39</v>
      </c>
      <c r="F135" s="16">
        <f>40272*0.4536</f>
        <v>18267.379199999999</v>
      </c>
      <c r="G135" s="17">
        <v>18199.599999999999</v>
      </c>
      <c r="H135" s="17">
        <f t="shared" si="21"/>
        <v>-67.779200000000856</v>
      </c>
      <c r="I135" s="14" t="s">
        <v>231</v>
      </c>
      <c r="J135" s="67" t="s">
        <v>29</v>
      </c>
      <c r="K135" s="19">
        <v>42366</v>
      </c>
      <c r="L135" s="19">
        <v>42367</v>
      </c>
      <c r="M135" s="14" t="s">
        <v>30</v>
      </c>
      <c r="N135" s="14" t="s">
        <v>228</v>
      </c>
      <c r="O135" s="20"/>
      <c r="P135" s="21">
        <v>0.65439999999999998</v>
      </c>
      <c r="Q135" s="22">
        <v>18500</v>
      </c>
      <c r="R135" s="20">
        <v>8681</v>
      </c>
      <c r="S135" s="23">
        <v>17.29</v>
      </c>
      <c r="T135" s="29">
        <f t="shared" si="25"/>
        <v>2423.8627978933118</v>
      </c>
      <c r="V135" s="20">
        <v>0.1</v>
      </c>
      <c r="W135" s="20">
        <f t="shared" si="23"/>
        <v>26.537608612113466</v>
      </c>
      <c r="X135" s="20">
        <f t="shared" si="24"/>
        <v>26.670790813804345</v>
      </c>
      <c r="Y135" s="25">
        <f t="shared" si="22"/>
        <v>487205.44935964054</v>
      </c>
      <c r="Z135" s="26">
        <v>42376</v>
      </c>
    </row>
    <row r="136" spans="1:26" s="11" customFormat="1" x14ac:dyDescent="0.25">
      <c r="A136" s="66"/>
      <c r="B136" s="13" t="s">
        <v>25</v>
      </c>
      <c r="C136" s="15" t="s">
        <v>32</v>
      </c>
      <c r="D136" s="15" t="s">
        <v>33</v>
      </c>
      <c r="E136" s="15" t="s">
        <v>27</v>
      </c>
      <c r="F136" s="16">
        <f>39855*0.4536</f>
        <v>18078.227999999999</v>
      </c>
      <c r="G136" s="17">
        <v>17995.599999999999</v>
      </c>
      <c r="H136" s="17">
        <f t="shared" si="21"/>
        <v>-82.628000000000611</v>
      </c>
      <c r="I136" s="14" t="s">
        <v>232</v>
      </c>
      <c r="J136" s="67" t="s">
        <v>233</v>
      </c>
      <c r="K136" s="19">
        <v>42366</v>
      </c>
      <c r="L136" s="19">
        <v>42368</v>
      </c>
      <c r="M136" s="14" t="s">
        <v>52</v>
      </c>
      <c r="N136" s="14" t="s">
        <v>228</v>
      </c>
      <c r="O136" s="20"/>
      <c r="P136" s="21">
        <v>0.65439999999999998</v>
      </c>
      <c r="Q136" s="22">
        <v>18500</v>
      </c>
      <c r="R136" s="20">
        <v>8681</v>
      </c>
      <c r="S136" s="23">
        <v>17.29</v>
      </c>
      <c r="T136" s="29">
        <f t="shared" si="25"/>
        <v>2400.2950542012727</v>
      </c>
      <c r="V136" s="20">
        <v>0.1</v>
      </c>
      <c r="W136" s="20">
        <f t="shared" si="23"/>
        <v>26.554539020099458</v>
      </c>
      <c r="X136" s="20">
        <f t="shared" si="24"/>
        <v>26.687921349902371</v>
      </c>
      <c r="Y136" s="25">
        <f t="shared" si="22"/>
        <v>482470.3270096028</v>
      </c>
      <c r="Z136" s="26">
        <v>42377</v>
      </c>
    </row>
    <row r="137" spans="1:26" s="11" customFormat="1" x14ac:dyDescent="0.25">
      <c r="A137" s="66"/>
      <c r="B137" s="54" t="s">
        <v>25</v>
      </c>
      <c r="C137" s="67" t="s">
        <v>32</v>
      </c>
      <c r="D137" s="67" t="s">
        <v>33</v>
      </c>
      <c r="E137" s="67" t="s">
        <v>162</v>
      </c>
      <c r="F137" s="56">
        <f>42424*0.4536</f>
        <v>19243.526399999999</v>
      </c>
      <c r="G137" s="57">
        <v>19200</v>
      </c>
      <c r="H137" s="57">
        <f t="shared" si="21"/>
        <v>-43.52639999999883</v>
      </c>
      <c r="I137" s="50" t="s">
        <v>234</v>
      </c>
      <c r="J137" s="67" t="s">
        <v>51</v>
      </c>
      <c r="K137" s="58">
        <v>42366</v>
      </c>
      <c r="L137" s="58">
        <v>42368</v>
      </c>
      <c r="M137" s="50" t="s">
        <v>52</v>
      </c>
      <c r="N137" s="50" t="s">
        <v>228</v>
      </c>
      <c r="O137" s="59"/>
      <c r="P137" s="60">
        <v>0.65439999999999998</v>
      </c>
      <c r="Q137" s="59">
        <v>25000</v>
      </c>
      <c r="R137" s="59">
        <v>8681</v>
      </c>
      <c r="S137" s="23">
        <v>17.38</v>
      </c>
      <c r="T137" s="62">
        <f t="shared" si="25"/>
        <v>2590.965244243177</v>
      </c>
      <c r="U137" s="63"/>
      <c r="V137" s="59">
        <v>0.1</v>
      </c>
      <c r="W137" s="59">
        <f t="shared" si="23"/>
        <v>26.928175121200002</v>
      </c>
      <c r="X137" s="59">
        <f t="shared" si="24"/>
        <v>27.063121227671001</v>
      </c>
      <c r="Y137" s="64">
        <f t="shared" si="22"/>
        <v>520789.8878110873</v>
      </c>
      <c r="Z137" s="65">
        <v>42377</v>
      </c>
    </row>
    <row r="138" spans="1:26" s="11" customFormat="1" x14ac:dyDescent="0.25">
      <c r="A138" s="66"/>
      <c r="B138" s="13" t="s">
        <v>25</v>
      </c>
      <c r="C138" s="14" t="s">
        <v>42</v>
      </c>
      <c r="D138" s="14" t="s">
        <v>42</v>
      </c>
      <c r="E138" s="15" t="s">
        <v>43</v>
      </c>
      <c r="F138" s="16">
        <f>41443*0.4536</f>
        <v>18798.5448</v>
      </c>
      <c r="G138" s="17">
        <v>18710.13</v>
      </c>
      <c r="H138" s="17">
        <f t="shared" si="21"/>
        <v>-88.41479999999865</v>
      </c>
      <c r="I138" s="14" t="s">
        <v>235</v>
      </c>
      <c r="J138" s="67" t="s">
        <v>29</v>
      </c>
      <c r="K138" s="19">
        <v>42366</v>
      </c>
      <c r="L138" s="19">
        <v>42368</v>
      </c>
      <c r="M138" s="14" t="s">
        <v>52</v>
      </c>
      <c r="N138" s="14" t="s">
        <v>236</v>
      </c>
      <c r="O138" s="20"/>
      <c r="P138" s="21">
        <f>0.5544+0.1075</f>
        <v>0.66190000000000004</v>
      </c>
      <c r="Q138" s="22">
        <v>18500</v>
      </c>
      <c r="R138" s="20">
        <v>8681</v>
      </c>
      <c r="S138" s="23">
        <v>17.193000000000001</v>
      </c>
      <c r="T138" s="29">
        <f t="shared" si="25"/>
        <v>2504.0783382475061</v>
      </c>
      <c r="V138" s="20">
        <v>0.1</v>
      </c>
      <c r="W138" s="20">
        <f t="shared" si="23"/>
        <v>26.64119339968811</v>
      </c>
      <c r="X138" s="20">
        <f t="shared" si="24"/>
        <v>26.775028832058034</v>
      </c>
      <c r="Y138" s="25">
        <f t="shared" si="22"/>
        <v>503331.57902073464</v>
      </c>
      <c r="Z138" s="26">
        <v>42359</v>
      </c>
    </row>
    <row r="139" spans="1:26" s="11" customFormat="1" x14ac:dyDescent="0.25">
      <c r="A139" s="66"/>
      <c r="B139" s="13" t="s">
        <v>25</v>
      </c>
      <c r="C139" s="14" t="s">
        <v>26</v>
      </c>
      <c r="D139" s="14" t="s">
        <v>26</v>
      </c>
      <c r="E139" s="15" t="s">
        <v>27</v>
      </c>
      <c r="F139" s="16">
        <f>42583*0.4536</f>
        <v>19315.648799999999</v>
      </c>
      <c r="G139" s="17">
        <v>19120.82</v>
      </c>
      <c r="H139" s="17">
        <f t="shared" si="21"/>
        <v>-194.82879999999932</v>
      </c>
      <c r="I139" s="14" t="s">
        <v>237</v>
      </c>
      <c r="J139" s="67" t="s">
        <v>238</v>
      </c>
      <c r="K139" s="19">
        <v>42366</v>
      </c>
      <c r="L139" s="19">
        <v>42367</v>
      </c>
      <c r="M139" s="14" t="s">
        <v>30</v>
      </c>
      <c r="N139" s="14" t="s">
        <v>239</v>
      </c>
      <c r="O139" s="20"/>
      <c r="P139" s="21">
        <f>0.4943+0.105</f>
        <v>0.59930000000000005</v>
      </c>
      <c r="Q139" s="22">
        <v>25000</v>
      </c>
      <c r="R139" s="20">
        <v>8694</v>
      </c>
      <c r="S139" s="23">
        <v>17.193000000000001</v>
      </c>
      <c r="T139" s="29">
        <f t="shared" si="25"/>
        <v>2373.6849200180777</v>
      </c>
      <c r="V139" s="20">
        <v>0.1</v>
      </c>
      <c r="W139" s="20">
        <f t="shared" si="23"/>
        <v>24.577843018331102</v>
      </c>
      <c r="X139" s="20">
        <f t="shared" si="24"/>
        <v>24.701984395114003</v>
      </c>
      <c r="Y139" s="25">
        <f t="shared" si="22"/>
        <v>477134.8552391025</v>
      </c>
      <c r="Z139" s="26">
        <v>42359</v>
      </c>
    </row>
    <row r="140" spans="1:26" s="11" customFormat="1" x14ac:dyDescent="0.25">
      <c r="A140" s="66"/>
      <c r="B140" s="13" t="s">
        <v>46</v>
      </c>
      <c r="C140" s="15" t="s">
        <v>47</v>
      </c>
      <c r="D140" s="14" t="s">
        <v>48</v>
      </c>
      <c r="E140" s="15">
        <v>230</v>
      </c>
      <c r="F140" s="16">
        <v>23380</v>
      </c>
      <c r="G140" s="17">
        <v>18540</v>
      </c>
      <c r="H140" s="17">
        <f t="shared" si="21"/>
        <v>-4840</v>
      </c>
      <c r="I140" s="14" t="s">
        <v>240</v>
      </c>
      <c r="J140" s="15"/>
      <c r="K140" s="19"/>
      <c r="L140" s="19">
        <v>42367</v>
      </c>
      <c r="M140" s="14" t="s">
        <v>30</v>
      </c>
      <c r="N140" s="15"/>
      <c r="O140" s="20">
        <v>24.5</v>
      </c>
      <c r="P140" s="28"/>
      <c r="Q140" s="22">
        <v>16500</v>
      </c>
      <c r="R140" s="20">
        <f>59.25*E140</f>
        <v>13627.5</v>
      </c>
      <c r="S140" s="23">
        <f>-35*E140</f>
        <v>-8050</v>
      </c>
      <c r="T140" s="29">
        <f>W140*F140*0.0045</f>
        <v>3382.3681432038829</v>
      </c>
      <c r="U140" s="20">
        <f>E140*5</f>
        <v>1150</v>
      </c>
      <c r="V140" s="15"/>
      <c r="W140" s="20">
        <f>((O140*F140)+Q140+R140+S140+U140)/G140</f>
        <v>32.148732470334409</v>
      </c>
      <c r="X140" s="20">
        <f>((O140*F140)+Q140+R140+S140+T140+U140)/G140</f>
        <v>32.331168724013153</v>
      </c>
      <c r="Y140" s="25">
        <f t="shared" si="22"/>
        <v>755902.72476742754</v>
      </c>
      <c r="Z140" s="26">
        <v>42380</v>
      </c>
    </row>
    <row r="141" spans="1:26" s="11" customFormat="1" x14ac:dyDescent="0.25">
      <c r="A141" s="66"/>
      <c r="B141" s="13" t="s">
        <v>46</v>
      </c>
      <c r="C141" s="15" t="s">
        <v>47</v>
      </c>
      <c r="D141" s="14" t="s">
        <v>48</v>
      </c>
      <c r="E141" s="15">
        <v>130</v>
      </c>
      <c r="F141" s="16">
        <v>13680</v>
      </c>
      <c r="G141" s="17">
        <v>10930</v>
      </c>
      <c r="H141" s="17">
        <f t="shared" si="21"/>
        <v>-2750</v>
      </c>
      <c r="I141" s="14" t="s">
        <v>241</v>
      </c>
      <c r="J141" s="15"/>
      <c r="K141" s="19"/>
      <c r="L141" s="19">
        <v>42367</v>
      </c>
      <c r="M141" s="14" t="s">
        <v>30</v>
      </c>
      <c r="N141" s="15"/>
      <c r="O141" s="20">
        <v>24.5</v>
      </c>
      <c r="P141" s="28"/>
      <c r="Q141" s="22">
        <v>13000</v>
      </c>
      <c r="R141" s="20">
        <f>59.25*E141</f>
        <v>7702.5</v>
      </c>
      <c r="S141" s="23">
        <f>-35*E141</f>
        <v>-4550</v>
      </c>
      <c r="T141" s="29">
        <f>W141*F141*0.0045</f>
        <v>1982.3249313815184</v>
      </c>
      <c r="U141" s="20">
        <f>E141*5</f>
        <v>650</v>
      </c>
      <c r="V141" s="15"/>
      <c r="W141" s="20">
        <f>((O141*F141)+Q141+R141+S141+U141)/G141</f>
        <v>32.201509606587372</v>
      </c>
      <c r="X141" s="20">
        <f>((O141*F141)+Q141+R141+S141+T141+U141)/G141</f>
        <v>32.382875108086139</v>
      </c>
      <c r="Y141" s="25">
        <f t="shared" si="22"/>
        <v>442997.7314786184</v>
      </c>
      <c r="Z141" s="26">
        <v>42380</v>
      </c>
    </row>
    <row r="142" spans="1:26" s="11" customFormat="1" x14ac:dyDescent="0.25">
      <c r="A142" s="66"/>
      <c r="B142" s="13" t="s">
        <v>25</v>
      </c>
      <c r="C142" s="15" t="s">
        <v>32</v>
      </c>
      <c r="D142" s="15" t="s">
        <v>33</v>
      </c>
      <c r="E142" s="15" t="s">
        <v>27</v>
      </c>
      <c r="F142" s="16">
        <f>41523*0.4536</f>
        <v>18834.8328</v>
      </c>
      <c r="G142" s="17">
        <v>18993.349999999999</v>
      </c>
      <c r="H142" s="17">
        <f t="shared" si="21"/>
        <v>158.51719999999841</v>
      </c>
      <c r="I142" s="14" t="s">
        <v>242</v>
      </c>
      <c r="J142" s="67" t="s">
        <v>243</v>
      </c>
      <c r="K142" s="19">
        <v>42367</v>
      </c>
      <c r="L142" s="19">
        <v>42368</v>
      </c>
      <c r="M142" s="14" t="s">
        <v>52</v>
      </c>
      <c r="N142" s="14" t="s">
        <v>244</v>
      </c>
      <c r="O142" s="20"/>
      <c r="P142" s="21">
        <f>0.4943+0.1</f>
        <v>0.59430000000000005</v>
      </c>
      <c r="Q142" s="22">
        <v>25000</v>
      </c>
      <c r="R142" s="20">
        <v>8694</v>
      </c>
      <c r="S142" s="23">
        <v>17.29</v>
      </c>
      <c r="T142" s="29">
        <f>W142*F142*0.005</f>
        <v>2309.8323008982015</v>
      </c>
      <c r="V142" s="20">
        <v>0.1</v>
      </c>
      <c r="W142" s="20">
        <f>IF(O142&gt;0,O142,((P142*2.2046*S142)+(Q142+R142)/G142)+V142)</f>
        <v>24.527239773513696</v>
      </c>
      <c r="X142" s="20">
        <f>IF(O142&gt;0,O142,((P142*2.2046*S142)+(Q142+R142+T142)/G142)+V142)</f>
        <v>24.64885245905354</v>
      </c>
      <c r="Y142" s="25">
        <f t="shared" si="22"/>
        <v>464257.01477814227</v>
      </c>
      <c r="Z142" s="26">
        <v>42380</v>
      </c>
    </row>
    <row r="143" spans="1:26" s="11" customFormat="1" x14ac:dyDescent="0.25">
      <c r="A143" s="66"/>
      <c r="B143" s="13" t="s">
        <v>25</v>
      </c>
      <c r="C143" s="15" t="s">
        <v>32</v>
      </c>
      <c r="D143" s="15" t="s">
        <v>33</v>
      </c>
      <c r="E143" s="15" t="s">
        <v>162</v>
      </c>
      <c r="F143" s="16">
        <f>42456*0.4536</f>
        <v>19258.0416</v>
      </c>
      <c r="G143" s="17">
        <v>19378.38</v>
      </c>
      <c r="H143" s="17">
        <f t="shared" si="21"/>
        <v>120.33840000000055</v>
      </c>
      <c r="I143" s="50" t="s">
        <v>245</v>
      </c>
      <c r="J143" s="67" t="s">
        <v>243</v>
      </c>
      <c r="K143" s="19">
        <v>42367</v>
      </c>
      <c r="L143" s="19">
        <v>42368</v>
      </c>
      <c r="M143" s="14" t="s">
        <v>52</v>
      </c>
      <c r="N143" s="14" t="s">
        <v>244</v>
      </c>
      <c r="O143" s="20"/>
      <c r="P143" s="21">
        <v>0.59430000000000005</v>
      </c>
      <c r="Q143" s="22">
        <v>25000</v>
      </c>
      <c r="R143" s="20">
        <v>8694</v>
      </c>
      <c r="S143" s="23">
        <v>17.29</v>
      </c>
      <c r="T143" s="29">
        <f>W143*F143*0.005</f>
        <v>2358.339032051425</v>
      </c>
      <c r="V143" s="20">
        <v>0.1</v>
      </c>
      <c r="W143" s="20">
        <f>IF(O143&gt;0,O143,((P143*2.2046*S143)+(Q143+R143)/G143)+V143)</f>
        <v>24.491992291172792</v>
      </c>
      <c r="X143" s="20">
        <f>IF(O143&gt;0,O143,((P143*2.2046*S143)+(Q143+R143+T143)/G143)+V143)</f>
        <v>24.613691784734762</v>
      </c>
      <c r="Y143" s="25">
        <f t="shared" si="22"/>
        <v>474011.50032000028</v>
      </c>
      <c r="Z143" s="26">
        <v>42380</v>
      </c>
    </row>
    <row r="144" spans="1:26" s="11" customFormat="1" x14ac:dyDescent="0.25">
      <c r="A144" s="66"/>
      <c r="B144" s="13" t="s">
        <v>25</v>
      </c>
      <c r="C144" s="15" t="s">
        <v>32</v>
      </c>
      <c r="D144" s="15" t="s">
        <v>33</v>
      </c>
      <c r="E144" s="15" t="s">
        <v>27</v>
      </c>
      <c r="F144" s="16">
        <f>41731*0.4536</f>
        <v>18929.1816</v>
      </c>
      <c r="G144" s="17">
        <v>18900</v>
      </c>
      <c r="H144" s="17">
        <f t="shared" si="21"/>
        <v>-29.181599999999889</v>
      </c>
      <c r="I144" s="50" t="s">
        <v>246</v>
      </c>
      <c r="J144" s="67" t="s">
        <v>29</v>
      </c>
      <c r="K144" s="19">
        <v>42367</v>
      </c>
      <c r="L144" s="19">
        <v>42369</v>
      </c>
      <c r="M144" s="14" t="s">
        <v>64</v>
      </c>
      <c r="N144" s="14" t="s">
        <v>244</v>
      </c>
      <c r="O144" s="20"/>
      <c r="P144" s="21">
        <v>0.59430000000000005</v>
      </c>
      <c r="Q144" s="22">
        <v>18500</v>
      </c>
      <c r="R144" s="20">
        <v>8707</v>
      </c>
      <c r="S144" s="23">
        <v>17.29</v>
      </c>
      <c r="T144" s="29">
        <f>W144*F144*0.005</f>
        <v>2289.7470874184637</v>
      </c>
      <c r="V144" s="20">
        <v>0.1</v>
      </c>
      <c r="W144" s="20">
        <f>IF(O144&gt;0,O144,((P144*2.2046*S144)+(Q144+R144)/G144)+V144)</f>
        <v>24.192774265723813</v>
      </c>
      <c r="X144" s="20">
        <f>IF(O144&gt;0,O144,((P144*2.2046*S144)+(Q144+R144+T144)/G144)+V144)</f>
        <v>24.313924905269765</v>
      </c>
      <c r="Y144" s="25">
        <f t="shared" si="22"/>
        <v>460242.69994061417</v>
      </c>
      <c r="Z144" s="26">
        <v>42380</v>
      </c>
    </row>
    <row r="145" spans="1:26" s="11" customFormat="1" x14ac:dyDescent="0.25">
      <c r="A145" s="66"/>
      <c r="B145" s="13" t="s">
        <v>25</v>
      </c>
      <c r="C145" s="14" t="s">
        <v>26</v>
      </c>
      <c r="D145" s="14" t="s">
        <v>26</v>
      </c>
      <c r="E145" s="15" t="s">
        <v>27</v>
      </c>
      <c r="F145" s="16">
        <f>42534*0.4536</f>
        <v>19293.422399999999</v>
      </c>
      <c r="G145" s="17">
        <v>19227.95</v>
      </c>
      <c r="H145" s="17">
        <f t="shared" si="21"/>
        <v>-65.472399999998743</v>
      </c>
      <c r="I145" s="14" t="s">
        <v>247</v>
      </c>
      <c r="J145" s="67" t="s">
        <v>248</v>
      </c>
      <c r="K145" s="19">
        <v>42367</v>
      </c>
      <c r="L145" s="19">
        <v>42368</v>
      </c>
      <c r="M145" s="14" t="s">
        <v>52</v>
      </c>
      <c r="N145" s="14" t="s">
        <v>249</v>
      </c>
      <c r="O145" s="20"/>
      <c r="P145" s="21">
        <f>0.4943+0.105</f>
        <v>0.59930000000000005</v>
      </c>
      <c r="Q145" s="22">
        <v>18500</v>
      </c>
      <c r="R145" s="20">
        <v>8694</v>
      </c>
      <c r="S145" s="23">
        <v>17.193000000000001</v>
      </c>
      <c r="T145" s="29">
        <f>W145*F145*0.005</f>
        <v>2337.3957539717139</v>
      </c>
      <c r="V145" s="20">
        <v>0.1</v>
      </c>
      <c r="W145" s="20">
        <f>IF(O145&gt;0,O145,((P145*2.2046*S145)+(Q145+R145)/G145)+V145)</f>
        <v>24.229975434236216</v>
      </c>
      <c r="X145" s="20">
        <f>IF(O145&gt;0,O145,((P145*2.2046*S145)+(Q145+R145+T145)/G145)+V145)</f>
        <v>24.351537834490621</v>
      </c>
      <c r="Y145" s="25">
        <f t="shared" si="22"/>
        <v>469824.50553040882</v>
      </c>
      <c r="Z145" s="26">
        <v>42359</v>
      </c>
    </row>
    <row r="146" spans="1:26" s="11" customFormat="1" x14ac:dyDescent="0.25">
      <c r="A146" s="66"/>
      <c r="B146" s="13" t="s">
        <v>25</v>
      </c>
      <c r="C146" s="14" t="s">
        <v>26</v>
      </c>
      <c r="D146" s="14" t="s">
        <v>26</v>
      </c>
      <c r="E146" s="15" t="s">
        <v>27</v>
      </c>
      <c r="F146" s="16">
        <f>42621.82*0.4536</f>
        <v>19333.257551999999</v>
      </c>
      <c r="G146" s="17">
        <v>19290.240000000002</v>
      </c>
      <c r="H146" s="17">
        <f t="shared" si="21"/>
        <v>-43.017551999997522</v>
      </c>
      <c r="I146" s="14" t="s">
        <v>250</v>
      </c>
      <c r="J146" s="67" t="s">
        <v>243</v>
      </c>
      <c r="K146" s="19">
        <v>42367</v>
      </c>
      <c r="L146" s="19">
        <v>42368</v>
      </c>
      <c r="M146" s="14" t="s">
        <v>52</v>
      </c>
      <c r="N146" s="14" t="s">
        <v>249</v>
      </c>
      <c r="O146" s="20"/>
      <c r="P146" s="21">
        <v>0.59930000000000005</v>
      </c>
      <c r="Q146" s="22">
        <v>25000</v>
      </c>
      <c r="R146" s="20">
        <v>8694</v>
      </c>
      <c r="S146" s="23">
        <v>17.193000000000001</v>
      </c>
      <c r="T146" s="29">
        <f>W146*F146*0.005</f>
        <v>2374.3527887123246</v>
      </c>
      <c r="V146" s="20">
        <v>0.1</v>
      </c>
      <c r="W146" s="20">
        <f>IF(O146&gt;0,O146,((P146*2.2046*S146)+(Q146+R146)/G146)+V146)</f>
        <v>24.562366505759407</v>
      </c>
      <c r="X146" s="20">
        <f>IF(O146&gt;0,O146,((P146*2.2046*S146)+(Q146+R146+T146)/G146)+V146)</f>
        <v>24.685452210691658</v>
      </c>
      <c r="Y146" s="25">
        <f t="shared" si="22"/>
        <v>477250.20537688956</v>
      </c>
      <c r="Z146" s="26">
        <v>42359</v>
      </c>
    </row>
    <row r="147" spans="1:26" s="11" customFormat="1" x14ac:dyDescent="0.25">
      <c r="A147" s="66"/>
      <c r="B147" s="13" t="s">
        <v>46</v>
      </c>
      <c r="C147" s="15" t="s">
        <v>47</v>
      </c>
      <c r="D147" s="14" t="s">
        <v>71</v>
      </c>
      <c r="E147" s="15">
        <v>251</v>
      </c>
      <c r="F147" s="16">
        <v>25760</v>
      </c>
      <c r="G147" s="17">
        <f>10450+8960+900</f>
        <v>20310</v>
      </c>
      <c r="H147" s="17">
        <f t="shared" si="21"/>
        <v>-5450</v>
      </c>
      <c r="I147" s="14" t="s">
        <v>251</v>
      </c>
      <c r="J147" s="15"/>
      <c r="K147" s="19"/>
      <c r="L147" s="19">
        <v>42368</v>
      </c>
      <c r="M147" s="14" t="s">
        <v>52</v>
      </c>
      <c r="N147" s="15"/>
      <c r="O147" s="20">
        <v>24.5</v>
      </c>
      <c r="P147" s="28"/>
      <c r="Q147" s="22">
        <v>16500</v>
      </c>
      <c r="R147" s="20">
        <f>59.25*E147</f>
        <v>14871.75</v>
      </c>
      <c r="S147" s="23">
        <f>-35*E147</f>
        <v>-8785</v>
      </c>
      <c r="T147" s="29">
        <f>W147*F147*0.0045</f>
        <v>3738.2159556868537</v>
      </c>
      <c r="U147" s="20">
        <f>E147*5</f>
        <v>1255</v>
      </c>
      <c r="V147" s="15"/>
      <c r="W147" s="20">
        <f>((O147*F147)+Q147+R147+S147+U147)/G147</f>
        <v>32.248239783357953</v>
      </c>
      <c r="X147" s="20">
        <f>((O147*F147)+Q147+R147+S147+T147+U147)/G147</f>
        <v>32.432297683687189</v>
      </c>
      <c r="Y147" s="25">
        <f t="shared" si="22"/>
        <v>835455.98833178193</v>
      </c>
      <c r="Z147" s="26">
        <v>42381</v>
      </c>
    </row>
    <row r="148" spans="1:26" s="11" customFormat="1" x14ac:dyDescent="0.25">
      <c r="A148" s="66"/>
      <c r="B148" s="13" t="s">
        <v>46</v>
      </c>
      <c r="C148" s="15" t="s">
        <v>47</v>
      </c>
      <c r="D148" s="14" t="s">
        <v>48</v>
      </c>
      <c r="E148" s="15">
        <v>230</v>
      </c>
      <c r="F148" s="16">
        <v>23450</v>
      </c>
      <c r="G148" s="17">
        <f>19350-900</f>
        <v>18450</v>
      </c>
      <c r="H148" s="17">
        <f t="shared" si="21"/>
        <v>-5000</v>
      </c>
      <c r="I148" s="14" t="s">
        <v>252</v>
      </c>
      <c r="J148" s="15"/>
      <c r="K148" s="19"/>
      <c r="L148" s="19">
        <v>42368</v>
      </c>
      <c r="M148" s="14" t="s">
        <v>52</v>
      </c>
      <c r="N148" s="15"/>
      <c r="O148" s="20">
        <v>24.5</v>
      </c>
      <c r="P148" s="28"/>
      <c r="Q148" s="22">
        <v>16500</v>
      </c>
      <c r="R148" s="20">
        <f>59.25*E148</f>
        <v>13627.5</v>
      </c>
      <c r="S148" s="23">
        <f>-35*E148</f>
        <v>-8050</v>
      </c>
      <c r="T148" s="29">
        <f>W148*F148*0.0045</f>
        <v>3418.8527134146334</v>
      </c>
      <c r="U148" s="20">
        <f>E148*5</f>
        <v>1150</v>
      </c>
      <c r="V148" s="15"/>
      <c r="W148" s="20">
        <f>((O148*F148)+Q148+R148+S148+U148)/G148</f>
        <v>32.398509485094849</v>
      </c>
      <c r="X148" s="20">
        <f>((O148*F148)+Q148+R148+S148+T148+U148)/G148</f>
        <v>32.583813155198619</v>
      </c>
      <c r="Y148" s="25">
        <f t="shared" si="22"/>
        <v>764090.41848940763</v>
      </c>
      <c r="Z148" s="26">
        <v>42381</v>
      </c>
    </row>
    <row r="149" spans="1:26" s="11" customFormat="1" x14ac:dyDescent="0.25">
      <c r="A149" s="66"/>
      <c r="B149" s="13" t="s">
        <v>46</v>
      </c>
      <c r="C149" s="15" t="s">
        <v>59</v>
      </c>
      <c r="D149" s="14" t="s">
        <v>59</v>
      </c>
      <c r="E149" s="15">
        <f>126+130+128</f>
        <v>384</v>
      </c>
      <c r="F149" s="16">
        <f>12360+12440+12070</f>
        <v>36870</v>
      </c>
      <c r="G149" s="17">
        <f>5119+3470+3500+3250+3960+9670</f>
        <v>28969</v>
      </c>
      <c r="H149" s="17">
        <f t="shared" si="21"/>
        <v>-7901</v>
      </c>
      <c r="I149" s="14" t="s">
        <v>253</v>
      </c>
      <c r="J149" s="15"/>
      <c r="K149" s="19">
        <v>42367</v>
      </c>
      <c r="L149" s="19">
        <v>42369</v>
      </c>
      <c r="M149" s="14" t="s">
        <v>64</v>
      </c>
      <c r="N149" s="15"/>
      <c r="O149" s="20">
        <v>24.5</v>
      </c>
      <c r="P149" s="28"/>
      <c r="Q149" s="20">
        <v>33000</v>
      </c>
      <c r="R149" s="30">
        <f>98*E149</f>
        <v>37632</v>
      </c>
      <c r="S149" s="23">
        <f>-40*E149</f>
        <v>-15360</v>
      </c>
      <c r="T149" s="29"/>
      <c r="U149" s="20">
        <f>E149*10</f>
        <v>3840</v>
      </c>
      <c r="V149" s="15"/>
      <c r="W149" s="20">
        <f>((O149*F149)+Q149+R149+S149+U149)/G149</f>
        <v>33.222651800200211</v>
      </c>
      <c r="X149" s="20">
        <f>((O149*F149)+Q149+R149+S149+T149+U149)/G149</f>
        <v>33.222651800200211</v>
      </c>
      <c r="Y149" s="25">
        <f t="shared" si="22"/>
        <v>1224919.1718733818</v>
      </c>
      <c r="Z149" s="26">
        <v>42368</v>
      </c>
    </row>
    <row r="150" spans="1:26" s="11" customFormat="1" x14ac:dyDescent="0.25">
      <c r="A150" s="66"/>
      <c r="B150" s="13" t="s">
        <v>25</v>
      </c>
      <c r="C150" s="14" t="s">
        <v>26</v>
      </c>
      <c r="D150" s="14" t="s">
        <v>26</v>
      </c>
      <c r="E150" s="15" t="s">
        <v>27</v>
      </c>
      <c r="F150" s="16">
        <f>42989*0.4536</f>
        <v>19499.810399999998</v>
      </c>
      <c r="G150" s="17">
        <v>19371.95</v>
      </c>
      <c r="H150" s="17">
        <f t="shared" si="21"/>
        <v>-127.86039999999775</v>
      </c>
      <c r="I150" s="14" t="s">
        <v>254</v>
      </c>
      <c r="J150" s="67" t="s">
        <v>248</v>
      </c>
      <c r="K150" s="19">
        <v>42368</v>
      </c>
      <c r="L150" s="19">
        <v>42369</v>
      </c>
      <c r="M150" s="14" t="s">
        <v>64</v>
      </c>
      <c r="N150" s="14" t="s">
        <v>255</v>
      </c>
      <c r="O150" s="20"/>
      <c r="P150" s="21">
        <f>0.4943+0.105</f>
        <v>0.59930000000000005</v>
      </c>
      <c r="Q150" s="22">
        <v>18500</v>
      </c>
      <c r="R150" s="20">
        <v>8707</v>
      </c>
      <c r="S150" s="23">
        <v>17.23</v>
      </c>
      <c r="T150" s="29">
        <f>W150*F150*0.005</f>
        <v>2366.2062933669026</v>
      </c>
      <c r="V150" s="20">
        <v>0.1</v>
      </c>
      <c r="W150" s="20">
        <f>IF(O150&gt;0,O150,((P150*2.2046*S150)+(Q150+R150)/G150)+V150)</f>
        <v>24.269018465604184</v>
      </c>
      <c r="X150" s="20">
        <f>IF(O150&gt;0,O150,((P150*2.2046*S150)+(Q150+R150+T150)/G150)+V150)</f>
        <v>24.391164470181259</v>
      </c>
      <c r="Y150" s="25">
        <f t="shared" si="22"/>
        <v>475623.08260375098</v>
      </c>
      <c r="Z150" s="26">
        <v>42360</v>
      </c>
    </row>
    <row r="151" spans="1:26" s="11" customFormat="1" x14ac:dyDescent="0.25">
      <c r="A151" s="66"/>
      <c r="B151" s="54" t="s">
        <v>25</v>
      </c>
      <c r="C151" s="50" t="s">
        <v>26</v>
      </c>
      <c r="D151" s="50" t="s">
        <v>26</v>
      </c>
      <c r="E151" s="55" t="s">
        <v>213</v>
      </c>
      <c r="F151" s="56">
        <v>19000</v>
      </c>
      <c r="G151" s="57">
        <v>19000</v>
      </c>
      <c r="H151" s="57">
        <f t="shared" si="21"/>
        <v>0</v>
      </c>
      <c r="I151" s="50" t="s">
        <v>256</v>
      </c>
      <c r="J151" s="55" t="s">
        <v>257</v>
      </c>
      <c r="K151" s="58">
        <v>42368</v>
      </c>
      <c r="L151" s="58">
        <v>42369</v>
      </c>
      <c r="M151" s="50" t="s">
        <v>64</v>
      </c>
      <c r="N151" s="50" t="s">
        <v>255</v>
      </c>
      <c r="O151" s="59"/>
      <c r="P151" s="60">
        <v>0.59930000000000005</v>
      </c>
      <c r="Q151" s="59">
        <v>25000</v>
      </c>
      <c r="R151" s="59">
        <v>8700</v>
      </c>
      <c r="S151" s="61">
        <v>17.23</v>
      </c>
      <c r="T151" s="62">
        <f>W151*F151*0.005</f>
        <v>2340.6336863430006</v>
      </c>
      <c r="U151" s="63"/>
      <c r="V151" s="59">
        <v>0.1</v>
      </c>
      <c r="W151" s="59">
        <f>IF(O151&gt;0,O151,((P151*2.2046*S151)+(Q151+R151)/G151)+V151)</f>
        <v>24.638249329926321</v>
      </c>
      <c r="X151" s="59">
        <f>IF(O151&gt;0,O151,((P151*2.2046*S151)+(Q151+R151+T151)/G151)+V151)</f>
        <v>24.761440576575954</v>
      </c>
      <c r="Y151" s="64">
        <f t="shared" si="22"/>
        <v>470467.37095494312</v>
      </c>
      <c r="Z151" s="26">
        <v>42360</v>
      </c>
    </row>
    <row r="152" spans="1:26" s="11" customFormat="1" x14ac:dyDescent="0.25">
      <c r="A152" s="66"/>
      <c r="B152" s="13" t="s">
        <v>46</v>
      </c>
      <c r="C152" s="15" t="s">
        <v>59</v>
      </c>
      <c r="D152" s="14" t="s">
        <v>59</v>
      </c>
      <c r="E152" s="15">
        <v>149</v>
      </c>
      <c r="F152" s="16">
        <v>15340</v>
      </c>
      <c r="G152" s="17">
        <f>8560+3421</f>
        <v>11981</v>
      </c>
      <c r="H152" s="17">
        <f t="shared" si="21"/>
        <v>-3359</v>
      </c>
      <c r="I152" s="48"/>
      <c r="J152" s="15"/>
      <c r="K152" s="19">
        <v>42367</v>
      </c>
      <c r="L152" s="19">
        <v>42369</v>
      </c>
      <c r="M152" s="14" t="s">
        <v>64</v>
      </c>
      <c r="N152" s="15"/>
      <c r="O152" s="20">
        <v>24.3</v>
      </c>
      <c r="P152" s="28"/>
      <c r="Q152" s="22">
        <v>15000</v>
      </c>
      <c r="R152" s="30">
        <f>98*E152</f>
        <v>14602</v>
      </c>
      <c r="S152" s="23">
        <f>-40*E152</f>
        <v>-5960</v>
      </c>
      <c r="T152" s="29"/>
      <c r="U152" s="20">
        <f>E152*10</f>
        <v>1490</v>
      </c>
      <c r="V152" s="15"/>
      <c r="W152" s="20">
        <f>((O152*F152)+Q152+R152+S152+U152)/G152</f>
        <v>33.210416492780233</v>
      </c>
      <c r="X152" s="20">
        <f>((O152*F152)+Q152+R152+S152+T152+U152)/G152</f>
        <v>33.210416492780233</v>
      </c>
      <c r="Y152" s="25">
        <f t="shared" si="22"/>
        <v>509447.78899924876</v>
      </c>
      <c r="Z152" s="26">
        <v>42373</v>
      </c>
    </row>
    <row r="153" spans="1:26" s="11" customFormat="1" ht="15.75" thickBot="1" x14ac:dyDescent="0.3">
      <c r="A153" s="66"/>
      <c r="B153" s="32"/>
      <c r="C153" s="3"/>
      <c r="D153" s="3"/>
      <c r="E153" s="3"/>
      <c r="F153" s="33"/>
      <c r="G153" s="33"/>
      <c r="H153" s="33"/>
      <c r="I153" s="5"/>
      <c r="J153" s="3"/>
      <c r="K153" s="6"/>
      <c r="L153" s="6"/>
      <c r="M153" s="3"/>
      <c r="N153" s="3"/>
      <c r="O153" s="7"/>
      <c r="P153" s="8"/>
      <c r="Q153" s="7"/>
      <c r="R153" s="7"/>
      <c r="S153" s="7"/>
      <c r="T153" s="7"/>
      <c r="U153" s="7"/>
      <c r="V153" s="7"/>
      <c r="W153" s="7"/>
      <c r="X153" s="7"/>
      <c r="Y153" s="7"/>
      <c r="Z153" s="34"/>
    </row>
  </sheetData>
  <pageMargins left="0.70866141732283472" right="0.70866141732283472" top="0.35433070866141736" bottom="0.15748031496062992" header="0.31496062992125984" footer="0.31496062992125984"/>
  <pageSetup scale="7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2016-01-28T19:47:12Z</cp:lastPrinted>
  <dcterms:created xsi:type="dcterms:W3CDTF">2016-01-16T20:25:47Z</dcterms:created>
  <dcterms:modified xsi:type="dcterms:W3CDTF">2016-01-28T20:06:20Z</dcterms:modified>
</cp:coreProperties>
</file>