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65" windowWidth="23715" windowHeight="9915" firstSheet="2" activeTab="5"/>
  </bookViews>
  <sheets>
    <sheet name="ENERO 2016" sheetId="1" r:id="rId1"/>
    <sheet name="REMISIONES ENERO 2016" sheetId="2" r:id="rId2"/>
    <sheet name="FEBRERO 2016" sheetId="3" r:id="rId3"/>
    <sheet name="Remisiones  Febrero 2016" sheetId="4" r:id="rId4"/>
    <sheet name="MARZO 2016" sheetId="5" r:id="rId5"/>
    <sheet name="REMISIONES MARZO 2016" sheetId="6" r:id="rId6"/>
    <sheet name="Hoja7" sheetId="7" r:id="rId7"/>
    <sheet name="Hoja8" sheetId="8" r:id="rId8"/>
    <sheet name="PRESTAMOS" sheetId="9" r:id="rId9"/>
    <sheet name="Hoja10" sheetId="10" r:id="rId10"/>
    <sheet name="Hoja11" sheetId="11" r:id="rId11"/>
    <sheet name="Hoja12" sheetId="12" r:id="rId12"/>
    <sheet name="Hoja13" sheetId="13" r:id="rId13"/>
  </sheets>
  <calcPr calcId="144525"/>
</workbook>
</file>

<file path=xl/calcChain.xml><?xml version="1.0" encoding="utf-8"?>
<calcChain xmlns="http://schemas.openxmlformats.org/spreadsheetml/2006/main">
  <c r="E15" i="6" l="1"/>
  <c r="I52" i="6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6" i="9"/>
  <c r="I50" i="6"/>
  <c r="I49" i="6"/>
  <c r="I48" i="6"/>
  <c r="I54" i="6" s="1"/>
  <c r="N57" i="6"/>
  <c r="K57" i="6"/>
  <c r="F24" i="5"/>
  <c r="C23" i="5"/>
  <c r="F23" i="5"/>
  <c r="C22" i="5"/>
  <c r="I22" i="5"/>
  <c r="F22" i="5"/>
  <c r="C21" i="5"/>
  <c r="I21" i="5"/>
  <c r="F21" i="5"/>
  <c r="M20" i="5"/>
  <c r="F20" i="5"/>
  <c r="E4" i="6" l="1"/>
  <c r="F7" i="9" l="1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6" i="9"/>
  <c r="F5" i="9"/>
  <c r="M5" i="9"/>
  <c r="M9" i="5" l="1"/>
  <c r="K47" i="3"/>
  <c r="N40" i="6" l="1"/>
  <c r="K40" i="6"/>
  <c r="I32" i="6"/>
  <c r="I35" i="6"/>
  <c r="I29" i="6"/>
  <c r="I28" i="6"/>
  <c r="I26" i="6"/>
  <c r="I37" i="6" s="1"/>
  <c r="L38" i="5" l="1"/>
  <c r="F38" i="5"/>
  <c r="M37" i="5"/>
  <c r="I38" i="5"/>
  <c r="K40" i="5" s="1"/>
  <c r="C38" i="5"/>
  <c r="F42" i="5" s="1"/>
  <c r="F41" i="5" l="1"/>
  <c r="F44" i="5" s="1"/>
  <c r="F48" i="5" s="1"/>
  <c r="K44" i="5" s="1"/>
  <c r="K49" i="5" s="1"/>
  <c r="E20" i="4" l="1"/>
  <c r="N17" i="6"/>
  <c r="C37" i="6" l="1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K17" i="6"/>
  <c r="F17" i="6"/>
  <c r="F16" i="6"/>
  <c r="F15" i="6"/>
  <c r="F14" i="6"/>
  <c r="F13" i="6"/>
  <c r="F12" i="6"/>
  <c r="E37" i="6"/>
  <c r="F10" i="6"/>
  <c r="F9" i="6"/>
  <c r="F8" i="6"/>
  <c r="F7" i="6"/>
  <c r="F6" i="6"/>
  <c r="F5" i="6"/>
  <c r="F4" i="6"/>
  <c r="F3" i="6"/>
  <c r="F11" i="6" l="1"/>
  <c r="F37" i="6" s="1"/>
  <c r="M33" i="3"/>
  <c r="M26" i="3" l="1"/>
  <c r="I17" i="3" l="1"/>
  <c r="M10" i="3"/>
  <c r="E15" i="4" l="1"/>
  <c r="N65" i="4"/>
  <c r="K65" i="4"/>
  <c r="E14" i="4" l="1"/>
  <c r="K50" i="4"/>
  <c r="N50" i="4"/>
  <c r="E11" i="4" l="1"/>
  <c r="N38" i="4"/>
  <c r="K38" i="4"/>
  <c r="M16" i="3" l="1"/>
  <c r="I5" i="3"/>
  <c r="C5" i="3"/>
  <c r="M29" i="1" l="1"/>
  <c r="E27" i="2" l="1"/>
  <c r="N25" i="4" l="1"/>
  <c r="K25" i="4"/>
  <c r="C45" i="4" l="1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19" i="4"/>
  <c r="F18" i="4"/>
  <c r="F17" i="4"/>
  <c r="F27" i="4"/>
  <c r="F26" i="4"/>
  <c r="F25" i="4"/>
  <c r="F24" i="4"/>
  <c r="F23" i="4"/>
  <c r="F22" i="4"/>
  <c r="F21" i="4"/>
  <c r="F20" i="4"/>
  <c r="E45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38" i="3"/>
  <c r="M37" i="3"/>
  <c r="I38" i="3"/>
  <c r="C38" i="3"/>
  <c r="L38" i="3"/>
  <c r="F16" i="4" l="1"/>
  <c r="F45" i="4" s="1"/>
  <c r="K40" i="3"/>
  <c r="F41" i="3"/>
  <c r="F44" i="3" s="1"/>
  <c r="F48" i="3" s="1"/>
  <c r="K44" i="3" s="1"/>
  <c r="K49" i="3" s="1"/>
  <c r="E16" i="2"/>
  <c r="N46" i="2"/>
  <c r="K46" i="2"/>
  <c r="M25" i="1" l="1"/>
  <c r="I24" i="1"/>
  <c r="C11" i="1" l="1"/>
  <c r="F22" i="2" l="1"/>
  <c r="L9" i="1" l="1"/>
  <c r="F21" i="2" l="1"/>
  <c r="F20" i="2"/>
  <c r="F19" i="2" l="1"/>
  <c r="N25" i="2"/>
  <c r="K25" i="2"/>
  <c r="C45" i="2" l="1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18" i="2"/>
  <c r="F17" i="2"/>
  <c r="F16" i="2"/>
  <c r="F15" i="2"/>
  <c r="F14" i="2"/>
  <c r="F13" i="2"/>
  <c r="F12" i="2"/>
  <c r="F11" i="2"/>
  <c r="F10" i="2"/>
  <c r="F9" i="2"/>
  <c r="F8" i="2"/>
  <c r="F7" i="2"/>
  <c r="E45" i="2"/>
  <c r="F5" i="2"/>
  <c r="F4" i="2"/>
  <c r="F3" i="2"/>
  <c r="L38" i="1"/>
  <c r="I38" i="1"/>
  <c r="K40" i="1" s="1"/>
  <c r="F38" i="1"/>
  <c r="F41" i="1" s="1"/>
  <c r="F44" i="1" s="1"/>
  <c r="F48" i="1" s="1"/>
  <c r="K44" i="1" s="1"/>
  <c r="K49" i="1" s="1"/>
  <c r="C38" i="1"/>
  <c r="M37" i="1"/>
  <c r="F6" i="2" l="1"/>
  <c r="F45" i="2" s="1"/>
</calcChain>
</file>

<file path=xl/comments1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<sst xmlns="http://schemas.openxmlformats.org/spreadsheetml/2006/main" count="553" uniqueCount="224">
  <si>
    <t>Elaborado por Rosy Tellez</t>
  </si>
  <si>
    <t>COMPRAS</t>
  </si>
  <si>
    <t>INVENTARIO INICIAL</t>
  </si>
  <si>
    <t xml:space="preserve">VENTAS  </t>
  </si>
  <si>
    <t>G  A  S   T  O  S</t>
  </si>
  <si>
    <t>BANCO</t>
  </si>
  <si>
    <t>BETY</t>
  </si>
  <si>
    <t>TELEFONOS</t>
  </si>
  <si>
    <t xml:space="preserve">LUZ </t>
  </si>
  <si>
    <t>ROSA BERMUDES</t>
  </si>
  <si>
    <t>RENTA</t>
  </si>
  <si>
    <t xml:space="preserve">CAMARAS </t>
  </si>
  <si>
    <t>Ayuntamiento mordida</t>
  </si>
  <si>
    <t>ADT</t>
  </si>
  <si>
    <t>MANTENIMIENTO</t>
  </si>
  <si>
    <t xml:space="preserve">Bascula </t>
  </si>
  <si>
    <t>TOTAL</t>
  </si>
  <si>
    <t>GRAN TOTAL GASTOS</t>
  </si>
  <si>
    <t>VENTAS NETAS</t>
  </si>
  <si>
    <t>COMPRAS OBRADOR</t>
  </si>
  <si>
    <t xml:space="preserve"> </t>
  </si>
  <si>
    <t>Sub Total 1</t>
  </si>
  <si>
    <t>SUB TOTAL</t>
  </si>
  <si>
    <t>MAS</t>
  </si>
  <si>
    <t>CREDITOS</t>
  </si>
  <si>
    <t>INVENTARIO FINAL</t>
  </si>
  <si>
    <t>INVENTARIO INICIAL  -</t>
  </si>
  <si>
    <t xml:space="preserve">Sub Total 2 </t>
  </si>
  <si>
    <t xml:space="preserve">GANANCIA </t>
  </si>
  <si>
    <t xml:space="preserve">Fumigacion </t>
  </si>
  <si>
    <t xml:space="preserve">BALANCE       DE      E N E R O   2 0 1 6        11  S U R   </t>
  </si>
  <si>
    <t>24183 A</t>
  </si>
  <si>
    <t>24267 A</t>
  </si>
  <si>
    <t>24301 A</t>
  </si>
  <si>
    <t>24302 A</t>
  </si>
  <si>
    <t>24415 A</t>
  </si>
  <si>
    <t>24705 A</t>
  </si>
  <si>
    <t>24783 A</t>
  </si>
  <si>
    <t>00025 B</t>
  </si>
  <si>
    <t>00164 B</t>
  </si>
  <si>
    <t>00265 B</t>
  </si>
  <si>
    <t>00273 B</t>
  </si>
  <si>
    <t>00427 B</t>
  </si>
  <si>
    <t>00495 B</t>
  </si>
  <si>
    <t>00692 B</t>
  </si>
  <si>
    <t>00733 B</t>
  </si>
  <si>
    <t xml:space="preserve">PAGOS DE 11 SUR </t>
  </si>
  <si>
    <t>Remision</t>
  </si>
  <si>
    <t>IMPORTE</t>
  </si>
  <si>
    <t># transfer</t>
  </si>
  <si>
    <t>IMPORTE Transfer</t>
  </si>
  <si>
    <t>RESTO</t>
  </si>
  <si>
    <t>Santander</t>
  </si>
  <si>
    <t>23517 A</t>
  </si>
  <si>
    <t>23518 A</t>
  </si>
  <si>
    <t>23455 A</t>
  </si>
  <si>
    <t>23856 A</t>
  </si>
  <si>
    <t>23861 A</t>
  </si>
  <si>
    <t>23972 A</t>
  </si>
  <si>
    <t>BBVA</t>
  </si>
  <si>
    <t>ABONO</t>
  </si>
  <si>
    <t>01166 B</t>
  </si>
  <si>
    <t>01167 B</t>
  </si>
  <si>
    <t>00887 B</t>
  </si>
  <si>
    <t>01331 B</t>
  </si>
  <si>
    <t>REMISIONES  11 SUR    E N E R O           2016</t>
  </si>
  <si>
    <t>condimentos</t>
  </si>
  <si>
    <t>NOMINA 01</t>
  </si>
  <si>
    <t>NOMINA 02</t>
  </si>
  <si>
    <t>NOMINA 03</t>
  </si>
  <si>
    <t>NOMINA 04</t>
  </si>
  <si>
    <t>ELIAS 02-Ene</t>
  </si>
  <si>
    <t xml:space="preserve">Pollo </t>
  </si>
  <si>
    <t>01644 B</t>
  </si>
  <si>
    <t>01706 B</t>
  </si>
  <si>
    <t>01784 B</t>
  </si>
  <si>
    <t>Pollo--condimentos</t>
  </si>
  <si>
    <t>Maiz-chorizo</t>
  </si>
  <si>
    <t>Arabe--Pollo</t>
  </si>
  <si>
    <t>dev efect</t>
  </si>
  <si>
    <t xml:space="preserve">Maiz   </t>
  </si>
  <si>
    <t>Cinta Sierra</t>
  </si>
  <si>
    <t>Chorizo</t>
  </si>
  <si>
    <t>pollo</t>
  </si>
  <si>
    <t>pollo-chorizo-arabe</t>
  </si>
  <si>
    <t>Maiz</t>
  </si>
  <si>
    <t>01966 B</t>
  </si>
  <si>
    <t>02155 B</t>
  </si>
  <si>
    <t>pollo-salsas</t>
  </si>
  <si>
    <t>01642 B</t>
  </si>
  <si>
    <t>14--01</t>
  </si>
  <si>
    <t>abono</t>
  </si>
  <si>
    <t>,1085719</t>
  </si>
  <si>
    <t xml:space="preserve">16-Ene --27-Ene </t>
  </si>
  <si>
    <t>02254 B</t>
  </si>
  <si>
    <t>02261 B</t>
  </si>
  <si>
    <t>02402 B</t>
  </si>
  <si>
    <t>02675 B</t>
  </si>
  <si>
    <t>02494 B</t>
  </si>
  <si>
    <t>02967 B</t>
  </si>
  <si>
    <t>02973 B</t>
  </si>
  <si>
    <t>03121 B</t>
  </si>
  <si>
    <t xml:space="preserve">BALANCE       DE     F E B R E R O      2 0 1 6        11  S U R   </t>
  </si>
  <si>
    <t>REMISIONES  11 SUR    FEBRERO           2016</t>
  </si>
  <si>
    <t>03537 B</t>
  </si>
  <si>
    <t>03542 B</t>
  </si>
  <si>
    <t>03457 B</t>
  </si>
  <si>
    <t>03664 B</t>
  </si>
  <si>
    <t>04045 B</t>
  </si>
  <si>
    <t>04086 B</t>
  </si>
  <si>
    <t>04208 B</t>
  </si>
  <si>
    <t>resto</t>
  </si>
  <si>
    <t>03282 B</t>
  </si>
  <si>
    <t>04349 B</t>
  </si>
  <si>
    <t xml:space="preserve">27-Ene--11-Feb </t>
  </si>
  <si>
    <t>POLLO</t>
  </si>
  <si>
    <t>04564 B</t>
  </si>
  <si>
    <t>chorizo-maiz-</t>
  </si>
  <si>
    <t>NOMINA 05</t>
  </si>
  <si>
    <t>S</t>
  </si>
  <si>
    <t>pollo-chorizo</t>
  </si>
  <si>
    <t>salsa inglesa</t>
  </si>
  <si>
    <t xml:space="preserve">pollo  </t>
  </si>
  <si>
    <t>chorizo</t>
  </si>
  <si>
    <t>sobrante</t>
  </si>
  <si>
    <t>05071 B</t>
  </si>
  <si>
    <t>05217 B</t>
  </si>
  <si>
    <t xml:space="preserve">11-Feb --18-Feb </t>
  </si>
  <si>
    <t>05436 B</t>
  </si>
  <si>
    <t>05587 B</t>
  </si>
  <si>
    <t xml:space="preserve">18-Feb --20-Feb </t>
  </si>
  <si>
    <t>05705 B</t>
  </si>
  <si>
    <t>06011 B</t>
  </si>
  <si>
    <t xml:space="preserve">20-Feb --25-Feb </t>
  </si>
  <si>
    <t>Pollo-Maiz-</t>
  </si>
  <si>
    <t>MAXIMIANO SILVA GARCIA</t>
  </si>
  <si>
    <t>PRESTAMO</t>
  </si>
  <si>
    <t>PAGOS</t>
  </si>
  <si>
    <t>SALDO</t>
  </si>
  <si>
    <t>NOMINA 07</t>
  </si>
  <si>
    <t>NOMINA 06</t>
  </si>
  <si>
    <t>NOMINA 08</t>
  </si>
  <si>
    <t>NOMINA 09</t>
  </si>
  <si>
    <t>ELIAS 07-Feb</t>
  </si>
  <si>
    <t>SERGIO</t>
  </si>
  <si>
    <t>ELIAS 14-Feb</t>
  </si>
  <si>
    <t>pollo-maiz--arabe</t>
  </si>
  <si>
    <t>ELIAS 21 Feb</t>
  </si>
  <si>
    <t>pollo---arabe</t>
  </si>
  <si>
    <t>06164 B</t>
  </si>
  <si>
    <t>06320 B</t>
  </si>
  <si>
    <t>06435 B</t>
  </si>
  <si>
    <t>06626 B</t>
  </si>
  <si>
    <t>06677 B</t>
  </si>
  <si>
    <t>06684 B</t>
  </si>
  <si>
    <t>REMISIONES  11 SUR    M A R Z O           2016</t>
  </si>
  <si>
    <t>06906 B</t>
  </si>
  <si>
    <t>07040 B</t>
  </si>
  <si>
    <t>04669 B</t>
  </si>
  <si>
    <t>04670 B</t>
  </si>
  <si>
    <t>04883 B</t>
  </si>
  <si>
    <t>25-Feb --03-Mar</t>
  </si>
  <si>
    <t>07124 B</t>
  </si>
  <si>
    <t>07334 B</t>
  </si>
  <si>
    <t>07342 B</t>
  </si>
  <si>
    <t>07475 B</t>
  </si>
  <si>
    <t>07626 B</t>
  </si>
  <si>
    <t>07773 B</t>
  </si>
  <si>
    <t>07988 B</t>
  </si>
  <si>
    <t>08182 B</t>
  </si>
  <si>
    <t xml:space="preserve">BALANCE       DE     M A R Z O       2 0 1 6        11  S U R   </t>
  </si>
  <si>
    <t>08304 B</t>
  </si>
  <si>
    <t>08411 B</t>
  </si>
  <si>
    <t>08537 B</t>
  </si>
  <si>
    <t>x gasto de afilador tomado por 1,000.00</t>
  </si>
  <si>
    <t xml:space="preserve">ELIAS 12 Ene </t>
  </si>
  <si>
    <t>ELIAS</t>
  </si>
  <si>
    <t xml:space="preserve">Elias 24-Ene </t>
  </si>
  <si>
    <t xml:space="preserve">SERGIO 24-Ene </t>
  </si>
  <si>
    <t>Faltante Elias</t>
  </si>
  <si>
    <t xml:space="preserve">POLLO   </t>
  </si>
  <si>
    <t>pollo R-7040</t>
  </si>
  <si>
    <t>r-7124-7334</t>
  </si>
  <si>
    <t xml:space="preserve">PRESTAMO  </t>
  </si>
  <si>
    <t>R-7475-7334</t>
  </si>
  <si>
    <t>obrador</t>
  </si>
  <si>
    <t>R-7626</t>
  </si>
  <si>
    <t>R-7626-7988-8182</t>
  </si>
  <si>
    <t>NOMINA 10</t>
  </si>
  <si>
    <t>NOMINA 11</t>
  </si>
  <si>
    <t>NOMINA 12</t>
  </si>
  <si>
    <t>NOMINA 13</t>
  </si>
  <si>
    <t>R-8182</t>
  </si>
  <si>
    <t>PROVEEDOREES</t>
  </si>
  <si>
    <t>NO PAGO</t>
  </si>
  <si>
    <t>08813 B</t>
  </si>
  <si>
    <t>08891 B</t>
  </si>
  <si>
    <t xml:space="preserve">03-Mar --17-Mar </t>
  </si>
  <si>
    <t>NOMINA 14</t>
  </si>
  <si>
    <t>09072 B</t>
  </si>
  <si>
    <t>09299 B</t>
  </si>
  <si>
    <t>09486 B</t>
  </si>
  <si>
    <t>R-8182-8411-8537</t>
  </si>
  <si>
    <t>R-8537</t>
  </si>
  <si>
    <t>R-8304-8813</t>
  </si>
  <si>
    <t>R-8813-8891</t>
  </si>
  <si>
    <t>ELIAS 19-Mar</t>
  </si>
  <si>
    <t>R-8891-9072-9299</t>
  </si>
  <si>
    <t>R-9299</t>
  </si>
  <si>
    <t>SERGIO 21-Mar</t>
  </si>
  <si>
    <t>R-9486</t>
  </si>
  <si>
    <t>Mai--pollo  R-9486</t>
  </si>
  <si>
    <t>Vacaciones Rosy</t>
  </si>
  <si>
    <t>17-Mar --26-Mar</t>
  </si>
  <si>
    <t>09893 B</t>
  </si>
  <si>
    <t>09693 B</t>
  </si>
  <si>
    <t>09898 B</t>
  </si>
  <si>
    <t>10017B</t>
  </si>
  <si>
    <t>10063 B</t>
  </si>
  <si>
    <t>10148 B</t>
  </si>
  <si>
    <t>10309 B</t>
  </si>
  <si>
    <t>10456 B</t>
  </si>
  <si>
    <t>10534 B</t>
  </si>
  <si>
    <t>10637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</si>
</sst>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[$-C0A]dd\-mmm\-yy;@"/>
    <numFmt numFmtId="165" formatCode="&quot;$&quot;#,##0.00"/>
    <numFmt numFmtId="166" formatCode="[$$-80A]#,##0.00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u/>
      <sz val="11"/>
      <color rgb="FF0000FF"/>
      <name val="Cambria"/>
      <family val="1"/>
      <scheme val="major"/>
    </font>
    <font>
      <b/>
      <sz val="11"/>
      <color indexed="8"/>
      <name val="Calibri"/>
      <family val="2"/>
    </font>
    <font>
      <b/>
      <sz val="12"/>
      <color rgb="FF0000FF"/>
      <name val="Cambria"/>
      <family val="1"/>
      <scheme val="major"/>
    </font>
    <font>
      <b/>
      <sz val="11"/>
      <color rgb="FF0000FF"/>
      <name val="Cambria"/>
      <family val="1"/>
      <scheme val="major"/>
    </font>
    <font>
      <b/>
      <i/>
      <u/>
      <sz val="11"/>
      <color theme="1"/>
      <name val="Cambria"/>
      <family val="1"/>
      <scheme val="major"/>
    </font>
    <font>
      <b/>
      <sz val="9"/>
      <color rgb="FF0000FF"/>
      <name val="Calibri"/>
      <family val="2"/>
      <scheme val="minor"/>
    </font>
    <font>
      <b/>
      <sz val="11"/>
      <color rgb="FF0000F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  <scheme val="minor"/>
    </font>
    <font>
      <b/>
      <sz val="12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</fonts>
  <fills count="1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9" tint="0.39997558519241921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double">
        <color indexed="64"/>
      </bottom>
      <diagonal/>
    </border>
    <border>
      <left/>
      <right style="medium">
        <color auto="1"/>
      </right>
      <top style="medium">
        <color auto="1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thick">
        <color indexed="64"/>
      </left>
      <right style="mediumDashed">
        <color indexed="64"/>
      </right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mediumDashed">
        <color auto="1"/>
      </left>
      <right/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 style="mediumDashed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 style="thick">
        <color auto="1"/>
      </right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/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6">
    <xf numFmtId="0" fontId="0" fillId="0" borderId="0" xfId="0"/>
    <xf numFmtId="164" fontId="0" fillId="0" borderId="0" xfId="0" applyNumberFormat="1" applyAlignment="1">
      <alignment horizontal="center"/>
    </xf>
    <xf numFmtId="0" fontId="4" fillId="2" borderId="0" xfId="0" applyFont="1" applyFill="1"/>
    <xf numFmtId="44" fontId="0" fillId="0" borderId="0" xfId="1" applyFont="1"/>
    <xf numFmtId="0" fontId="0" fillId="0" borderId="0" xfId="0" applyFon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44" fontId="5" fillId="0" borderId="1" xfId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2" xfId="0" applyFont="1" applyBorder="1"/>
    <xf numFmtId="164" fontId="7" fillId="0" borderId="3" xfId="0" applyNumberFormat="1" applyFont="1" applyBorder="1" applyAlignment="1">
      <alignment horizontal="center"/>
    </xf>
    <xf numFmtId="44" fontId="8" fillId="0" borderId="4" xfId="1" applyFont="1" applyBorder="1"/>
    <xf numFmtId="165" fontId="0" fillId="0" borderId="0" xfId="0" applyNumberFormat="1" applyFont="1"/>
    <xf numFmtId="44" fontId="10" fillId="3" borderId="0" xfId="1" applyFont="1" applyFill="1" applyAlignment="1">
      <alignment horizontal="center"/>
    </xf>
    <xf numFmtId="16" fontId="0" fillId="0" borderId="0" xfId="0" applyNumberFormat="1"/>
    <xf numFmtId="164" fontId="0" fillId="0" borderId="9" xfId="0" applyNumberFormat="1" applyFill="1" applyBorder="1" applyAlignment="1">
      <alignment horizontal="center"/>
    </xf>
    <xf numFmtId="44" fontId="2" fillId="0" borderId="10" xfId="1" applyFont="1" applyFill="1" applyBorder="1"/>
    <xf numFmtId="165" fontId="11" fillId="0" borderId="0" xfId="0" applyNumberFormat="1" applyFont="1" applyFill="1"/>
    <xf numFmtId="15" fontId="0" fillId="0" borderId="11" xfId="0" applyNumberFormat="1" applyFill="1" applyBorder="1"/>
    <xf numFmtId="44" fontId="2" fillId="0" borderId="12" xfId="1" applyFont="1" applyFill="1" applyBorder="1"/>
    <xf numFmtId="0" fontId="0" fillId="0" borderId="0" xfId="0" applyFill="1"/>
    <xf numFmtId="44" fontId="2" fillId="0" borderId="0" xfId="1" applyFont="1" applyFill="1"/>
    <xf numFmtId="165" fontId="7" fillId="0" borderId="0" xfId="0" applyNumberFormat="1" applyFont="1" applyFill="1"/>
    <xf numFmtId="165" fontId="0" fillId="0" borderId="0" xfId="0" applyNumberFormat="1" applyFill="1" applyBorder="1"/>
    <xf numFmtId="15" fontId="0" fillId="0" borderId="18" xfId="0" applyNumberFormat="1" applyFill="1" applyBorder="1"/>
    <xf numFmtId="44" fontId="2" fillId="0" borderId="19" xfId="1" applyFont="1" applyFill="1" applyBorder="1"/>
    <xf numFmtId="44" fontId="2" fillId="0" borderId="0" xfId="1" applyFont="1" applyFill="1" applyBorder="1"/>
    <xf numFmtId="0" fontId="0" fillId="0" borderId="0" xfId="0" applyFill="1" applyBorder="1"/>
    <xf numFmtId="165" fontId="2" fillId="0" borderId="12" xfId="0" applyNumberFormat="1" applyFont="1" applyFill="1" applyBorder="1"/>
    <xf numFmtId="44" fontId="0" fillId="0" borderId="20" xfId="1" applyFont="1" applyFill="1" applyBorder="1"/>
    <xf numFmtId="44" fontId="0" fillId="0" borderId="0" xfId="1" applyFont="1" applyFill="1"/>
    <xf numFmtId="0" fontId="2" fillId="4" borderId="0" xfId="0" applyFont="1" applyFill="1" applyBorder="1"/>
    <xf numFmtId="165" fontId="0" fillId="0" borderId="12" xfId="0" applyNumberFormat="1" applyFill="1" applyBorder="1"/>
    <xf numFmtId="44" fontId="2" fillId="0" borderId="20" xfId="1" applyFont="1" applyFill="1" applyBorder="1"/>
    <xf numFmtId="165" fontId="0" fillId="0" borderId="0" xfId="0" applyNumberFormat="1" applyFont="1" applyFill="1"/>
    <xf numFmtId="44" fontId="12" fillId="0" borderId="0" xfId="1" applyFont="1" applyFill="1" applyBorder="1"/>
    <xf numFmtId="44" fontId="8" fillId="0" borderId="0" xfId="1" applyFont="1" applyFill="1"/>
    <xf numFmtId="0" fontId="2" fillId="0" borderId="0" xfId="0" applyFont="1" applyFill="1"/>
    <xf numFmtId="0" fontId="8" fillId="0" borderId="0" xfId="0" applyFont="1" applyFill="1"/>
    <xf numFmtId="0" fontId="0" fillId="0" borderId="0" xfId="0" applyFont="1" applyFill="1" applyBorder="1"/>
    <xf numFmtId="0" fontId="13" fillId="0" borderId="0" xfId="0" applyFont="1" applyFill="1" applyBorder="1"/>
    <xf numFmtId="0" fontId="11" fillId="0" borderId="0" xfId="0" applyFont="1" applyFill="1" applyBorder="1"/>
    <xf numFmtId="44" fontId="2" fillId="0" borderId="12" xfId="1" applyFont="1" applyFill="1" applyBorder="1" applyAlignment="1">
      <alignment horizontal="right"/>
    </xf>
    <xf numFmtId="0" fontId="2" fillId="0" borderId="0" xfId="0" applyFont="1" applyFill="1" applyBorder="1"/>
    <xf numFmtId="44" fontId="2" fillId="0" borderId="0" xfId="1" applyFont="1" applyFill="1" applyBorder="1" applyAlignment="1">
      <alignment horizontal="right"/>
    </xf>
    <xf numFmtId="44" fontId="2" fillId="0" borderId="21" xfId="1" applyFont="1" applyFill="1" applyBorder="1"/>
    <xf numFmtId="16" fontId="12" fillId="0" borderId="0" xfId="0" applyNumberFormat="1" applyFont="1" applyFill="1" applyBorder="1"/>
    <xf numFmtId="16" fontId="14" fillId="0" borderId="18" xfId="0" applyNumberFormat="1" applyFont="1" applyFill="1" applyBorder="1"/>
    <xf numFmtId="44" fontId="12" fillId="0" borderId="18" xfId="1" applyFont="1" applyFill="1" applyBorder="1" applyAlignment="1"/>
    <xf numFmtId="44" fontId="12" fillId="0" borderId="0" xfId="1" applyFont="1" applyFill="1" applyBorder="1" applyAlignment="1">
      <alignment horizontal="left"/>
    </xf>
    <xf numFmtId="16" fontId="2" fillId="0" borderId="18" xfId="0" applyNumberFormat="1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/>
    </xf>
    <xf numFmtId="44" fontId="15" fillId="0" borderId="0" xfId="1" applyFont="1" applyFill="1" applyBorder="1"/>
    <xf numFmtId="0" fontId="2" fillId="0" borderId="18" xfId="0" applyFont="1" applyFill="1" applyBorder="1"/>
    <xf numFmtId="16" fontId="0" fillId="0" borderId="18" xfId="0" applyNumberFormat="1" applyFill="1" applyBorder="1"/>
    <xf numFmtId="0" fontId="0" fillId="0" borderId="18" xfId="0" applyFill="1" applyBorder="1"/>
    <xf numFmtId="44" fontId="2" fillId="0" borderId="12" xfId="1" applyFont="1" applyBorder="1" applyAlignment="1">
      <alignment horizontal="right"/>
    </xf>
    <xf numFmtId="0" fontId="15" fillId="0" borderId="18" xfId="0" applyFont="1" applyFill="1" applyBorder="1"/>
    <xf numFmtId="0" fontId="8" fillId="0" borderId="22" xfId="0" applyFont="1" applyFill="1" applyBorder="1"/>
    <xf numFmtId="0" fontId="8" fillId="0" borderId="23" xfId="0" applyFont="1" applyFill="1" applyBorder="1"/>
    <xf numFmtId="0" fontId="12" fillId="0" borderId="18" xfId="0" applyFont="1" applyFill="1" applyBorder="1"/>
    <xf numFmtId="165" fontId="2" fillId="0" borderId="12" xfId="0" applyNumberFormat="1" applyFont="1" applyBorder="1"/>
    <xf numFmtId="0" fontId="17" fillId="0" borderId="2" xfId="0" applyFont="1" applyBorder="1"/>
    <xf numFmtId="164" fontId="12" fillId="0" borderId="3" xfId="0" applyNumberFormat="1" applyFont="1" applyBorder="1" applyAlignment="1">
      <alignment horizontal="right"/>
    </xf>
    <xf numFmtId="44" fontId="2" fillId="0" borderId="10" xfId="1" applyFont="1" applyBorder="1"/>
    <xf numFmtId="0" fontId="18" fillId="0" borderId="25" xfId="0" applyFont="1" applyFill="1" applyBorder="1" applyAlignment="1">
      <alignment horizontal="center"/>
    </xf>
    <xf numFmtId="44" fontId="0" fillId="0" borderId="21" xfId="1" applyFont="1" applyFill="1" applyBorder="1"/>
    <xf numFmtId="44" fontId="0" fillId="0" borderId="0" xfId="1" applyFont="1" applyBorder="1"/>
    <xf numFmtId="0" fontId="0" fillId="0" borderId="18" xfId="0" applyBorder="1"/>
    <xf numFmtId="165" fontId="0" fillId="0" borderId="12" xfId="0" applyNumberFormat="1" applyBorder="1"/>
    <xf numFmtId="44" fontId="0" fillId="0" borderId="20" xfId="1" applyFont="1" applyBorder="1"/>
    <xf numFmtId="0" fontId="0" fillId="0" borderId="0" xfId="0" applyFont="1" applyAlignment="1"/>
    <xf numFmtId="0" fontId="14" fillId="0" borderId="0" xfId="0" applyFont="1"/>
    <xf numFmtId="164" fontId="18" fillId="0" borderId="26" xfId="0" applyNumberFormat="1" applyFont="1" applyBorder="1" applyAlignment="1">
      <alignment horizontal="center"/>
    </xf>
    <xf numFmtId="44" fontId="2" fillId="0" borderId="27" xfId="1" applyFont="1" applyBorder="1"/>
    <xf numFmtId="0" fontId="0" fillId="0" borderId="28" xfId="0" applyBorder="1"/>
    <xf numFmtId="44" fontId="0" fillId="0" borderId="29" xfId="1" applyFont="1" applyBorder="1"/>
    <xf numFmtId="0" fontId="18" fillId="0" borderId="30" xfId="0" applyFont="1" applyBorder="1" applyAlignment="1">
      <alignment horizontal="center"/>
    </xf>
    <xf numFmtId="44" fontId="0" fillId="0" borderId="31" xfId="1" applyFont="1" applyBorder="1"/>
    <xf numFmtId="0" fontId="0" fillId="0" borderId="32" xfId="0" applyBorder="1"/>
    <xf numFmtId="165" fontId="0" fillId="0" borderId="33" xfId="0" applyNumberFormat="1" applyBorder="1"/>
    <xf numFmtId="44" fontId="10" fillId="5" borderId="34" xfId="1" applyFont="1" applyFill="1" applyBorder="1" applyAlignment="1">
      <alignment horizontal="center"/>
    </xf>
    <xf numFmtId="164" fontId="8" fillId="0" borderId="0" xfId="0" applyNumberFormat="1" applyFont="1" applyAlignment="1">
      <alignment horizontal="center"/>
    </xf>
    <xf numFmtId="44" fontId="8" fillId="0" borderId="0" xfId="1" applyFont="1"/>
    <xf numFmtId="0" fontId="18" fillId="0" borderId="0" xfId="0" applyFont="1" applyAlignment="1">
      <alignment horizontal="center"/>
    </xf>
    <xf numFmtId="44" fontId="18" fillId="0" borderId="0" xfId="1" applyFont="1"/>
    <xf numFmtId="44" fontId="2" fillId="0" borderId="0" xfId="1" applyFont="1"/>
    <xf numFmtId="165" fontId="2" fillId="0" borderId="0" xfId="0" applyNumberFormat="1" applyFont="1" applyAlignment="1">
      <alignment horizontal="center"/>
    </xf>
    <xf numFmtId="165" fontId="2" fillId="0" borderId="0" xfId="0" applyNumberFormat="1" applyFont="1"/>
    <xf numFmtId="0" fontId="2" fillId="0" borderId="0" xfId="0" applyFont="1"/>
    <xf numFmtId="164" fontId="15" fillId="0" borderId="0" xfId="0" applyNumberFormat="1" applyFont="1" applyBorder="1" applyAlignment="1">
      <alignment horizontal="center"/>
    </xf>
    <xf numFmtId="0" fontId="0" fillId="0" borderId="0" xfId="0" applyFont="1" applyBorder="1"/>
    <xf numFmtId="0" fontId="0" fillId="0" borderId="0" xfId="0" applyBorder="1"/>
    <xf numFmtId="165" fontId="16" fillId="0" borderId="36" xfId="0" applyNumberFormat="1" applyFon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/>
    </xf>
    <xf numFmtId="44" fontId="2" fillId="0" borderId="0" xfId="1" applyFont="1" applyBorder="1"/>
    <xf numFmtId="44" fontId="16" fillId="0" borderId="0" xfId="1" applyFont="1" applyAlignment="1">
      <alignment horizontal="center" vertical="center" wrapText="1"/>
    </xf>
    <xf numFmtId="0" fontId="0" fillId="0" borderId="33" xfId="0" applyFont="1" applyBorder="1"/>
    <xf numFmtId="0" fontId="2" fillId="0" borderId="33" xfId="0" applyFont="1" applyBorder="1"/>
    <xf numFmtId="44" fontId="2" fillId="0" borderId="33" xfId="1" applyFont="1" applyBorder="1"/>
    <xf numFmtId="0" fontId="2" fillId="0" borderId="0" xfId="0" applyFont="1" applyAlignment="1">
      <alignment horizontal="right"/>
    </xf>
    <xf numFmtId="44" fontId="18" fillId="0" borderId="39" xfId="1" applyFont="1" applyBorder="1"/>
    <xf numFmtId="165" fontId="19" fillId="0" borderId="0" xfId="0" applyNumberFormat="1" applyFont="1"/>
    <xf numFmtId="44" fontId="18" fillId="0" borderId="0" xfId="1" applyFont="1" applyBorder="1"/>
    <xf numFmtId="0" fontId="0" fillId="0" borderId="33" xfId="0" applyBorder="1"/>
    <xf numFmtId="0" fontId="2" fillId="0" borderId="33" xfId="0" applyFont="1" applyBorder="1" applyAlignment="1">
      <alignment horizontal="center"/>
    </xf>
    <xf numFmtId="0" fontId="8" fillId="0" borderId="0" xfId="0" applyFont="1"/>
    <xf numFmtId="44" fontId="16" fillId="0" borderId="0" xfId="1" applyFont="1"/>
    <xf numFmtId="44" fontId="4" fillId="0" borderId="0" xfId="1" applyFont="1"/>
    <xf numFmtId="0" fontId="20" fillId="7" borderId="0" xfId="0" applyFont="1" applyFill="1"/>
    <xf numFmtId="44" fontId="0" fillId="7" borderId="0" xfId="1" applyFont="1" applyFill="1"/>
    <xf numFmtId="0" fontId="0" fillId="7" borderId="0" xfId="0" applyFill="1"/>
    <xf numFmtId="0" fontId="2" fillId="0" borderId="39" xfId="0" applyFont="1" applyFill="1" applyBorder="1"/>
    <xf numFmtId="0" fontId="0" fillId="0" borderId="39" xfId="0" applyFill="1" applyBorder="1"/>
    <xf numFmtId="44" fontId="0" fillId="0" borderId="39" xfId="1" applyFont="1" applyFill="1" applyBorder="1"/>
    <xf numFmtId="164" fontId="2" fillId="0" borderId="40" xfId="0" applyNumberFormat="1" applyFont="1" applyFill="1" applyBorder="1" applyAlignment="1">
      <alignment horizontal="center"/>
    </xf>
    <xf numFmtId="0" fontId="23" fillId="0" borderId="40" xfId="0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44" fontId="24" fillId="0" borderId="41" xfId="1" applyFont="1" applyFill="1" applyBorder="1"/>
    <xf numFmtId="164" fontId="2" fillId="0" borderId="42" xfId="0" applyNumberFormat="1" applyFont="1" applyFill="1" applyBorder="1" applyAlignment="1">
      <alignment horizontal="center"/>
    </xf>
    <xf numFmtId="0" fontId="25" fillId="0" borderId="42" xfId="0" applyFont="1" applyFill="1" applyBorder="1" applyAlignment="1">
      <alignment horizontal="center"/>
    </xf>
    <xf numFmtId="164" fontId="15" fillId="0" borderId="0" xfId="0" applyNumberFormat="1" applyFont="1" applyFill="1" applyAlignment="1">
      <alignment horizontal="center"/>
    </xf>
    <xf numFmtId="44" fontId="24" fillId="0" borderId="37" xfId="1" applyFont="1" applyFill="1" applyBorder="1"/>
    <xf numFmtId="1" fontId="26" fillId="0" borderId="42" xfId="0" applyNumberFormat="1" applyFont="1" applyFill="1" applyBorder="1" applyAlignment="1">
      <alignment horizontal="center"/>
    </xf>
    <xf numFmtId="164" fontId="27" fillId="0" borderId="42" xfId="0" applyNumberFormat="1" applyFont="1" applyFill="1" applyBorder="1" applyAlignment="1">
      <alignment horizontal="center"/>
    </xf>
    <xf numFmtId="1" fontId="25" fillId="0" borderId="42" xfId="0" applyNumberFormat="1" applyFont="1" applyFill="1" applyBorder="1" applyAlignment="1">
      <alignment horizontal="center"/>
    </xf>
    <xf numFmtId="1" fontId="26" fillId="0" borderId="43" xfId="0" applyNumberFormat="1" applyFont="1" applyFill="1" applyBorder="1" applyAlignment="1">
      <alignment horizontal="center"/>
    </xf>
    <xf numFmtId="44" fontId="24" fillId="0" borderId="42" xfId="1" applyFont="1" applyFill="1" applyBorder="1"/>
    <xf numFmtId="0" fontId="26" fillId="0" borderId="35" xfId="0" applyFont="1" applyFill="1" applyBorder="1" applyAlignment="1">
      <alignment horizontal="center"/>
    </xf>
    <xf numFmtId="164" fontId="28" fillId="0" borderId="0" xfId="0" applyNumberFormat="1" applyFont="1" applyFill="1" applyAlignment="1">
      <alignment horizontal="center"/>
    </xf>
    <xf numFmtId="164" fontId="29" fillId="0" borderId="0" xfId="0" applyNumberFormat="1" applyFont="1" applyFill="1" applyBorder="1" applyAlignment="1">
      <alignment horizontal="center"/>
    </xf>
    <xf numFmtId="44" fontId="29" fillId="0" borderId="0" xfId="1" applyFont="1" applyFill="1" applyBorder="1"/>
    <xf numFmtId="164" fontId="27" fillId="0" borderId="42" xfId="0" applyNumberFormat="1" applyFont="1" applyFill="1" applyBorder="1" applyAlignment="1">
      <alignment horizontal="left"/>
    </xf>
    <xf numFmtId="164" fontId="30" fillId="0" borderId="0" xfId="0" applyNumberFormat="1" applyFont="1" applyFill="1" applyBorder="1" applyAlignment="1">
      <alignment horizontal="center"/>
    </xf>
    <xf numFmtId="44" fontId="24" fillId="0" borderId="0" xfId="1" applyFont="1" applyFill="1" applyBorder="1"/>
    <xf numFmtId="164" fontId="27" fillId="0" borderId="43" xfId="0" applyNumberFormat="1" applyFont="1" applyFill="1" applyBorder="1" applyAlignment="1">
      <alignment horizontal="left"/>
    </xf>
    <xf numFmtId="44" fontId="24" fillId="0" borderId="43" xfId="1" applyFont="1" applyFill="1" applyBorder="1"/>
    <xf numFmtId="164" fontId="10" fillId="0" borderId="42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8" fillId="0" borderId="35" xfId="0" applyFont="1" applyFill="1" applyBorder="1" applyAlignment="1">
      <alignment horizontal="center"/>
    </xf>
    <xf numFmtId="0" fontId="2" fillId="0" borderId="35" xfId="0" applyFont="1" applyFill="1" applyBorder="1" applyAlignment="1">
      <alignment horizontal="center"/>
    </xf>
    <xf numFmtId="165" fontId="30" fillId="0" borderId="33" xfId="0" applyNumberFormat="1" applyFont="1" applyFill="1" applyBorder="1"/>
    <xf numFmtId="44" fontId="2" fillId="0" borderId="33" xfId="1" applyFont="1" applyFill="1" applyBorder="1"/>
    <xf numFmtId="164" fontId="30" fillId="0" borderId="33" xfId="0" applyNumberFormat="1" applyFont="1" applyFill="1" applyBorder="1" applyAlignment="1">
      <alignment horizontal="center"/>
    </xf>
    <xf numFmtId="44" fontId="24" fillId="0" borderId="33" xfId="1" applyFont="1" applyFill="1" applyBorder="1"/>
    <xf numFmtId="164" fontId="0" fillId="0" borderId="0" xfId="0" applyNumberFormat="1" applyFill="1" applyAlignment="1">
      <alignment horizontal="center"/>
    </xf>
    <xf numFmtId="44" fontId="20" fillId="0" borderId="0" xfId="1" applyFont="1"/>
    <xf numFmtId="0" fontId="20" fillId="0" borderId="0" xfId="0" applyFont="1"/>
    <xf numFmtId="0" fontId="20" fillId="0" borderId="0" xfId="0" applyFont="1" applyAlignment="1">
      <alignment horizontal="center"/>
    </xf>
    <xf numFmtId="164" fontId="2" fillId="8" borderId="44" xfId="1" applyNumberFormat="1" applyFont="1" applyFill="1" applyBorder="1" applyAlignment="1">
      <alignment horizontal="center"/>
    </xf>
    <xf numFmtId="164" fontId="2" fillId="0" borderId="0" xfId="0" applyNumberFormat="1" applyFont="1"/>
    <xf numFmtId="0" fontId="19" fillId="0" borderId="0" xfId="0" applyFont="1"/>
    <xf numFmtId="44" fontId="10" fillId="0" borderId="0" xfId="1" applyFont="1"/>
    <xf numFmtId="0" fontId="19" fillId="0" borderId="0" xfId="0" applyFont="1" applyAlignment="1">
      <alignment horizontal="center"/>
    </xf>
    <xf numFmtId="164" fontId="10" fillId="0" borderId="0" xfId="0" applyNumberFormat="1" applyFont="1"/>
    <xf numFmtId="0" fontId="10" fillId="0" borderId="0" xfId="0" applyFont="1"/>
    <xf numFmtId="44" fontId="10" fillId="0" borderId="42" xfId="1" applyFont="1" applyFill="1" applyBorder="1" applyAlignment="1">
      <alignment horizontal="left"/>
    </xf>
    <xf numFmtId="0" fontId="10" fillId="0" borderId="42" xfId="0" applyFont="1" applyBorder="1" applyAlignment="1">
      <alignment horizontal="center"/>
    </xf>
    <xf numFmtId="44" fontId="32" fillId="0" borderId="42" xfId="1" applyFont="1" applyBorder="1"/>
    <xf numFmtId="164" fontId="32" fillId="0" borderId="42" xfId="0" applyNumberFormat="1" applyFont="1" applyBorder="1"/>
    <xf numFmtId="44" fontId="2" fillId="0" borderId="42" xfId="1" applyFont="1" applyFill="1" applyBorder="1" applyAlignment="1">
      <alignment horizontal="center"/>
    </xf>
    <xf numFmtId="44" fontId="2" fillId="0" borderId="42" xfId="1" applyFont="1" applyFill="1" applyBorder="1" applyAlignment="1">
      <alignment horizontal="left"/>
    </xf>
    <xf numFmtId="44" fontId="33" fillId="0" borderId="42" xfId="1" applyFont="1" applyBorder="1"/>
    <xf numFmtId="164" fontId="33" fillId="0" borderId="42" xfId="0" applyNumberFormat="1" applyFont="1" applyBorder="1"/>
    <xf numFmtId="0" fontId="2" fillId="0" borderId="42" xfId="0" applyFont="1" applyFill="1" applyBorder="1"/>
    <xf numFmtId="0" fontId="0" fillId="0" borderId="42" xfId="0" applyBorder="1"/>
    <xf numFmtId="44" fontId="2" fillId="0" borderId="42" xfId="1" applyFont="1" applyBorder="1"/>
    <xf numFmtId="0" fontId="31" fillId="0" borderId="0" xfId="0" applyFont="1"/>
    <xf numFmtId="16" fontId="31" fillId="0" borderId="0" xfId="0" applyNumberFormat="1" applyFont="1"/>
    <xf numFmtId="44" fontId="2" fillId="3" borderId="10" xfId="1" applyFont="1" applyFill="1" applyBorder="1"/>
    <xf numFmtId="165" fontId="11" fillId="3" borderId="0" xfId="0" applyNumberFormat="1" applyFont="1" applyFill="1"/>
    <xf numFmtId="15" fontId="0" fillId="3" borderId="11" xfId="0" applyNumberFormat="1" applyFill="1" applyBorder="1"/>
    <xf numFmtId="44" fontId="2" fillId="3" borderId="12" xfId="1" applyFont="1" applyFill="1" applyBorder="1"/>
    <xf numFmtId="0" fontId="0" fillId="3" borderId="0" xfId="0" applyFill="1"/>
    <xf numFmtId="15" fontId="0" fillId="3" borderId="13" xfId="0" applyNumberFormat="1" applyFill="1" applyBorder="1"/>
    <xf numFmtId="44" fontId="2" fillId="3" borderId="14" xfId="1" applyFont="1" applyFill="1" applyBorder="1"/>
    <xf numFmtId="44" fontId="2" fillId="3" borderId="15" xfId="1" applyFont="1" applyFill="1" applyBorder="1"/>
    <xf numFmtId="0" fontId="0" fillId="3" borderId="15" xfId="0" applyFill="1" applyBorder="1"/>
    <xf numFmtId="0" fontId="0" fillId="3" borderId="16" xfId="0" applyFill="1" applyBorder="1"/>
    <xf numFmtId="44" fontId="0" fillId="3" borderId="17" xfId="1" applyFont="1" applyFill="1" applyBorder="1"/>
    <xf numFmtId="16" fontId="0" fillId="0" borderId="0" xfId="0" applyNumberFormat="1" applyFill="1" applyBorder="1"/>
    <xf numFmtId="164" fontId="2" fillId="10" borderId="44" xfId="1" applyNumberFormat="1" applyFont="1" applyFill="1" applyBorder="1" applyAlignment="1">
      <alignment horizontal="center"/>
    </xf>
    <xf numFmtId="16" fontId="10" fillId="0" borderId="42" xfId="0" applyNumberFormat="1" applyFont="1" applyBorder="1" applyAlignment="1">
      <alignment horizontal="center"/>
    </xf>
    <xf numFmtId="0" fontId="18" fillId="0" borderId="0" xfId="0" applyFont="1" applyAlignment="1">
      <alignment horizontal="center"/>
    </xf>
    <xf numFmtId="0" fontId="2" fillId="0" borderId="33" xfId="0" applyFont="1" applyBorder="1" applyAlignment="1">
      <alignment horizontal="center"/>
    </xf>
    <xf numFmtId="165" fontId="16" fillId="0" borderId="36" xfId="0" applyNumberFormat="1" applyFont="1" applyBorder="1" applyAlignment="1">
      <alignment horizontal="center" vertical="center" wrapText="1"/>
    </xf>
    <xf numFmtId="15" fontId="0" fillId="0" borderId="13" xfId="0" applyNumberFormat="1" applyFill="1" applyBorder="1"/>
    <xf numFmtId="44" fontId="2" fillId="0" borderId="14" xfId="1" applyFont="1" applyFill="1" applyBorder="1"/>
    <xf numFmtId="0" fontId="0" fillId="0" borderId="15" xfId="0" applyFill="1" applyBorder="1"/>
    <xf numFmtId="0" fontId="0" fillId="0" borderId="16" xfId="0" applyFill="1" applyBorder="1"/>
    <xf numFmtId="44" fontId="0" fillId="0" borderId="17" xfId="1" applyFont="1" applyFill="1" applyBorder="1"/>
    <xf numFmtId="164" fontId="8" fillId="0" borderId="0" xfId="0" applyNumberFormat="1" applyFont="1" applyFill="1" applyAlignment="1">
      <alignment horizontal="center"/>
    </xf>
    <xf numFmtId="44" fontId="8" fillId="0" borderId="0" xfId="1" applyFont="1" applyFill="1" applyBorder="1"/>
    <xf numFmtId="166" fontId="16" fillId="0" borderId="24" xfId="0" applyNumberFormat="1" applyFont="1" applyBorder="1" applyAlignment="1"/>
    <xf numFmtId="166" fontId="16" fillId="0" borderId="12" xfId="0" applyNumberFormat="1" applyFont="1" applyBorder="1" applyAlignment="1"/>
    <xf numFmtId="164" fontId="2" fillId="4" borderId="44" xfId="1" applyNumberFormat="1" applyFont="1" applyFill="1" applyBorder="1" applyAlignment="1">
      <alignment horizontal="center"/>
    </xf>
    <xf numFmtId="1" fontId="26" fillId="0" borderId="0" xfId="0" applyNumberFormat="1" applyFont="1" applyFill="1" applyBorder="1" applyAlignment="1">
      <alignment horizontal="center"/>
    </xf>
    <xf numFmtId="44" fontId="2" fillId="0" borderId="0" xfId="1" applyFont="1" applyFill="1" applyBorder="1" applyAlignment="1">
      <alignment horizontal="center"/>
    </xf>
    <xf numFmtId="0" fontId="10" fillId="0" borderId="0" xfId="0" applyFont="1" applyBorder="1" applyAlignment="1">
      <alignment horizontal="center"/>
    </xf>
    <xf numFmtId="44" fontId="33" fillId="0" borderId="0" xfId="1" applyFont="1" applyBorder="1"/>
    <xf numFmtId="164" fontId="33" fillId="0" borderId="0" xfId="0" applyNumberFormat="1" applyFont="1" applyBorder="1"/>
    <xf numFmtId="0" fontId="26" fillId="0" borderId="0" xfId="0" applyFont="1" applyFill="1" applyBorder="1" applyAlignment="1">
      <alignment horizontal="center"/>
    </xf>
    <xf numFmtId="1" fontId="26" fillId="0" borderId="45" xfId="0" applyNumberFormat="1" applyFont="1" applyFill="1" applyBorder="1" applyAlignment="1">
      <alignment horizontal="center"/>
    </xf>
    <xf numFmtId="44" fontId="2" fillId="0" borderId="45" xfId="1" applyFont="1" applyFill="1" applyBorder="1" applyAlignment="1">
      <alignment horizontal="center"/>
    </xf>
    <xf numFmtId="0" fontId="10" fillId="0" borderId="45" xfId="0" applyFont="1" applyBorder="1" applyAlignment="1">
      <alignment horizontal="center"/>
    </xf>
    <xf numFmtId="44" fontId="33" fillId="0" borderId="45" xfId="1" applyFont="1" applyBorder="1"/>
    <xf numFmtId="164" fontId="33" fillId="0" borderId="45" xfId="0" applyNumberFormat="1" applyFont="1" applyBorder="1"/>
    <xf numFmtId="164" fontId="2" fillId="5" borderId="44" xfId="1" applyNumberFormat="1" applyFont="1" applyFill="1" applyBorder="1" applyAlignment="1">
      <alignment horizontal="center"/>
    </xf>
    <xf numFmtId="44" fontId="2" fillId="12" borderId="0" xfId="1" applyFont="1" applyFill="1"/>
    <xf numFmtId="164" fontId="20" fillId="0" borderId="0" xfId="0" applyNumberFormat="1" applyFont="1"/>
    <xf numFmtId="44" fontId="2" fillId="11" borderId="12" xfId="1" applyFont="1" applyFill="1" applyBorder="1"/>
    <xf numFmtId="44" fontId="10" fillId="13" borderId="42" xfId="1" applyFont="1" applyFill="1" applyBorder="1" applyAlignment="1">
      <alignment horizontal="center"/>
    </xf>
    <xf numFmtId="0" fontId="10" fillId="6" borderId="42" xfId="0" applyFont="1" applyFill="1" applyBorder="1" applyAlignment="1">
      <alignment horizontal="center"/>
    </xf>
    <xf numFmtId="44" fontId="10" fillId="6" borderId="42" xfId="1" applyFont="1" applyFill="1" applyBorder="1"/>
    <xf numFmtId="44" fontId="0" fillId="0" borderId="42" xfId="1" applyFont="1" applyBorder="1"/>
    <xf numFmtId="44" fontId="10" fillId="0" borderId="42" xfId="1" applyFont="1" applyBorder="1"/>
    <xf numFmtId="0" fontId="20" fillId="2" borderId="42" xfId="0" applyFont="1" applyFill="1" applyBorder="1"/>
    <xf numFmtId="44" fontId="2" fillId="9" borderId="0" xfId="1" applyFont="1" applyFill="1"/>
    <xf numFmtId="44" fontId="2" fillId="0" borderId="20" xfId="1" applyFont="1" applyBorder="1"/>
    <xf numFmtId="164" fontId="33" fillId="0" borderId="0" xfId="0" applyNumberFormat="1" applyFont="1" applyFill="1" applyBorder="1"/>
    <xf numFmtId="0" fontId="10" fillId="0" borderId="0" xfId="0" applyFont="1" applyFill="1" applyBorder="1" applyAlignment="1">
      <alignment horizontal="center"/>
    </xf>
    <xf numFmtId="44" fontId="33" fillId="0" borderId="0" xfId="1" applyFont="1" applyFill="1" applyBorder="1"/>
    <xf numFmtId="44" fontId="20" fillId="0" borderId="0" xfId="1" applyFont="1" applyFill="1" applyBorder="1"/>
    <xf numFmtId="0" fontId="20" fillId="0" borderId="0" xfId="0" applyFont="1" applyFill="1" applyBorder="1"/>
    <xf numFmtId="0" fontId="20" fillId="0" borderId="0" xfId="0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0" xfId="0" applyNumberFormat="1" applyFont="1" applyFill="1" applyBorder="1"/>
    <xf numFmtId="0" fontId="19" fillId="0" borderId="0" xfId="0" applyFont="1" applyFill="1" applyBorder="1"/>
    <xf numFmtId="0" fontId="18" fillId="0" borderId="0" xfId="0" applyFont="1" applyAlignment="1">
      <alignment horizontal="center"/>
    </xf>
    <xf numFmtId="0" fontId="2" fillId="0" borderId="33" xfId="0" applyFont="1" applyBorder="1" applyAlignment="1">
      <alignment horizontal="center"/>
    </xf>
    <xf numFmtId="165" fontId="16" fillId="0" borderId="36" xfId="0" applyNumberFormat="1" applyFont="1" applyBorder="1" applyAlignment="1">
      <alignment horizontal="center" vertical="center" wrapText="1"/>
    </xf>
    <xf numFmtId="44" fontId="2" fillId="12" borderId="20" xfId="1" applyFont="1" applyFill="1" applyBorder="1"/>
    <xf numFmtId="164" fontId="2" fillId="2" borderId="44" xfId="1" applyNumberFormat="1" applyFont="1" applyFill="1" applyBorder="1" applyAlignment="1">
      <alignment horizontal="center"/>
    </xf>
    <xf numFmtId="44" fontId="2" fillId="0" borderId="43" xfId="1" applyFont="1" applyFill="1" applyBorder="1" applyAlignment="1">
      <alignment horizontal="center"/>
    </xf>
    <xf numFmtId="0" fontId="10" fillId="0" borderId="43" xfId="0" applyFont="1" applyBorder="1" applyAlignment="1">
      <alignment horizontal="center"/>
    </xf>
    <xf numFmtId="44" fontId="33" fillId="0" borderId="43" xfId="1" applyFont="1" applyBorder="1"/>
    <xf numFmtId="164" fontId="33" fillId="0" borderId="43" xfId="0" applyNumberFormat="1" applyFont="1" applyBorder="1"/>
    <xf numFmtId="44" fontId="2" fillId="0" borderId="42" xfId="1" applyFont="1" applyFill="1" applyBorder="1"/>
    <xf numFmtId="0" fontId="10" fillId="0" borderId="42" xfId="0" applyFont="1" applyFill="1" applyBorder="1" applyAlignment="1">
      <alignment horizontal="center"/>
    </xf>
    <xf numFmtId="44" fontId="32" fillId="0" borderId="42" xfId="1" applyFont="1" applyFill="1" applyBorder="1"/>
    <xf numFmtId="164" fontId="32" fillId="0" borderId="42" xfId="0" applyNumberFormat="1" applyFont="1" applyFill="1" applyBorder="1"/>
    <xf numFmtId="0" fontId="10" fillId="0" borderId="42" xfId="0" applyFont="1" applyBorder="1"/>
    <xf numFmtId="44" fontId="0" fillId="0" borderId="0" xfId="0" applyNumberFormat="1"/>
    <xf numFmtId="1" fontId="26" fillId="0" borderId="46" xfId="0" applyNumberFormat="1" applyFont="1" applyFill="1" applyBorder="1" applyAlignment="1">
      <alignment horizontal="center"/>
    </xf>
    <xf numFmtId="44" fontId="2" fillId="0" borderId="46" xfId="1" applyFont="1" applyFill="1" applyBorder="1"/>
    <xf numFmtId="164" fontId="33" fillId="0" borderId="46" xfId="0" applyNumberFormat="1" applyFont="1" applyFill="1" applyBorder="1"/>
    <xf numFmtId="0" fontId="15" fillId="14" borderId="18" xfId="0" applyFont="1" applyFill="1" applyBorder="1"/>
    <xf numFmtId="44" fontId="2" fillId="14" borderId="22" xfId="1" applyFont="1" applyFill="1" applyBorder="1" applyAlignment="1"/>
    <xf numFmtId="0" fontId="2" fillId="14" borderId="18" xfId="0" applyFont="1" applyFill="1" applyBorder="1"/>
    <xf numFmtId="44" fontId="2" fillId="14" borderId="23" xfId="1" applyFont="1" applyFill="1" applyBorder="1" applyAlignment="1"/>
    <xf numFmtId="16" fontId="2" fillId="14" borderId="18" xfId="0" applyNumberFormat="1" applyFont="1" applyFill="1" applyBorder="1" applyAlignment="1">
      <alignment horizontal="center"/>
    </xf>
    <xf numFmtId="44" fontId="2" fillId="14" borderId="12" xfId="1" applyFont="1" applyFill="1" applyBorder="1" applyAlignment="1">
      <alignment horizontal="right"/>
    </xf>
    <xf numFmtId="16" fontId="19" fillId="0" borderId="0" xfId="0" applyNumberFormat="1" applyFont="1" applyFill="1" applyBorder="1"/>
    <xf numFmtId="164" fontId="2" fillId="2" borderId="42" xfId="0" applyNumberFormat="1" applyFont="1" applyFill="1" applyBorder="1"/>
    <xf numFmtId="164" fontId="2" fillId="0" borderId="42" xfId="0" applyNumberFormat="1" applyFont="1" applyBorder="1"/>
    <xf numFmtId="44" fontId="0" fillId="0" borderId="42" xfId="0" applyNumberFormat="1" applyBorder="1"/>
    <xf numFmtId="0" fontId="2" fillId="14" borderId="42" xfId="0" applyFont="1" applyFill="1" applyBorder="1"/>
    <xf numFmtId="0" fontId="0" fillId="14" borderId="42" xfId="0" applyFill="1" applyBorder="1"/>
    <xf numFmtId="164" fontId="2" fillId="0" borderId="42" xfId="0" applyNumberFormat="1" applyFont="1" applyBorder="1" applyAlignment="1">
      <alignment horizontal="center"/>
    </xf>
    <xf numFmtId="164" fontId="12" fillId="0" borderId="0" xfId="0" applyNumberFormat="1" applyFont="1" applyFill="1" applyAlignment="1">
      <alignment horizontal="center"/>
    </xf>
    <xf numFmtId="165" fontId="13" fillId="0" borderId="0" xfId="0" applyNumberFormat="1" applyFont="1" applyFill="1"/>
    <xf numFmtId="164" fontId="2" fillId="15" borderId="44" xfId="1" applyNumberFormat="1" applyFont="1" applyFill="1" applyBorder="1" applyAlignment="1">
      <alignment horizontal="center"/>
    </xf>
    <xf numFmtId="16" fontId="14" fillId="14" borderId="0" xfId="0" applyNumberFormat="1" applyFont="1" applyFill="1" applyBorder="1"/>
    <xf numFmtId="165" fontId="16" fillId="0" borderId="35" xfId="0" applyNumberFormat="1" applyFont="1" applyBorder="1" applyAlignment="1">
      <alignment horizontal="center" vertical="center" wrapText="1"/>
    </xf>
    <xf numFmtId="165" fontId="16" fillId="0" borderId="36" xfId="0" applyNumberFormat="1" applyFont="1" applyBorder="1" applyAlignment="1">
      <alignment horizontal="center" vertical="center" wrapText="1"/>
    </xf>
    <xf numFmtId="165" fontId="16" fillId="0" borderId="36" xfId="0" applyNumberFormat="1" applyFont="1" applyBorder="1" applyAlignment="1">
      <alignment horizontal="center"/>
    </xf>
    <xf numFmtId="0" fontId="16" fillId="0" borderId="37" xfId="0" applyFont="1" applyBorder="1" applyAlignment="1">
      <alignment horizontal="center"/>
    </xf>
    <xf numFmtId="0" fontId="3" fillId="0" borderId="0" xfId="0" applyFont="1" applyFill="1" applyAlignment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44" fontId="20" fillId="0" borderId="2" xfId="1" applyFont="1" applyBorder="1" applyAlignment="1">
      <alignment horizontal="center"/>
    </xf>
    <xf numFmtId="44" fontId="20" fillId="0" borderId="34" xfId="1" applyFont="1" applyBorder="1" applyAlignment="1">
      <alignment horizontal="center"/>
    </xf>
    <xf numFmtId="0" fontId="14" fillId="0" borderId="0" xfId="0" applyFont="1" applyAlignment="1">
      <alignment horizontal="center"/>
    </xf>
    <xf numFmtId="44" fontId="20" fillId="2" borderId="2" xfId="1" applyFont="1" applyFill="1" applyBorder="1" applyAlignment="1">
      <alignment horizontal="center"/>
    </xf>
    <xf numFmtId="44" fontId="20" fillId="2" borderId="3" xfId="1" applyFont="1" applyFill="1" applyBorder="1" applyAlignment="1">
      <alignment horizontal="center"/>
    </xf>
    <xf numFmtId="165" fontId="20" fillId="2" borderId="3" xfId="1" applyNumberFormat="1" applyFont="1" applyFill="1" applyBorder="1" applyAlignment="1">
      <alignment horizontal="center"/>
    </xf>
    <xf numFmtId="44" fontId="20" fillId="2" borderId="34" xfId="1" applyFont="1" applyFill="1" applyBorder="1" applyAlignment="1">
      <alignment horizontal="center"/>
    </xf>
    <xf numFmtId="165" fontId="16" fillId="0" borderId="0" xfId="0" applyNumberFormat="1" applyFont="1" applyBorder="1" applyAlignment="1">
      <alignment horizontal="center" vertical="center" wrapText="1"/>
    </xf>
    <xf numFmtId="165" fontId="8" fillId="0" borderId="0" xfId="0" applyNumberFormat="1" applyFont="1" applyBorder="1" applyAlignment="1">
      <alignment horizontal="center" vertical="center" wrapText="1"/>
    </xf>
    <xf numFmtId="0" fontId="10" fillId="6" borderId="38" xfId="0" applyFont="1" applyFill="1" applyBorder="1" applyAlignment="1">
      <alignment horizontal="center" vertical="center"/>
    </xf>
    <xf numFmtId="0" fontId="10" fillId="6" borderId="15" xfId="0" applyFont="1" applyFill="1" applyBorder="1" applyAlignment="1">
      <alignment horizontal="center" vertical="center"/>
    </xf>
    <xf numFmtId="0" fontId="10" fillId="6" borderId="28" xfId="0" applyFont="1" applyFill="1" applyBorder="1" applyAlignment="1">
      <alignment horizontal="center" vertical="center"/>
    </xf>
    <xf numFmtId="0" fontId="10" fillId="6" borderId="33" xfId="0" applyFont="1" applyFill="1" applyBorder="1" applyAlignment="1">
      <alignment horizontal="center" vertical="center"/>
    </xf>
    <xf numFmtId="165" fontId="9" fillId="0" borderId="15" xfId="0" applyNumberFormat="1" applyFont="1" applyBorder="1" applyAlignment="1">
      <alignment horizontal="center"/>
    </xf>
    <xf numFmtId="165" fontId="9" fillId="0" borderId="16" xfId="0" applyNumberFormat="1" applyFont="1" applyBorder="1" applyAlignment="1">
      <alignment horizontal="center"/>
    </xf>
    <xf numFmtId="165" fontId="9" fillId="0" borderId="33" xfId="0" applyNumberFormat="1" applyFont="1" applyBorder="1" applyAlignment="1">
      <alignment horizontal="center"/>
    </xf>
    <xf numFmtId="165" fontId="9" fillId="0" borderId="29" xfId="0" applyNumberFormat="1" applyFont="1" applyBorder="1" applyAlignment="1">
      <alignment horizontal="center"/>
    </xf>
    <xf numFmtId="0" fontId="18" fillId="0" borderId="0" xfId="0" applyFont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44" fontId="2" fillId="0" borderId="22" xfId="1" applyFont="1" applyBorder="1" applyAlignment="1">
      <alignment horizontal="center"/>
    </xf>
    <xf numFmtId="44" fontId="2" fillId="0" borderId="23" xfId="1" applyFont="1" applyBorder="1" applyAlignment="1">
      <alignment horizontal="center"/>
    </xf>
    <xf numFmtId="166" fontId="16" fillId="0" borderId="24" xfId="0" applyNumberFormat="1" applyFont="1" applyBorder="1" applyAlignment="1">
      <alignment horizontal="center"/>
    </xf>
    <xf numFmtId="166" fontId="16" fillId="0" borderId="12" xfId="0" applyNumberFormat="1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99"/>
      <color rgb="FF0000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896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439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896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439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896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439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499984740745262"/>
  </sheetPr>
  <dimension ref="A1:S57"/>
  <sheetViews>
    <sheetView topLeftCell="A4" workbookViewId="0">
      <selection activeCell="F46" sqref="F46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4" customWidth="1"/>
    <col min="6" max="6" width="17.85546875" style="3" customWidth="1"/>
    <col min="7" max="7" width="2.85546875" customWidth="1"/>
    <col min="9" max="9" width="12.140625" style="3" customWidth="1"/>
    <col min="10" max="10" width="6.42578125" style="3" customWidth="1"/>
    <col min="11" max="11" width="13.7109375" customWidth="1"/>
    <col min="12" max="12" width="11.28515625" customWidth="1"/>
    <col min="13" max="13" width="16.7109375" style="3" customWidth="1"/>
    <col min="14" max="14" width="12.5703125" style="3" bestFit="1" customWidth="1"/>
  </cols>
  <sheetData>
    <row r="1" spans="1:19" ht="23.25" x14ac:dyDescent="0.35">
      <c r="C1" s="267" t="s">
        <v>30</v>
      </c>
      <c r="D1" s="267"/>
      <c r="E1" s="267"/>
      <c r="F1" s="267"/>
      <c r="G1" s="267"/>
      <c r="H1" s="267"/>
      <c r="I1" s="267"/>
      <c r="J1" s="267"/>
      <c r="K1" s="267"/>
      <c r="L1" s="2" t="s">
        <v>0</v>
      </c>
    </row>
    <row r="2" spans="1:19" ht="15.75" thickBot="1" x14ac:dyDescent="0.3">
      <c r="E2" s="5"/>
      <c r="F2" s="6"/>
    </row>
    <row r="3" spans="1:19" ht="15.75" thickBot="1" x14ac:dyDescent="0.3">
      <c r="C3" s="7" t="s">
        <v>1</v>
      </c>
      <c r="D3" s="8"/>
    </row>
    <row r="4" spans="1:19" ht="20.25" thickTop="1" thickBot="1" x14ac:dyDescent="0.35">
      <c r="A4" s="9" t="s">
        <v>2</v>
      </c>
      <c r="B4" s="10"/>
      <c r="C4" s="11">
        <v>48130.1</v>
      </c>
      <c r="D4" s="12"/>
      <c r="E4" s="268" t="s">
        <v>3</v>
      </c>
      <c r="F4" s="269"/>
      <c r="I4" s="270" t="s">
        <v>4</v>
      </c>
      <c r="J4" s="271"/>
      <c r="K4" s="271"/>
      <c r="L4" s="271"/>
      <c r="M4" s="13" t="s">
        <v>5</v>
      </c>
    </row>
    <row r="5" spans="1:19" ht="15.75" thickTop="1" x14ac:dyDescent="0.25">
      <c r="A5" s="14"/>
      <c r="B5" s="15">
        <v>42370</v>
      </c>
      <c r="C5" s="169">
        <v>0</v>
      </c>
      <c r="D5" s="170"/>
      <c r="E5" s="171">
        <v>42370</v>
      </c>
      <c r="F5" s="172">
        <v>0</v>
      </c>
      <c r="G5" s="173"/>
      <c r="H5" s="174">
        <v>42370</v>
      </c>
      <c r="I5" s="175">
        <v>0</v>
      </c>
      <c r="J5" s="176"/>
      <c r="K5" s="177"/>
      <c r="L5" s="178"/>
      <c r="M5" s="179">
        <v>0</v>
      </c>
      <c r="N5" s="21"/>
      <c r="O5" s="20"/>
      <c r="P5" s="20"/>
      <c r="Q5" s="20"/>
      <c r="R5" t="s">
        <v>6</v>
      </c>
      <c r="S5">
        <v>1600</v>
      </c>
    </row>
    <row r="6" spans="1:19" x14ac:dyDescent="0.25">
      <c r="A6" s="14"/>
      <c r="B6" s="15">
        <v>42371</v>
      </c>
      <c r="C6" s="16">
        <v>15</v>
      </c>
      <c r="D6" s="22" t="s">
        <v>66</v>
      </c>
      <c r="E6" s="18">
        <v>42371</v>
      </c>
      <c r="F6" s="19">
        <v>91442.98</v>
      </c>
      <c r="G6" s="23"/>
      <c r="H6" s="24">
        <v>42371</v>
      </c>
      <c r="I6" s="25">
        <v>674</v>
      </c>
      <c r="J6" s="26"/>
      <c r="K6" s="27" t="s">
        <v>7</v>
      </c>
      <c r="L6" s="28">
        <v>1076</v>
      </c>
      <c r="M6" s="33">
        <v>83550</v>
      </c>
      <c r="N6" s="30"/>
      <c r="O6" s="20"/>
      <c r="P6" s="20"/>
      <c r="Q6" s="20"/>
    </row>
    <row r="7" spans="1:19" x14ac:dyDescent="0.25">
      <c r="A7" s="14"/>
      <c r="B7" s="15">
        <v>42372</v>
      </c>
      <c r="C7" s="16">
        <v>480</v>
      </c>
      <c r="D7" s="17" t="s">
        <v>72</v>
      </c>
      <c r="E7" s="18">
        <v>42372</v>
      </c>
      <c r="F7" s="19">
        <v>55954.55</v>
      </c>
      <c r="G7" s="20"/>
      <c r="H7" s="24">
        <v>42372</v>
      </c>
      <c r="I7" s="25">
        <v>300</v>
      </c>
      <c r="J7" s="26"/>
      <c r="K7" s="31" t="s">
        <v>8</v>
      </c>
      <c r="L7" s="28">
        <v>11837</v>
      </c>
      <c r="M7" s="33">
        <v>116375.4</v>
      </c>
      <c r="N7" s="30"/>
      <c r="O7" s="20"/>
      <c r="P7" s="20"/>
      <c r="Q7" s="20"/>
      <c r="R7" t="s">
        <v>9</v>
      </c>
      <c r="S7">
        <v>2500</v>
      </c>
    </row>
    <row r="8" spans="1:19" x14ac:dyDescent="0.25">
      <c r="A8" s="14"/>
      <c r="B8" s="15">
        <v>42373</v>
      </c>
      <c r="C8" s="16">
        <v>600</v>
      </c>
      <c r="D8" s="17" t="s">
        <v>76</v>
      </c>
      <c r="E8" s="18">
        <v>42373</v>
      </c>
      <c r="F8" s="19">
        <v>44062.8</v>
      </c>
      <c r="G8" s="20"/>
      <c r="H8" s="24">
        <v>42373</v>
      </c>
      <c r="I8" s="25">
        <v>0</v>
      </c>
      <c r="J8" s="26"/>
      <c r="K8" s="27" t="s">
        <v>10</v>
      </c>
      <c r="L8" s="32">
        <v>28750</v>
      </c>
      <c r="M8" s="33">
        <v>43463</v>
      </c>
      <c r="N8" s="21"/>
      <c r="O8" s="20"/>
      <c r="P8" s="20"/>
      <c r="Q8" s="20"/>
    </row>
    <row r="9" spans="1:19" x14ac:dyDescent="0.25">
      <c r="A9" s="14"/>
      <c r="B9" s="15">
        <v>42374</v>
      </c>
      <c r="C9" s="16">
        <v>1047</v>
      </c>
      <c r="D9" s="34" t="s">
        <v>77</v>
      </c>
      <c r="E9" s="18">
        <v>42374</v>
      </c>
      <c r="F9" s="19">
        <v>53907.18</v>
      </c>
      <c r="G9" s="20"/>
      <c r="H9" s="24">
        <v>42374</v>
      </c>
      <c r="I9" s="25">
        <v>393</v>
      </c>
      <c r="J9" s="35"/>
      <c r="K9" s="27" t="s">
        <v>67</v>
      </c>
      <c r="L9" s="28">
        <f>1800+6824+2500+1600</f>
        <v>12724</v>
      </c>
      <c r="M9" s="33">
        <v>52467</v>
      </c>
      <c r="N9" s="21"/>
      <c r="O9" s="37"/>
      <c r="P9" s="20"/>
      <c r="Q9" s="20"/>
    </row>
    <row r="10" spans="1:19" x14ac:dyDescent="0.25">
      <c r="A10" s="14"/>
      <c r="B10" s="15">
        <v>42375</v>
      </c>
      <c r="C10" s="16">
        <v>0</v>
      </c>
      <c r="D10" s="34"/>
      <c r="E10" s="18">
        <v>42375</v>
      </c>
      <c r="F10" s="19">
        <v>50416.9</v>
      </c>
      <c r="G10" s="20"/>
      <c r="H10" s="24">
        <v>42375</v>
      </c>
      <c r="I10" s="25">
        <v>0</v>
      </c>
      <c r="J10" s="35"/>
      <c r="K10" s="27" t="s">
        <v>68</v>
      </c>
      <c r="L10" s="19">
        <v>10750</v>
      </c>
      <c r="M10" s="33">
        <v>50417</v>
      </c>
      <c r="N10" s="30"/>
      <c r="O10" s="20"/>
      <c r="P10" s="20"/>
      <c r="Q10" s="20"/>
    </row>
    <row r="11" spans="1:19" x14ac:dyDescent="0.25">
      <c r="A11" s="14"/>
      <c r="B11" s="15">
        <v>42376</v>
      </c>
      <c r="C11" s="16">
        <f>50+485</f>
        <v>535</v>
      </c>
      <c r="D11" s="34" t="s">
        <v>78</v>
      </c>
      <c r="E11" s="18">
        <v>42376</v>
      </c>
      <c r="F11" s="19">
        <v>57122.91</v>
      </c>
      <c r="G11" s="20"/>
      <c r="H11" s="24">
        <v>42376</v>
      </c>
      <c r="I11" s="25">
        <v>0</v>
      </c>
      <c r="J11" s="35"/>
      <c r="K11" s="27" t="s">
        <v>69</v>
      </c>
      <c r="L11" s="19">
        <v>11150</v>
      </c>
      <c r="M11" s="33">
        <v>56588</v>
      </c>
      <c r="N11" s="36"/>
      <c r="O11" s="20"/>
      <c r="P11" s="20"/>
      <c r="Q11" s="20"/>
    </row>
    <row r="12" spans="1:19" x14ac:dyDescent="0.25">
      <c r="A12" s="14"/>
      <c r="B12" s="15">
        <v>42377</v>
      </c>
      <c r="C12" s="16">
        <v>336</v>
      </c>
      <c r="D12" s="17" t="s">
        <v>66</v>
      </c>
      <c r="E12" s="18">
        <v>42377</v>
      </c>
      <c r="F12" s="19">
        <v>87470.61</v>
      </c>
      <c r="G12" s="20"/>
      <c r="H12" s="24">
        <v>42377</v>
      </c>
      <c r="I12" s="25">
        <v>344</v>
      </c>
      <c r="J12" s="35" t="s">
        <v>79</v>
      </c>
      <c r="K12" s="27" t="s">
        <v>70</v>
      </c>
      <c r="L12" s="210">
        <v>10150</v>
      </c>
      <c r="M12" s="33">
        <v>86791</v>
      </c>
      <c r="N12" s="21"/>
      <c r="O12" s="37"/>
      <c r="P12" s="38"/>
      <c r="Q12" s="20"/>
    </row>
    <row r="13" spans="1:19" x14ac:dyDescent="0.25">
      <c r="A13" s="14"/>
      <c r="B13" s="15">
        <v>42378</v>
      </c>
      <c r="C13" s="16">
        <v>480</v>
      </c>
      <c r="D13" s="34" t="s">
        <v>80</v>
      </c>
      <c r="E13" s="18">
        <v>42378</v>
      </c>
      <c r="F13" s="19">
        <v>67731.61</v>
      </c>
      <c r="G13" s="20"/>
      <c r="H13" s="24">
        <v>42378</v>
      </c>
      <c r="I13" s="25">
        <v>1278.03</v>
      </c>
      <c r="J13" s="35"/>
      <c r="K13" s="27" t="s">
        <v>118</v>
      </c>
      <c r="L13" s="19">
        <v>10884</v>
      </c>
      <c r="M13" s="33">
        <v>64380</v>
      </c>
      <c r="N13" s="21"/>
      <c r="O13" s="20"/>
      <c r="P13" s="20"/>
      <c r="Q13" s="20"/>
    </row>
    <row r="14" spans="1:19" x14ac:dyDescent="0.25">
      <c r="A14" s="14"/>
      <c r="B14" s="15">
        <v>42379</v>
      </c>
      <c r="C14" s="16">
        <v>325</v>
      </c>
      <c r="D14" s="17" t="s">
        <v>82</v>
      </c>
      <c r="E14" s="18">
        <v>42379</v>
      </c>
      <c r="F14" s="19">
        <v>66275.62</v>
      </c>
      <c r="G14" s="20"/>
      <c r="H14" s="24">
        <v>42379</v>
      </c>
      <c r="I14" s="25">
        <v>0</v>
      </c>
      <c r="J14" s="35"/>
      <c r="K14" s="39"/>
      <c r="L14" s="19">
        <v>0</v>
      </c>
      <c r="M14" s="33">
        <v>59301</v>
      </c>
      <c r="N14" s="21"/>
      <c r="O14" s="20"/>
      <c r="P14" s="20"/>
      <c r="Q14" s="20"/>
    </row>
    <row r="15" spans="1:19" x14ac:dyDescent="0.25">
      <c r="A15" s="14"/>
      <c r="B15" s="15">
        <v>42380</v>
      </c>
      <c r="C15" s="16">
        <v>489</v>
      </c>
      <c r="D15" s="17" t="s">
        <v>83</v>
      </c>
      <c r="E15" s="18">
        <v>42380</v>
      </c>
      <c r="F15" s="19">
        <v>45849.17</v>
      </c>
      <c r="G15" s="20"/>
      <c r="H15" s="24">
        <v>42380</v>
      </c>
      <c r="I15" s="25">
        <v>100</v>
      </c>
      <c r="J15" s="35"/>
      <c r="K15" s="40" t="s">
        <v>11</v>
      </c>
      <c r="L15" s="19">
        <v>0</v>
      </c>
      <c r="M15" s="33">
        <v>45260</v>
      </c>
      <c r="N15" s="208">
        <v>900</v>
      </c>
      <c r="O15" s="20" t="s">
        <v>174</v>
      </c>
      <c r="P15" s="20"/>
      <c r="Q15" s="20"/>
    </row>
    <row r="16" spans="1:19" x14ac:dyDescent="0.25">
      <c r="A16" s="14"/>
      <c r="B16" s="15">
        <v>42381</v>
      </c>
      <c r="C16" s="16">
        <v>0</v>
      </c>
      <c r="D16" s="34"/>
      <c r="E16" s="18">
        <v>42381</v>
      </c>
      <c r="F16" s="19">
        <v>46587.38</v>
      </c>
      <c r="G16" s="20"/>
      <c r="H16" s="24">
        <v>42381</v>
      </c>
      <c r="I16" s="25">
        <v>0</v>
      </c>
      <c r="J16" s="35"/>
      <c r="K16" s="41" t="s">
        <v>81</v>
      </c>
      <c r="L16" s="42">
        <v>517.78</v>
      </c>
      <c r="M16" s="33">
        <v>43287</v>
      </c>
      <c r="N16" s="30"/>
      <c r="O16" s="20"/>
      <c r="P16" s="20"/>
      <c r="Q16" s="20"/>
    </row>
    <row r="17" spans="1:18" x14ac:dyDescent="0.25">
      <c r="A17" s="14"/>
      <c r="B17" s="15">
        <v>42382</v>
      </c>
      <c r="C17" s="16">
        <v>493</v>
      </c>
      <c r="D17" s="17" t="s">
        <v>115</v>
      </c>
      <c r="E17" s="18">
        <v>42382</v>
      </c>
      <c r="F17" s="19">
        <v>32415.18</v>
      </c>
      <c r="G17" s="20"/>
      <c r="H17" s="24">
        <v>42382</v>
      </c>
      <c r="I17" s="25">
        <v>56</v>
      </c>
      <c r="J17" s="35"/>
      <c r="K17" s="180">
        <v>42378</v>
      </c>
      <c r="L17" s="19">
        <v>0</v>
      </c>
      <c r="M17" s="231">
        <v>31867</v>
      </c>
      <c r="N17" s="208" t="s">
        <v>176</v>
      </c>
      <c r="O17" s="20"/>
      <c r="P17" s="20"/>
      <c r="Q17" s="20"/>
    </row>
    <row r="18" spans="1:18" x14ac:dyDescent="0.25">
      <c r="A18" s="14"/>
      <c r="B18" s="15">
        <v>42383</v>
      </c>
      <c r="C18" s="16">
        <v>0</v>
      </c>
      <c r="D18" s="17"/>
      <c r="E18" s="18">
        <v>42383</v>
      </c>
      <c r="F18" s="19">
        <v>42224.53</v>
      </c>
      <c r="G18" s="20"/>
      <c r="H18" s="24">
        <v>42383</v>
      </c>
      <c r="I18" s="25">
        <v>0</v>
      </c>
      <c r="J18" s="35"/>
      <c r="K18" s="41" t="s">
        <v>12</v>
      </c>
      <c r="L18" s="19">
        <v>0</v>
      </c>
      <c r="M18" s="33">
        <v>42224.5</v>
      </c>
      <c r="N18" s="21"/>
      <c r="O18" s="37"/>
      <c r="P18" s="20"/>
      <c r="Q18" s="20"/>
    </row>
    <row r="19" spans="1:18" x14ac:dyDescent="0.25">
      <c r="A19" s="14"/>
      <c r="B19" s="15">
        <v>42384</v>
      </c>
      <c r="C19" s="16">
        <v>1076</v>
      </c>
      <c r="D19" s="34" t="s">
        <v>84</v>
      </c>
      <c r="E19" s="18">
        <v>42384</v>
      </c>
      <c r="F19" s="19">
        <v>79260.44</v>
      </c>
      <c r="G19" s="20"/>
      <c r="H19" s="24">
        <v>42384</v>
      </c>
      <c r="I19" s="25">
        <v>0</v>
      </c>
      <c r="J19" s="35"/>
      <c r="K19" s="43" t="s">
        <v>13</v>
      </c>
      <c r="L19" s="44">
        <v>0</v>
      </c>
      <c r="M19" s="33">
        <v>78184.5</v>
      </c>
      <c r="N19" s="21"/>
      <c r="O19" s="20"/>
      <c r="P19" s="20"/>
      <c r="Q19" s="20"/>
    </row>
    <row r="20" spans="1:18" x14ac:dyDescent="0.25">
      <c r="A20" s="14"/>
      <c r="B20" s="15">
        <v>42385</v>
      </c>
      <c r="C20" s="16">
        <v>0</v>
      </c>
      <c r="D20" s="22"/>
      <c r="E20" s="18">
        <v>42385</v>
      </c>
      <c r="F20" s="19">
        <v>62645.95</v>
      </c>
      <c r="G20" s="20"/>
      <c r="H20" s="24">
        <v>42385</v>
      </c>
      <c r="I20" s="45">
        <v>432</v>
      </c>
      <c r="J20" s="35"/>
      <c r="K20" s="46" t="s">
        <v>14</v>
      </c>
      <c r="L20" s="42">
        <v>0</v>
      </c>
      <c r="M20" s="33">
        <v>68115</v>
      </c>
      <c r="N20" s="30"/>
      <c r="O20" s="20"/>
      <c r="P20" s="20"/>
      <c r="Q20" s="20"/>
    </row>
    <row r="21" spans="1:18" x14ac:dyDescent="0.25">
      <c r="A21" s="14"/>
      <c r="B21" s="15">
        <v>42386</v>
      </c>
      <c r="C21" s="16">
        <v>0</v>
      </c>
      <c r="D21" s="17"/>
      <c r="E21" s="18">
        <v>42386</v>
      </c>
      <c r="F21" s="19">
        <v>61064.39</v>
      </c>
      <c r="G21" s="20"/>
      <c r="H21" s="24">
        <v>42386</v>
      </c>
      <c r="I21" s="45">
        <v>0</v>
      </c>
      <c r="J21" s="35"/>
      <c r="K21" s="47" t="s">
        <v>15</v>
      </c>
      <c r="L21" s="42">
        <v>0</v>
      </c>
      <c r="M21" s="33">
        <v>54014</v>
      </c>
      <c r="N21" s="30"/>
      <c r="O21" s="37"/>
      <c r="P21" s="37"/>
      <c r="Q21" s="37"/>
      <c r="R21" s="37"/>
    </row>
    <row r="22" spans="1:18" x14ac:dyDescent="0.25">
      <c r="A22" s="14"/>
      <c r="B22" s="15">
        <v>42387</v>
      </c>
      <c r="C22" s="16">
        <v>339.5</v>
      </c>
      <c r="D22" s="34" t="s">
        <v>82</v>
      </c>
      <c r="E22" s="18">
        <v>42387</v>
      </c>
      <c r="F22" s="19">
        <v>35881.65</v>
      </c>
      <c r="G22" s="20"/>
      <c r="H22" s="24">
        <v>42387</v>
      </c>
      <c r="I22" s="45">
        <v>0</v>
      </c>
      <c r="J22" s="48"/>
      <c r="K22" s="49" t="s">
        <v>29</v>
      </c>
      <c r="L22" s="42">
        <v>800</v>
      </c>
      <c r="M22" s="33">
        <v>35542</v>
      </c>
      <c r="N22" s="30"/>
      <c r="O22" s="20"/>
      <c r="P22" s="20"/>
      <c r="Q22" s="20"/>
    </row>
    <row r="23" spans="1:18" x14ac:dyDescent="0.25">
      <c r="A23" s="14"/>
      <c r="B23" s="15">
        <v>42388</v>
      </c>
      <c r="C23" s="16">
        <v>572</v>
      </c>
      <c r="D23" s="34" t="s">
        <v>83</v>
      </c>
      <c r="E23" s="18">
        <v>42388</v>
      </c>
      <c r="F23" s="19">
        <v>45531.49</v>
      </c>
      <c r="G23" s="20"/>
      <c r="H23" s="24">
        <v>42388</v>
      </c>
      <c r="I23" s="45">
        <v>80</v>
      </c>
      <c r="J23" s="26"/>
      <c r="K23" s="50">
        <v>42381</v>
      </c>
      <c r="L23" s="42">
        <v>0</v>
      </c>
      <c r="M23" s="33">
        <v>44879.5</v>
      </c>
      <c r="N23" s="30"/>
      <c r="O23" s="20"/>
      <c r="P23" s="20"/>
      <c r="Q23" s="20"/>
    </row>
    <row r="24" spans="1:18" x14ac:dyDescent="0.25">
      <c r="A24" s="14"/>
      <c r="B24" s="15">
        <v>42389</v>
      </c>
      <c r="C24" s="16">
        <v>480</v>
      </c>
      <c r="D24" s="34" t="s">
        <v>85</v>
      </c>
      <c r="E24" s="18">
        <v>42389</v>
      </c>
      <c r="F24" s="19">
        <v>42167.4</v>
      </c>
      <c r="G24" s="20"/>
      <c r="H24" s="24">
        <v>42389</v>
      </c>
      <c r="I24" s="45">
        <f>40+75+86+150+542.39</f>
        <v>893.39</v>
      </c>
      <c r="J24" s="35"/>
      <c r="K24" s="51" t="s">
        <v>71</v>
      </c>
      <c r="L24" s="42">
        <v>5000</v>
      </c>
      <c r="M24" s="33">
        <v>40794</v>
      </c>
      <c r="N24" s="30"/>
      <c r="O24" s="20"/>
      <c r="P24" s="20"/>
      <c r="Q24" s="20"/>
    </row>
    <row r="25" spans="1:18" x14ac:dyDescent="0.25">
      <c r="A25" s="14"/>
      <c r="B25" s="15">
        <v>42390</v>
      </c>
      <c r="C25" s="16">
        <v>0</v>
      </c>
      <c r="D25" s="17"/>
      <c r="E25" s="18">
        <v>42390</v>
      </c>
      <c r="F25" s="19">
        <v>72094.59</v>
      </c>
      <c r="G25" s="20"/>
      <c r="H25" s="24">
        <v>42390</v>
      </c>
      <c r="I25" s="45">
        <v>0</v>
      </c>
      <c r="J25" s="26"/>
      <c r="K25" s="51" t="s">
        <v>175</v>
      </c>
      <c r="L25" s="42">
        <v>2500</v>
      </c>
      <c r="M25" s="33">
        <f>32642.5+39452</f>
        <v>72094.5</v>
      </c>
      <c r="N25" s="21"/>
      <c r="O25" s="20"/>
      <c r="P25" s="20"/>
      <c r="Q25" s="20"/>
    </row>
    <row r="26" spans="1:18" x14ac:dyDescent="0.25">
      <c r="A26" s="14"/>
      <c r="B26" s="15">
        <v>42391</v>
      </c>
      <c r="C26" s="16">
        <v>1282</v>
      </c>
      <c r="D26" s="17" t="s">
        <v>88</v>
      </c>
      <c r="E26" s="18">
        <v>42391</v>
      </c>
      <c r="F26" s="19">
        <v>84552.53</v>
      </c>
      <c r="G26" s="20"/>
      <c r="H26" s="24">
        <v>42391</v>
      </c>
      <c r="I26" s="45">
        <v>97</v>
      </c>
      <c r="J26" s="52"/>
      <c r="K26" s="50" t="s">
        <v>177</v>
      </c>
      <c r="L26" s="42">
        <v>2500</v>
      </c>
      <c r="M26" s="33">
        <v>83170</v>
      </c>
      <c r="N26" s="21"/>
      <c r="O26" s="37"/>
      <c r="P26" s="38"/>
      <c r="Q26" s="20"/>
    </row>
    <row r="27" spans="1:18" x14ac:dyDescent="0.25">
      <c r="A27" s="14"/>
      <c r="B27" s="15">
        <v>42392</v>
      </c>
      <c r="C27" s="16">
        <v>596</v>
      </c>
      <c r="D27" s="17" t="s">
        <v>77</v>
      </c>
      <c r="E27" s="18">
        <v>42392</v>
      </c>
      <c r="F27" s="19">
        <v>73309.91</v>
      </c>
      <c r="G27" s="20"/>
      <c r="H27" s="24">
        <v>42392</v>
      </c>
      <c r="I27" s="45">
        <v>320</v>
      </c>
      <c r="J27" s="26"/>
      <c r="K27" s="53"/>
      <c r="L27" s="42">
        <v>0</v>
      </c>
      <c r="M27" s="29">
        <v>72194</v>
      </c>
      <c r="N27" s="21"/>
      <c r="O27" s="20"/>
      <c r="P27" s="20"/>
      <c r="Q27" s="20"/>
    </row>
    <row r="28" spans="1:18" x14ac:dyDescent="0.25">
      <c r="A28" s="14"/>
      <c r="B28" s="15">
        <v>42393</v>
      </c>
      <c r="C28" s="16">
        <v>120</v>
      </c>
      <c r="D28" s="17" t="s">
        <v>83</v>
      </c>
      <c r="E28" s="18">
        <v>42393</v>
      </c>
      <c r="F28" s="19">
        <v>53874.71</v>
      </c>
      <c r="G28" s="20"/>
      <c r="H28" s="24">
        <v>42393</v>
      </c>
      <c r="I28" s="45">
        <v>50</v>
      </c>
      <c r="J28" s="26"/>
      <c r="K28" s="54"/>
      <c r="L28" s="42">
        <v>0</v>
      </c>
      <c r="M28" s="29">
        <v>43854.71</v>
      </c>
      <c r="N28" s="208">
        <v>2505</v>
      </c>
      <c r="O28" s="20" t="s">
        <v>179</v>
      </c>
      <c r="P28" s="20"/>
      <c r="Q28" s="20"/>
    </row>
    <row r="29" spans="1:18" x14ac:dyDescent="0.25">
      <c r="A29" s="14"/>
      <c r="B29" s="15">
        <v>42394</v>
      </c>
      <c r="C29" s="16">
        <v>486</v>
      </c>
      <c r="D29" s="17" t="s">
        <v>115</v>
      </c>
      <c r="E29" s="18">
        <v>42394</v>
      </c>
      <c r="F29" s="19">
        <v>49869.66</v>
      </c>
      <c r="G29" s="20"/>
      <c r="H29" s="24">
        <v>42394</v>
      </c>
      <c r="I29" s="45">
        <v>0</v>
      </c>
      <c r="J29" s="26"/>
      <c r="K29" s="55"/>
      <c r="L29" s="56">
        <v>0</v>
      </c>
      <c r="M29" s="29">
        <f>20000+19000+10384</f>
        <v>49384</v>
      </c>
      <c r="N29" s="208">
        <v>20005</v>
      </c>
      <c r="O29" s="20"/>
      <c r="P29" s="20"/>
      <c r="Q29" s="20"/>
    </row>
    <row r="30" spans="1:18" ht="15.75" thickBot="1" x14ac:dyDescent="0.3">
      <c r="A30" s="14"/>
      <c r="B30" s="15">
        <v>42395</v>
      </c>
      <c r="C30" s="16">
        <v>0</v>
      </c>
      <c r="D30" s="17"/>
      <c r="E30" s="18">
        <v>42395</v>
      </c>
      <c r="F30" s="19">
        <v>39632.53</v>
      </c>
      <c r="G30" s="20"/>
      <c r="H30" s="24">
        <v>42395</v>
      </c>
      <c r="I30" s="45">
        <v>0</v>
      </c>
      <c r="J30" s="52"/>
      <c r="K30" s="54"/>
      <c r="L30" s="56">
        <v>0</v>
      </c>
      <c r="M30" s="29">
        <v>39632.5</v>
      </c>
      <c r="N30" s="30"/>
      <c r="O30" s="20"/>
      <c r="P30" s="20"/>
      <c r="Q30" s="20"/>
    </row>
    <row r="31" spans="1:18" x14ac:dyDescent="0.25">
      <c r="A31" s="14"/>
      <c r="B31" s="15">
        <v>42396</v>
      </c>
      <c r="C31" s="16">
        <v>0</v>
      </c>
      <c r="D31" s="17"/>
      <c r="E31" s="18">
        <v>42396</v>
      </c>
      <c r="F31" s="19">
        <v>41649.589999999997</v>
      </c>
      <c r="G31" s="20"/>
      <c r="H31" s="24">
        <v>42396</v>
      </c>
      <c r="I31" s="45">
        <v>504.68</v>
      </c>
      <c r="J31" s="35"/>
      <c r="K31" s="246" t="s">
        <v>136</v>
      </c>
      <c r="L31" s="247">
        <v>1500</v>
      </c>
      <c r="M31" s="29">
        <v>29308</v>
      </c>
      <c r="N31" s="21"/>
      <c r="O31" s="20"/>
      <c r="P31" s="20"/>
      <c r="Q31" s="20"/>
    </row>
    <row r="32" spans="1:18" ht="15.75" thickBot="1" x14ac:dyDescent="0.3">
      <c r="A32" s="14"/>
      <c r="B32" s="15">
        <v>42397</v>
      </c>
      <c r="C32" s="16">
        <v>493</v>
      </c>
      <c r="D32" s="17" t="s">
        <v>115</v>
      </c>
      <c r="E32" s="18">
        <v>42397</v>
      </c>
      <c r="F32" s="19">
        <v>44022.59</v>
      </c>
      <c r="G32" s="20"/>
      <c r="H32" s="24">
        <v>42397</v>
      </c>
      <c r="I32" s="45">
        <v>24</v>
      </c>
      <c r="J32" s="26"/>
      <c r="K32" s="248" t="s">
        <v>178</v>
      </c>
      <c r="L32" s="249"/>
      <c r="M32" s="29">
        <v>43510</v>
      </c>
      <c r="N32" s="30"/>
      <c r="O32" s="20"/>
      <c r="P32" s="20"/>
      <c r="Q32" s="20"/>
    </row>
    <row r="33" spans="1:17" ht="15" customHeight="1" x14ac:dyDescent="0.25">
      <c r="A33" s="14"/>
      <c r="B33" s="15">
        <v>42398</v>
      </c>
      <c r="C33" s="16">
        <v>0</v>
      </c>
      <c r="D33" s="34"/>
      <c r="E33" s="18">
        <v>42398</v>
      </c>
      <c r="F33" s="19">
        <v>80245.55</v>
      </c>
      <c r="G33" s="20"/>
      <c r="H33" s="24">
        <v>42398</v>
      </c>
      <c r="I33" s="45">
        <v>0</v>
      </c>
      <c r="J33" s="26"/>
      <c r="K33" s="58"/>
      <c r="L33" s="193">
        <v>0</v>
      </c>
      <c r="M33" s="29">
        <v>80245.5</v>
      </c>
      <c r="N33" s="21"/>
      <c r="O33" s="20"/>
      <c r="P33" s="20"/>
      <c r="Q33" s="20"/>
    </row>
    <row r="34" spans="1:17" ht="15.75" customHeight="1" thickBot="1" x14ac:dyDescent="0.3">
      <c r="A34" s="14"/>
      <c r="B34" s="15">
        <v>42399</v>
      </c>
      <c r="C34" s="16">
        <v>596</v>
      </c>
      <c r="D34" s="17" t="s">
        <v>117</v>
      </c>
      <c r="E34" s="18">
        <v>42399</v>
      </c>
      <c r="F34" s="19">
        <v>92428.06</v>
      </c>
      <c r="G34" s="20"/>
      <c r="H34" s="24">
        <v>42399</v>
      </c>
      <c r="I34" s="45">
        <v>362</v>
      </c>
      <c r="J34" s="26"/>
      <c r="K34" s="59"/>
      <c r="L34" s="194"/>
      <c r="M34" s="29">
        <v>91470</v>
      </c>
      <c r="N34" s="21"/>
      <c r="O34" s="20"/>
    </row>
    <row r="35" spans="1:17" ht="15.75" thickBot="1" x14ac:dyDescent="0.3">
      <c r="A35" s="14"/>
      <c r="B35" s="15">
        <v>42400</v>
      </c>
      <c r="C35" s="16">
        <v>0</v>
      </c>
      <c r="D35" s="34"/>
      <c r="E35" s="18">
        <v>42400</v>
      </c>
      <c r="F35" s="19">
        <v>66423.37</v>
      </c>
      <c r="G35" s="20"/>
      <c r="H35" s="24">
        <v>42400</v>
      </c>
      <c r="I35" s="45">
        <v>20</v>
      </c>
      <c r="J35" s="26"/>
      <c r="K35" s="60"/>
      <c r="L35" s="61">
        <v>0</v>
      </c>
      <c r="M35" s="29">
        <v>59619</v>
      </c>
    </row>
    <row r="36" spans="1:17" ht="15.75" thickBot="1" x14ac:dyDescent="0.3">
      <c r="A36" s="62"/>
      <c r="B36" s="63"/>
      <c r="C36" s="64">
        <v>0</v>
      </c>
      <c r="D36" s="12"/>
      <c r="E36" s="18"/>
      <c r="F36" s="19">
        <v>0</v>
      </c>
      <c r="G36" s="20"/>
      <c r="H36" s="65"/>
      <c r="I36" s="66">
        <v>0</v>
      </c>
      <c r="J36" s="67"/>
      <c r="K36" s="68"/>
      <c r="L36" s="69"/>
      <c r="M36" s="70">
        <v>0</v>
      </c>
      <c r="P36" s="71"/>
      <c r="Q36" s="71"/>
    </row>
    <row r="37" spans="1:17" ht="16.5" thickBot="1" x14ac:dyDescent="0.3">
      <c r="A37" s="72"/>
      <c r="B37" s="73"/>
      <c r="C37" s="74">
        <v>0</v>
      </c>
      <c r="D37" s="12"/>
      <c r="E37" s="75"/>
      <c r="F37" s="76">
        <v>0</v>
      </c>
      <c r="H37" s="77"/>
      <c r="I37" s="78">
        <v>0</v>
      </c>
      <c r="J37" s="67"/>
      <c r="K37" s="79"/>
      <c r="L37" s="80"/>
      <c r="M37" s="81">
        <f>SUM(M5:M36)</f>
        <v>1761982.1099999999</v>
      </c>
    </row>
    <row r="38" spans="1:17" x14ac:dyDescent="0.25">
      <c r="B38" s="82" t="s">
        <v>16</v>
      </c>
      <c r="C38" s="83">
        <f>SUM(C5:C37)</f>
        <v>10840.5</v>
      </c>
      <c r="E38" s="84" t="s">
        <v>16</v>
      </c>
      <c r="F38" s="85">
        <f>SUM(F5:F37)</f>
        <v>1766115.83</v>
      </c>
      <c r="H38" s="5" t="s">
        <v>16</v>
      </c>
      <c r="I38" s="86">
        <f>SUM(I5:I37)</f>
        <v>5928.1</v>
      </c>
      <c r="J38" s="86"/>
      <c r="K38" s="87" t="s">
        <v>16</v>
      </c>
      <c r="L38" s="88">
        <f>SUM(L5:L37)</f>
        <v>110138.78</v>
      </c>
    </row>
    <row r="40" spans="1:17" ht="15.75" x14ac:dyDescent="0.25">
      <c r="A40" s="89"/>
      <c r="B40" s="90"/>
      <c r="C40" s="26"/>
      <c r="D40" s="91"/>
      <c r="E40" s="92"/>
      <c r="F40" s="67"/>
      <c r="H40" s="263" t="s">
        <v>17</v>
      </c>
      <c r="I40" s="264"/>
      <c r="J40" s="93"/>
      <c r="K40" s="265">
        <f>I38+L38</f>
        <v>116066.88</v>
      </c>
      <c r="L40" s="266"/>
    </row>
    <row r="41" spans="1:17" ht="15.75" x14ac:dyDescent="0.25">
      <c r="B41" s="94"/>
      <c r="C41" s="67"/>
      <c r="D41" s="279" t="s">
        <v>18</v>
      </c>
      <c r="E41" s="279"/>
      <c r="F41" s="95">
        <f>F38-K40</f>
        <v>1650048.9500000002</v>
      </c>
      <c r="I41" s="96"/>
      <c r="J41" s="96"/>
    </row>
    <row r="42" spans="1:17" ht="15.75" x14ac:dyDescent="0.25">
      <c r="B42" s="1" t="s">
        <v>119</v>
      </c>
      <c r="D42" s="280" t="s">
        <v>19</v>
      </c>
      <c r="E42" s="280"/>
      <c r="F42" s="95">
        <v>0</v>
      </c>
      <c r="I42" s="96"/>
      <c r="J42" s="96" t="s">
        <v>20</v>
      </c>
    </row>
    <row r="43" spans="1:17" ht="15.75" thickBot="1" x14ac:dyDescent="0.3">
      <c r="D43" s="97"/>
      <c r="E43" s="98" t="s">
        <v>1</v>
      </c>
      <c r="F43" s="99">
        <v>-1612419.94</v>
      </c>
    </row>
    <row r="44" spans="1:17" ht="15.75" thickTop="1" x14ac:dyDescent="0.25">
      <c r="C44" s="3" t="s">
        <v>20</v>
      </c>
      <c r="E44" s="89" t="s">
        <v>21</v>
      </c>
      <c r="F44" s="86">
        <f>SUM(F41:F43)</f>
        <v>37629.010000000242</v>
      </c>
      <c r="I44" s="281" t="s">
        <v>22</v>
      </c>
      <c r="J44" s="282"/>
      <c r="K44" s="285">
        <f>F48+L46</f>
        <v>267583.73000000021</v>
      </c>
      <c r="L44" s="286"/>
    </row>
    <row r="45" spans="1:17" ht="15.75" thickBot="1" x14ac:dyDescent="0.3">
      <c r="D45" s="100" t="s">
        <v>23</v>
      </c>
      <c r="E45" s="89" t="s">
        <v>24</v>
      </c>
      <c r="F45" s="86">
        <v>59443.47</v>
      </c>
      <c r="I45" s="283"/>
      <c r="J45" s="284"/>
      <c r="K45" s="287"/>
      <c r="L45" s="288"/>
    </row>
    <row r="46" spans="1:17" ht="17.25" thickTop="1" thickBot="1" x14ac:dyDescent="0.3">
      <c r="C46" s="85"/>
      <c r="D46" s="289" t="s">
        <v>25</v>
      </c>
      <c r="E46" s="289"/>
      <c r="F46" s="101">
        <v>170511.25</v>
      </c>
      <c r="I46" s="290"/>
      <c r="J46" s="290"/>
      <c r="K46" s="291"/>
      <c r="L46" s="102"/>
    </row>
    <row r="47" spans="1:17" ht="19.5" thickBot="1" x14ac:dyDescent="0.35">
      <c r="C47" s="85"/>
      <c r="D47" s="84"/>
      <c r="E47" s="84"/>
      <c r="F47" s="103"/>
      <c r="H47" s="104"/>
      <c r="I47" s="105" t="s">
        <v>26</v>
      </c>
      <c r="J47" s="105"/>
      <c r="K47" s="272">
        <v>-48130.1</v>
      </c>
      <c r="L47" s="273"/>
    </row>
    <row r="48" spans="1:17" ht="17.25" thickTop="1" thickBot="1" x14ac:dyDescent="0.3">
      <c r="E48" s="106" t="s">
        <v>27</v>
      </c>
      <c r="F48" s="107">
        <f>F44+F45+F46</f>
        <v>267583.73000000021</v>
      </c>
    </row>
    <row r="49" spans="2:14" ht="19.5" thickBot="1" x14ac:dyDescent="0.35">
      <c r="B49"/>
      <c r="C49"/>
      <c r="D49" s="274"/>
      <c r="E49" s="274"/>
      <c r="F49" s="67"/>
      <c r="I49" s="275" t="s">
        <v>28</v>
      </c>
      <c r="J49" s="276"/>
      <c r="K49" s="277">
        <f>K44+K47</f>
        <v>219453.63000000021</v>
      </c>
      <c r="L49" s="278"/>
      <c r="M49" s="108"/>
      <c r="N49"/>
    </row>
    <row r="50" spans="2:14" x14ac:dyDescent="0.25">
      <c r="B50"/>
      <c r="C50"/>
      <c r="M50" s="108"/>
      <c r="N50"/>
    </row>
    <row r="51" spans="2:14" x14ac:dyDescent="0.25">
      <c r="B51"/>
      <c r="C51"/>
      <c r="N51"/>
    </row>
    <row r="52" spans="2:14" x14ac:dyDescent="0.25">
      <c r="B52"/>
      <c r="C52"/>
      <c r="F52"/>
      <c r="I52"/>
      <c r="J52"/>
      <c r="M52"/>
      <c r="N52"/>
    </row>
    <row r="53" spans="2:14" x14ac:dyDescent="0.25">
      <c r="B53"/>
      <c r="C53"/>
      <c r="N53"/>
    </row>
    <row r="54" spans="2:14" x14ac:dyDescent="0.25">
      <c r="M54" s="67"/>
      <c r="N54"/>
    </row>
    <row r="55" spans="2:14" x14ac:dyDescent="0.25">
      <c r="M55" s="67"/>
      <c r="N55"/>
    </row>
    <row r="56" spans="2:14" x14ac:dyDescent="0.25">
      <c r="M56" s="67"/>
      <c r="N56"/>
    </row>
    <row r="57" spans="2:14" x14ac:dyDescent="0.25">
      <c r="M57" s="67"/>
      <c r="N57"/>
    </row>
  </sheetData>
  <mergeCells count="15"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  <mergeCell ref="H40:I40"/>
    <mergeCell ref="K40:L40"/>
    <mergeCell ref="C1:K1"/>
    <mergeCell ref="E4:F4"/>
    <mergeCell ref="I4:L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P55"/>
  <sheetViews>
    <sheetView topLeftCell="A19" workbookViewId="0">
      <selection activeCell="B38" sqref="B38"/>
    </sheetView>
  </sheetViews>
  <sheetFormatPr baseColWidth="10" defaultRowHeight="15" x14ac:dyDescent="0.25"/>
  <cols>
    <col min="1" max="1" width="12.5703125" style="37" bestFit="1" customWidth="1"/>
    <col min="2" max="2" width="12.85546875" style="20" bestFit="1" customWidth="1"/>
    <col min="3" max="3" width="15.85546875" style="30" bestFit="1" customWidth="1"/>
    <col min="4" max="4" width="12.42578125" style="20" bestFit="1" customWidth="1"/>
    <col min="5" max="5" width="15.140625" style="30" bestFit="1" customWidth="1"/>
    <col min="6" max="6" width="18.5703125" style="30" bestFit="1" customWidth="1"/>
    <col min="7" max="7" width="11.42578125" style="20"/>
    <col min="11" max="11" width="17.7109375" customWidth="1"/>
    <col min="14" max="14" width="20.140625" bestFit="1" customWidth="1"/>
    <col min="16" max="16" width="11.42578125" style="167"/>
  </cols>
  <sheetData>
    <row r="1" spans="1:16" ht="19.5" thickBot="1" x14ac:dyDescent="0.35">
      <c r="B1" s="109" t="s">
        <v>65</v>
      </c>
      <c r="C1" s="110"/>
      <c r="D1" s="111"/>
      <c r="E1" s="110"/>
      <c r="K1" s="146" t="s">
        <v>46</v>
      </c>
      <c r="L1" s="147"/>
      <c r="M1" s="148"/>
      <c r="N1" s="149">
        <v>42385</v>
      </c>
      <c r="O1" s="150"/>
    </row>
    <row r="2" spans="1:16" ht="16.5" thickBot="1" x14ac:dyDescent="0.3">
      <c r="A2" s="112"/>
      <c r="B2" s="113"/>
      <c r="C2" s="114"/>
      <c r="D2" s="113"/>
      <c r="E2" s="114"/>
      <c r="F2" s="114"/>
      <c r="J2" s="151"/>
      <c r="K2" s="152"/>
      <c r="L2" s="151"/>
      <c r="M2" s="153"/>
      <c r="N2" s="152"/>
      <c r="O2" s="154"/>
    </row>
    <row r="3" spans="1:16" ht="15.75" x14ac:dyDescent="0.25">
      <c r="A3" s="115">
        <v>42371</v>
      </c>
      <c r="B3" s="116" t="s">
        <v>31</v>
      </c>
      <c r="C3" s="21">
        <v>107073.78</v>
      </c>
      <c r="D3" s="117">
        <v>42385</v>
      </c>
      <c r="E3" s="21">
        <v>107073.78</v>
      </c>
      <c r="F3" s="118">
        <f t="shared" ref="F3:F44" si="0">C3-E3</f>
        <v>0</v>
      </c>
      <c r="J3" s="155" t="s">
        <v>47</v>
      </c>
      <c r="K3" s="152" t="s">
        <v>48</v>
      </c>
      <c r="L3" s="151"/>
      <c r="M3" s="153" t="s">
        <v>49</v>
      </c>
      <c r="N3" s="152" t="s">
        <v>50</v>
      </c>
      <c r="O3" s="154"/>
    </row>
    <row r="4" spans="1:16" ht="15.75" x14ac:dyDescent="0.25">
      <c r="A4" s="119">
        <v>42372</v>
      </c>
      <c r="B4" s="120" t="s">
        <v>32</v>
      </c>
      <c r="C4" s="21">
        <v>13696.5</v>
      </c>
      <c r="D4" s="117">
        <v>42385</v>
      </c>
      <c r="E4" s="21">
        <v>13696.5</v>
      </c>
      <c r="F4" s="122">
        <f t="shared" si="0"/>
        <v>0</v>
      </c>
      <c r="J4" s="123" t="s">
        <v>55</v>
      </c>
      <c r="K4" s="21">
        <v>152854.1</v>
      </c>
      <c r="L4" s="156"/>
      <c r="M4" s="157" t="s">
        <v>52</v>
      </c>
      <c r="N4" s="158">
        <v>83741</v>
      </c>
      <c r="O4" s="159">
        <v>42367</v>
      </c>
    </row>
    <row r="5" spans="1:16" ht="15.75" x14ac:dyDescent="0.25">
      <c r="A5" s="119">
        <v>42372</v>
      </c>
      <c r="B5" s="120" t="s">
        <v>33</v>
      </c>
      <c r="C5" s="21">
        <v>49512.6</v>
      </c>
      <c r="D5" s="117">
        <v>42385</v>
      </c>
      <c r="E5" s="21">
        <v>49512.6</v>
      </c>
      <c r="F5" s="122">
        <f t="shared" si="0"/>
        <v>0</v>
      </c>
      <c r="J5" s="123" t="s">
        <v>53</v>
      </c>
      <c r="K5" s="21">
        <v>70905.119999999995</v>
      </c>
      <c r="L5" s="160" t="s">
        <v>51</v>
      </c>
      <c r="M5" s="157">
        <v>3261882</v>
      </c>
      <c r="N5" s="158">
        <v>102828.5</v>
      </c>
      <c r="O5" s="159">
        <v>42367</v>
      </c>
    </row>
    <row r="6" spans="1:16" ht="15.75" x14ac:dyDescent="0.25">
      <c r="A6" s="119">
        <v>42372</v>
      </c>
      <c r="B6" s="120" t="s">
        <v>34</v>
      </c>
      <c r="C6" s="21">
        <v>3381</v>
      </c>
      <c r="D6" s="117">
        <v>42385</v>
      </c>
      <c r="E6" s="21">
        <v>3381</v>
      </c>
      <c r="F6" s="122">
        <f t="shared" si="0"/>
        <v>0</v>
      </c>
      <c r="J6" s="123" t="s">
        <v>54</v>
      </c>
      <c r="K6" s="21">
        <v>1061.58</v>
      </c>
      <c r="L6" s="160"/>
      <c r="M6" s="157" t="s">
        <v>59</v>
      </c>
      <c r="N6" s="158">
        <v>1000</v>
      </c>
      <c r="O6" s="159">
        <v>42373</v>
      </c>
    </row>
    <row r="7" spans="1:16" ht="15.75" x14ac:dyDescent="0.25">
      <c r="A7" s="119">
        <v>42373</v>
      </c>
      <c r="B7" s="120" t="s">
        <v>35</v>
      </c>
      <c r="C7" s="26">
        <v>26919</v>
      </c>
      <c r="D7" s="117">
        <v>42385</v>
      </c>
      <c r="E7" s="26">
        <v>26919</v>
      </c>
      <c r="F7" s="122">
        <f t="shared" si="0"/>
        <v>0</v>
      </c>
      <c r="J7" s="123" t="s">
        <v>56</v>
      </c>
      <c r="K7" s="26">
        <v>52936.6</v>
      </c>
      <c r="L7" s="161"/>
      <c r="M7" s="157">
        <v>1085720</v>
      </c>
      <c r="N7" s="158">
        <v>153624.5</v>
      </c>
      <c r="O7" s="159">
        <v>42375</v>
      </c>
    </row>
    <row r="8" spans="1:16" ht="15.75" x14ac:dyDescent="0.25">
      <c r="A8" s="119">
        <v>42375</v>
      </c>
      <c r="B8" s="120" t="s">
        <v>36</v>
      </c>
      <c r="C8" s="21">
        <v>33260</v>
      </c>
      <c r="D8" s="117">
        <v>42385</v>
      </c>
      <c r="E8" s="21">
        <v>33260</v>
      </c>
      <c r="F8" s="122">
        <f t="shared" si="0"/>
        <v>0</v>
      </c>
      <c r="J8" s="123" t="s">
        <v>57</v>
      </c>
      <c r="K8" s="26">
        <v>33576.31</v>
      </c>
      <c r="L8" s="160"/>
      <c r="M8" s="157">
        <v>3261885</v>
      </c>
      <c r="N8" s="162">
        <v>83550</v>
      </c>
      <c r="O8" s="163">
        <v>42371</v>
      </c>
    </row>
    <row r="9" spans="1:16" ht="15.75" x14ac:dyDescent="0.25">
      <c r="A9" s="119">
        <v>42376</v>
      </c>
      <c r="B9" s="120" t="s">
        <v>37</v>
      </c>
      <c r="C9" s="21">
        <v>125806.9</v>
      </c>
      <c r="D9" s="117">
        <v>42385</v>
      </c>
      <c r="E9" s="21">
        <v>125806.9</v>
      </c>
      <c r="F9" s="122">
        <f t="shared" si="0"/>
        <v>0</v>
      </c>
      <c r="J9" s="123" t="s">
        <v>58</v>
      </c>
      <c r="K9" s="26">
        <v>11105.76</v>
      </c>
      <c r="L9" s="160"/>
      <c r="M9" s="157" t="s">
        <v>59</v>
      </c>
      <c r="N9" s="162">
        <v>55947</v>
      </c>
      <c r="O9" s="163">
        <v>42372</v>
      </c>
    </row>
    <row r="10" spans="1:16" ht="15.75" x14ac:dyDescent="0.25">
      <c r="A10" s="124">
        <v>42377</v>
      </c>
      <c r="B10" s="125" t="s">
        <v>38</v>
      </c>
      <c r="C10" s="26">
        <v>102732.88</v>
      </c>
      <c r="D10" s="117">
        <v>42385</v>
      </c>
      <c r="E10" s="26">
        <v>102732.88</v>
      </c>
      <c r="F10" s="122">
        <f t="shared" si="0"/>
        <v>0</v>
      </c>
      <c r="J10" s="116" t="s">
        <v>31</v>
      </c>
      <c r="K10" s="21">
        <v>107073.78</v>
      </c>
      <c r="L10" s="160"/>
      <c r="M10" s="157" t="s">
        <v>52</v>
      </c>
      <c r="N10" s="162">
        <v>43463</v>
      </c>
      <c r="O10" s="163">
        <v>42375</v>
      </c>
      <c r="P10" s="168">
        <v>42373</v>
      </c>
    </row>
    <row r="11" spans="1:16" ht="15.75" x14ac:dyDescent="0.25">
      <c r="A11" s="119">
        <v>42378</v>
      </c>
      <c r="B11" s="125" t="s">
        <v>39</v>
      </c>
      <c r="C11" s="26">
        <v>12929</v>
      </c>
      <c r="D11" s="117">
        <v>42385</v>
      </c>
      <c r="E11" s="26">
        <v>12929</v>
      </c>
      <c r="F11" s="127">
        <f t="shared" si="0"/>
        <v>0</v>
      </c>
      <c r="J11" s="120" t="s">
        <v>32</v>
      </c>
      <c r="K11" s="21">
        <v>13696.5</v>
      </c>
      <c r="L11" s="160"/>
      <c r="M11" s="157">
        <v>3238171</v>
      </c>
      <c r="N11" s="162">
        <v>52467</v>
      </c>
      <c r="O11" s="163">
        <v>42375</v>
      </c>
    </row>
    <row r="12" spans="1:16" ht="15.75" x14ac:dyDescent="0.25">
      <c r="A12" s="119">
        <v>42379</v>
      </c>
      <c r="B12" s="125" t="s">
        <v>40</v>
      </c>
      <c r="C12" s="26">
        <v>14364</v>
      </c>
      <c r="D12" s="117">
        <v>42385</v>
      </c>
      <c r="E12" s="26">
        <v>14364</v>
      </c>
      <c r="F12" s="127">
        <f t="shared" si="0"/>
        <v>0</v>
      </c>
      <c r="J12" s="120" t="s">
        <v>33</v>
      </c>
      <c r="K12" s="21">
        <v>49512.6</v>
      </c>
      <c r="L12" s="160"/>
      <c r="M12" s="157">
        <v>3261886</v>
      </c>
      <c r="N12" s="162">
        <v>50417</v>
      </c>
      <c r="O12" s="163">
        <v>42375</v>
      </c>
    </row>
    <row r="13" spans="1:16" ht="15.75" x14ac:dyDescent="0.25">
      <c r="A13" s="119">
        <v>42379</v>
      </c>
      <c r="B13" s="125" t="s">
        <v>41</v>
      </c>
      <c r="C13" s="26">
        <v>19417</v>
      </c>
      <c r="D13" s="117">
        <v>42385</v>
      </c>
      <c r="E13" s="26">
        <v>19417</v>
      </c>
      <c r="F13" s="127">
        <f t="shared" si="0"/>
        <v>0</v>
      </c>
      <c r="J13" s="120" t="s">
        <v>34</v>
      </c>
      <c r="K13" s="21">
        <v>3381</v>
      </c>
      <c r="L13" s="160"/>
      <c r="M13" s="157" t="s">
        <v>59</v>
      </c>
      <c r="N13" s="162">
        <v>56588</v>
      </c>
      <c r="O13" s="163">
        <v>42377</v>
      </c>
      <c r="P13" s="168">
        <v>42376</v>
      </c>
    </row>
    <row r="14" spans="1:16" ht="15.75" x14ac:dyDescent="0.25">
      <c r="A14" s="119">
        <v>42380</v>
      </c>
      <c r="B14" s="125" t="s">
        <v>42</v>
      </c>
      <c r="C14" s="26">
        <v>30936.172999999999</v>
      </c>
      <c r="D14" s="117">
        <v>42385</v>
      </c>
      <c r="E14" s="26">
        <v>30936.172999999999</v>
      </c>
      <c r="F14" s="127">
        <f t="shared" si="0"/>
        <v>0</v>
      </c>
      <c r="J14" s="120" t="s">
        <v>35</v>
      </c>
      <c r="K14" s="26">
        <v>26919</v>
      </c>
      <c r="L14" s="160"/>
      <c r="M14" s="157">
        <v>3261889</v>
      </c>
      <c r="N14" s="162">
        <v>86791</v>
      </c>
      <c r="O14" s="163">
        <v>42377</v>
      </c>
    </row>
    <row r="15" spans="1:16" ht="15.75" x14ac:dyDescent="0.25">
      <c r="A15" s="119">
        <v>42381</v>
      </c>
      <c r="B15" s="125" t="s">
        <v>43</v>
      </c>
      <c r="C15" s="26">
        <v>59913.24</v>
      </c>
      <c r="D15" s="117">
        <v>42385</v>
      </c>
      <c r="E15" s="26">
        <v>59913.24</v>
      </c>
      <c r="F15" s="127">
        <f t="shared" si="0"/>
        <v>0</v>
      </c>
      <c r="J15" s="120" t="s">
        <v>36</v>
      </c>
      <c r="K15" s="21">
        <v>33260</v>
      </c>
      <c r="L15" s="160"/>
      <c r="M15" s="157" t="s">
        <v>52</v>
      </c>
      <c r="N15" s="162">
        <v>64380</v>
      </c>
      <c r="O15" s="163">
        <v>42380</v>
      </c>
      <c r="P15" s="168">
        <v>42378</v>
      </c>
    </row>
    <row r="16" spans="1:16" ht="15.75" x14ac:dyDescent="0.25">
      <c r="A16" s="124">
        <v>42382</v>
      </c>
      <c r="B16" s="123" t="s">
        <v>44</v>
      </c>
      <c r="C16" s="21">
        <v>32681.48</v>
      </c>
      <c r="D16" s="117" t="s">
        <v>93</v>
      </c>
      <c r="E16" s="21">
        <f>16076.46+16605.02</f>
        <v>32681.48</v>
      </c>
      <c r="F16" s="127">
        <f t="shared" si="0"/>
        <v>0</v>
      </c>
      <c r="J16" s="120" t="s">
        <v>37</v>
      </c>
      <c r="K16" s="21">
        <v>125806.9</v>
      </c>
      <c r="L16" s="164"/>
      <c r="M16" s="157" t="s">
        <v>52</v>
      </c>
      <c r="N16" s="158">
        <v>59301</v>
      </c>
      <c r="O16" s="159">
        <v>42380</v>
      </c>
      <c r="P16" s="168">
        <v>42379</v>
      </c>
    </row>
    <row r="17" spans="1:16" ht="15.75" x14ac:dyDescent="0.25">
      <c r="A17" s="124">
        <v>42383</v>
      </c>
      <c r="B17" s="123" t="s">
        <v>45</v>
      </c>
      <c r="C17" s="21">
        <v>113676.66</v>
      </c>
      <c r="D17" s="117">
        <v>42396</v>
      </c>
      <c r="E17" s="21">
        <v>113676.66</v>
      </c>
      <c r="F17" s="127">
        <f t="shared" si="0"/>
        <v>0</v>
      </c>
      <c r="J17" s="125" t="s">
        <v>38</v>
      </c>
      <c r="K17" s="26">
        <v>102732.88</v>
      </c>
      <c r="L17" s="164"/>
      <c r="M17" s="157" t="s">
        <v>52</v>
      </c>
      <c r="N17" s="162">
        <v>44360</v>
      </c>
      <c r="O17" s="163">
        <v>42381</v>
      </c>
      <c r="P17" s="168">
        <v>42380</v>
      </c>
    </row>
    <row r="18" spans="1:16" ht="15.75" x14ac:dyDescent="0.25">
      <c r="A18" s="124">
        <v>42384</v>
      </c>
      <c r="B18" s="123" t="s">
        <v>63</v>
      </c>
      <c r="C18" s="21">
        <v>25994.7</v>
      </c>
      <c r="D18" s="117">
        <v>42396</v>
      </c>
      <c r="E18" s="21">
        <v>25994.7</v>
      </c>
      <c r="F18" s="127">
        <f t="shared" si="0"/>
        <v>0</v>
      </c>
      <c r="J18" s="125" t="s">
        <v>39</v>
      </c>
      <c r="K18" s="26">
        <v>12929</v>
      </c>
      <c r="L18" s="164"/>
      <c r="M18" s="157"/>
      <c r="N18" s="162"/>
      <c r="O18" s="163"/>
    </row>
    <row r="19" spans="1:16" ht="15.75" x14ac:dyDescent="0.25">
      <c r="A19" s="124">
        <v>42385</v>
      </c>
      <c r="B19" s="123" t="s">
        <v>61</v>
      </c>
      <c r="C19" s="21">
        <v>115330.5</v>
      </c>
      <c r="D19" s="117">
        <v>42396</v>
      </c>
      <c r="E19" s="21">
        <v>115330.5</v>
      </c>
      <c r="F19" s="127">
        <f t="shared" si="0"/>
        <v>0</v>
      </c>
      <c r="J19" s="125" t="s">
        <v>40</v>
      </c>
      <c r="K19" s="26">
        <v>14364</v>
      </c>
      <c r="L19" s="164"/>
      <c r="M19" s="157"/>
      <c r="N19" s="162"/>
      <c r="O19" s="163"/>
    </row>
    <row r="20" spans="1:16" ht="15.75" x14ac:dyDescent="0.25">
      <c r="A20" s="124">
        <v>42385</v>
      </c>
      <c r="B20" s="123" t="s">
        <v>62</v>
      </c>
      <c r="C20" s="21">
        <v>480</v>
      </c>
      <c r="D20" s="117">
        <v>42396</v>
      </c>
      <c r="E20" s="21">
        <v>480</v>
      </c>
      <c r="F20" s="127">
        <f t="shared" si="0"/>
        <v>0</v>
      </c>
      <c r="J20" s="125" t="s">
        <v>41</v>
      </c>
      <c r="K20" s="26">
        <v>19417</v>
      </c>
      <c r="L20" s="164"/>
      <c r="M20" s="157"/>
      <c r="N20" s="162"/>
      <c r="O20" s="163"/>
    </row>
    <row r="21" spans="1:16" ht="15.75" x14ac:dyDescent="0.25">
      <c r="A21" s="124">
        <v>42387</v>
      </c>
      <c r="B21" s="123" t="s">
        <v>64</v>
      </c>
      <c r="C21" s="21">
        <v>33042</v>
      </c>
      <c r="D21" s="117">
        <v>42396</v>
      </c>
      <c r="E21" s="21">
        <v>33042</v>
      </c>
      <c r="F21" s="127">
        <f t="shared" si="0"/>
        <v>0</v>
      </c>
      <c r="J21" s="125" t="s">
        <v>42</v>
      </c>
      <c r="K21" s="26">
        <v>30936.172999999999</v>
      </c>
      <c r="L21" s="164"/>
      <c r="M21" s="157"/>
      <c r="N21" s="162"/>
      <c r="O21" s="163"/>
    </row>
    <row r="22" spans="1:16" ht="15.75" x14ac:dyDescent="0.25">
      <c r="A22" s="124">
        <v>42389</v>
      </c>
      <c r="B22" s="123" t="s">
        <v>89</v>
      </c>
      <c r="C22" s="21">
        <v>100723.62</v>
      </c>
      <c r="D22" s="117">
        <v>42396</v>
      </c>
      <c r="E22" s="21">
        <v>100723.62</v>
      </c>
      <c r="F22" s="127">
        <f t="shared" si="0"/>
        <v>0</v>
      </c>
      <c r="J22" s="125" t="s">
        <v>43</v>
      </c>
      <c r="K22" s="26">
        <v>59913.24</v>
      </c>
      <c r="L22" s="164"/>
      <c r="M22" s="157"/>
      <c r="N22" s="162"/>
      <c r="O22" s="163"/>
    </row>
    <row r="23" spans="1:16" ht="15.75" x14ac:dyDescent="0.25">
      <c r="A23" s="124">
        <v>42389</v>
      </c>
      <c r="B23" s="123" t="s">
        <v>73</v>
      </c>
      <c r="C23" s="21">
        <v>3952</v>
      </c>
      <c r="D23" s="117">
        <v>42396</v>
      </c>
      <c r="E23" s="21">
        <v>3952</v>
      </c>
      <c r="F23" s="127">
        <f t="shared" si="0"/>
        <v>0</v>
      </c>
      <c r="J23" s="123" t="s">
        <v>44</v>
      </c>
      <c r="K23" s="21">
        <v>16076.46</v>
      </c>
      <c r="L23" s="164" t="s">
        <v>60</v>
      </c>
      <c r="M23" s="157"/>
      <c r="N23" s="162"/>
      <c r="O23" s="163"/>
    </row>
    <row r="24" spans="1:16" ht="15.75" x14ac:dyDescent="0.25">
      <c r="A24" s="124">
        <v>42390</v>
      </c>
      <c r="B24" s="123" t="s">
        <v>74</v>
      </c>
      <c r="C24" s="21">
        <v>33402.980000000003</v>
      </c>
      <c r="D24" s="117">
        <v>42396</v>
      </c>
      <c r="E24" s="21">
        <v>33402.980000000003</v>
      </c>
      <c r="F24" s="127">
        <f t="shared" si="0"/>
        <v>0</v>
      </c>
      <c r="J24" s="128"/>
      <c r="K24" s="26"/>
      <c r="L24" s="164"/>
      <c r="M24" s="157"/>
      <c r="N24" s="162"/>
      <c r="O24" s="163"/>
    </row>
    <row r="25" spans="1:16" x14ac:dyDescent="0.25">
      <c r="A25" s="124">
        <v>42390</v>
      </c>
      <c r="B25" s="123" t="s">
        <v>75</v>
      </c>
      <c r="C25" s="21">
        <v>28620.9</v>
      </c>
      <c r="D25" s="117">
        <v>42396</v>
      </c>
      <c r="E25" s="21">
        <v>28620.9</v>
      </c>
      <c r="F25" s="127">
        <f t="shared" si="0"/>
        <v>0</v>
      </c>
      <c r="J25" s="165"/>
      <c r="K25" s="166">
        <f>SUM(K4:K24)</f>
        <v>938458.00299999991</v>
      </c>
      <c r="L25" s="165"/>
      <c r="M25" s="165"/>
      <c r="N25" s="166">
        <f>SUM(N4:N24)</f>
        <v>938458</v>
      </c>
      <c r="O25" s="165"/>
    </row>
    <row r="26" spans="1:16" x14ac:dyDescent="0.25">
      <c r="A26" s="124">
        <v>42391</v>
      </c>
      <c r="B26" s="123" t="s">
        <v>86</v>
      </c>
      <c r="C26" s="21">
        <v>8576</v>
      </c>
      <c r="D26" s="117">
        <v>42396</v>
      </c>
      <c r="E26" s="21">
        <v>8576</v>
      </c>
      <c r="F26" s="127">
        <f t="shared" si="0"/>
        <v>0</v>
      </c>
    </row>
    <row r="27" spans="1:16" x14ac:dyDescent="0.25">
      <c r="A27" s="124">
        <v>42392</v>
      </c>
      <c r="B27" s="123" t="s">
        <v>87</v>
      </c>
      <c r="C27" s="21">
        <v>55229.65</v>
      </c>
      <c r="D27" s="129" t="s">
        <v>114</v>
      </c>
      <c r="E27" s="36">
        <f>41782.12+600+12847.53</f>
        <v>55229.65</v>
      </c>
      <c r="F27" s="127">
        <f t="shared" si="0"/>
        <v>0</v>
      </c>
    </row>
    <row r="28" spans="1:16" ht="15.75" thickBot="1" x14ac:dyDescent="0.3">
      <c r="A28" s="124">
        <v>42393</v>
      </c>
      <c r="B28" s="123" t="s">
        <v>94</v>
      </c>
      <c r="C28" s="21">
        <v>29941.8</v>
      </c>
      <c r="D28" s="191">
        <v>42411</v>
      </c>
      <c r="E28" s="36">
        <v>29941.8</v>
      </c>
      <c r="F28" s="127">
        <f t="shared" si="0"/>
        <v>0</v>
      </c>
    </row>
    <row r="29" spans="1:16" ht="19.5" thickBot="1" x14ac:dyDescent="0.35">
      <c r="A29" s="124">
        <v>42393</v>
      </c>
      <c r="B29" s="123" t="s">
        <v>95</v>
      </c>
      <c r="C29" s="21">
        <v>28839.3</v>
      </c>
      <c r="D29" s="191">
        <v>42411</v>
      </c>
      <c r="E29" s="36">
        <v>28839.3</v>
      </c>
      <c r="F29" s="127">
        <f t="shared" si="0"/>
        <v>0</v>
      </c>
      <c r="K29" s="146" t="s">
        <v>46</v>
      </c>
      <c r="L29" s="147"/>
      <c r="M29" s="148"/>
      <c r="N29" s="181">
        <v>42396</v>
      </c>
      <c r="O29" s="150"/>
    </row>
    <row r="30" spans="1:16" ht="15.75" x14ac:dyDescent="0.25">
      <c r="A30" s="124">
        <v>42394</v>
      </c>
      <c r="B30" s="123" t="s">
        <v>96</v>
      </c>
      <c r="C30" s="21">
        <v>59720.89</v>
      </c>
      <c r="D30" s="191">
        <v>42411</v>
      </c>
      <c r="E30" s="36">
        <v>59720.89</v>
      </c>
      <c r="F30" s="127">
        <f t="shared" si="0"/>
        <v>0</v>
      </c>
      <c r="J30" s="151"/>
      <c r="K30" s="152"/>
      <c r="L30" s="151"/>
      <c r="M30" s="153"/>
      <c r="N30" s="152"/>
      <c r="O30" s="154"/>
    </row>
    <row r="31" spans="1:16" ht="15.75" x14ac:dyDescent="0.25">
      <c r="A31" s="124">
        <v>42396</v>
      </c>
      <c r="B31" s="123" t="s">
        <v>97</v>
      </c>
      <c r="C31" s="21">
        <v>96222.69</v>
      </c>
      <c r="D31" s="191">
        <v>42411</v>
      </c>
      <c r="E31" s="36">
        <v>96222.69</v>
      </c>
      <c r="F31" s="127">
        <f t="shared" si="0"/>
        <v>0</v>
      </c>
      <c r="J31" s="155" t="s">
        <v>47</v>
      </c>
      <c r="K31" s="152" t="s">
        <v>48</v>
      </c>
      <c r="L31" s="151"/>
      <c r="M31" s="153" t="s">
        <v>49</v>
      </c>
      <c r="N31" s="152" t="s">
        <v>50</v>
      </c>
      <c r="O31" s="154"/>
    </row>
    <row r="32" spans="1:16" ht="15.75" x14ac:dyDescent="0.25">
      <c r="A32" s="124">
        <v>42395</v>
      </c>
      <c r="B32" s="123" t="s">
        <v>98</v>
      </c>
      <c r="C32" s="21">
        <v>7469</v>
      </c>
      <c r="D32" s="191">
        <v>42411</v>
      </c>
      <c r="E32" s="36">
        <v>7469</v>
      </c>
      <c r="F32" s="127">
        <f t="shared" si="0"/>
        <v>0</v>
      </c>
      <c r="J32" s="123" t="s">
        <v>44</v>
      </c>
      <c r="K32" s="21">
        <v>16605.02</v>
      </c>
      <c r="L32" s="156" t="s">
        <v>51</v>
      </c>
      <c r="M32" s="157" t="s">
        <v>52</v>
      </c>
      <c r="N32" s="158">
        <v>14557</v>
      </c>
      <c r="O32" s="159">
        <v>42377</v>
      </c>
    </row>
    <row r="33" spans="1:16" ht="15.75" x14ac:dyDescent="0.25">
      <c r="A33" s="124">
        <v>42398</v>
      </c>
      <c r="B33" s="123" t="s">
        <v>99</v>
      </c>
      <c r="C33" s="26">
        <v>57210.3</v>
      </c>
      <c r="D33" s="191">
        <v>42411</v>
      </c>
      <c r="E33" s="192">
        <v>57210.3</v>
      </c>
      <c r="F33" s="127">
        <f t="shared" si="0"/>
        <v>0</v>
      </c>
      <c r="J33" s="123" t="s">
        <v>45</v>
      </c>
      <c r="K33" s="21">
        <v>113676.66</v>
      </c>
      <c r="L33" s="160"/>
      <c r="M33" s="157"/>
      <c r="N33" s="158">
        <v>0</v>
      </c>
      <c r="O33" s="159"/>
    </row>
    <row r="34" spans="1:16" ht="15.75" x14ac:dyDescent="0.25">
      <c r="A34" s="132">
        <v>42398</v>
      </c>
      <c r="B34" s="123" t="s">
        <v>100</v>
      </c>
      <c r="C34" s="26">
        <v>52572.05</v>
      </c>
      <c r="D34" s="191">
        <v>42411</v>
      </c>
      <c r="E34" s="192">
        <v>52572.05</v>
      </c>
      <c r="F34" s="127">
        <f>C34-E34</f>
        <v>0</v>
      </c>
      <c r="J34" s="123" t="s">
        <v>63</v>
      </c>
      <c r="K34" s="21">
        <v>25994.7</v>
      </c>
      <c r="L34" s="160"/>
      <c r="M34" s="182" t="s">
        <v>92</v>
      </c>
      <c r="N34" s="158">
        <v>152670</v>
      </c>
      <c r="O34" s="159">
        <v>42375</v>
      </c>
    </row>
    <row r="35" spans="1:16" ht="15.75" x14ac:dyDescent="0.25">
      <c r="A35" s="124">
        <v>42399</v>
      </c>
      <c r="B35" s="123" t="s">
        <v>101</v>
      </c>
      <c r="C35" s="26">
        <v>128791.35</v>
      </c>
      <c r="D35" s="191">
        <v>42411</v>
      </c>
      <c r="E35" s="192">
        <v>128791.35</v>
      </c>
      <c r="F35" s="127">
        <f>C35-E35</f>
        <v>0</v>
      </c>
      <c r="J35" s="123" t="s">
        <v>61</v>
      </c>
      <c r="K35" s="21">
        <v>115330.5</v>
      </c>
      <c r="L35" s="161"/>
      <c r="M35" s="157" t="s">
        <v>52</v>
      </c>
      <c r="N35" s="158">
        <v>42224.5</v>
      </c>
      <c r="O35" s="159">
        <v>42384</v>
      </c>
      <c r="P35" s="167" t="s">
        <v>90</v>
      </c>
    </row>
    <row r="36" spans="1:16" ht="15.75" x14ac:dyDescent="0.25">
      <c r="A36" s="124"/>
      <c r="B36" s="123"/>
      <c r="C36" s="26"/>
      <c r="D36" s="133"/>
      <c r="E36" s="134"/>
      <c r="F36" s="127">
        <f>C36-E36</f>
        <v>0</v>
      </c>
      <c r="J36" s="123" t="s">
        <v>62</v>
      </c>
      <c r="K36" s="21">
        <v>480</v>
      </c>
      <c r="L36" s="160"/>
      <c r="M36" s="157" t="s">
        <v>52</v>
      </c>
      <c r="N36" s="162">
        <v>78184.5</v>
      </c>
      <c r="O36" s="163">
        <v>42385</v>
      </c>
      <c r="P36" s="168">
        <v>42384</v>
      </c>
    </row>
    <row r="37" spans="1:16" ht="15.75" x14ac:dyDescent="0.25">
      <c r="A37" s="124"/>
      <c r="B37" s="123"/>
      <c r="C37" s="26"/>
      <c r="D37" s="121"/>
      <c r="E37" s="21"/>
      <c r="F37" s="127">
        <f>C37-E37</f>
        <v>0</v>
      </c>
      <c r="J37" s="123" t="s">
        <v>64</v>
      </c>
      <c r="K37" s="21">
        <v>33042</v>
      </c>
      <c r="L37" s="160"/>
      <c r="M37" s="157" t="s">
        <v>52</v>
      </c>
      <c r="N37" s="162">
        <v>68115</v>
      </c>
      <c r="O37" s="163">
        <v>42387</v>
      </c>
      <c r="P37" s="168">
        <v>42385</v>
      </c>
    </row>
    <row r="38" spans="1:16" ht="15.75" x14ac:dyDescent="0.25">
      <c r="A38" s="135"/>
      <c r="B38" s="126"/>
      <c r="C38" s="21"/>
      <c r="D38" s="133"/>
      <c r="E38" s="134"/>
      <c r="F38" s="136">
        <f>C38-E38</f>
        <v>0</v>
      </c>
      <c r="J38" s="123" t="s">
        <v>89</v>
      </c>
      <c r="K38" s="21">
        <v>100723.62</v>
      </c>
      <c r="L38" s="160"/>
      <c r="M38" s="157" t="s">
        <v>52</v>
      </c>
      <c r="N38" s="162">
        <v>54014</v>
      </c>
      <c r="O38" s="163">
        <v>42387</v>
      </c>
      <c r="P38" s="168">
        <v>42386</v>
      </c>
    </row>
    <row r="39" spans="1:16" ht="15.75" x14ac:dyDescent="0.25">
      <c r="A39" s="137"/>
      <c r="B39" s="128"/>
      <c r="C39" s="26"/>
      <c r="D39" s="138"/>
      <c r="E39" s="26"/>
      <c r="F39" s="136">
        <f t="shared" si="0"/>
        <v>0</v>
      </c>
      <c r="J39" s="123" t="s">
        <v>73</v>
      </c>
      <c r="K39" s="21">
        <v>3952</v>
      </c>
      <c r="L39" s="160"/>
      <c r="M39" s="157" t="s">
        <v>52</v>
      </c>
      <c r="N39" s="162">
        <v>35542</v>
      </c>
      <c r="O39" s="163">
        <v>42388</v>
      </c>
      <c r="P39" s="168">
        <v>42387</v>
      </c>
    </row>
    <row r="40" spans="1:16" ht="15.75" x14ac:dyDescent="0.25">
      <c r="A40" s="137"/>
      <c r="B40" s="128"/>
      <c r="C40" s="26"/>
      <c r="D40" s="138"/>
      <c r="E40" s="26"/>
      <c r="F40" s="136">
        <f t="shared" si="0"/>
        <v>0</v>
      </c>
      <c r="J40" s="123" t="s">
        <v>74</v>
      </c>
      <c r="K40" s="21">
        <v>33402.980000000003</v>
      </c>
      <c r="L40" s="160"/>
      <c r="M40" s="157" t="s">
        <v>52</v>
      </c>
      <c r="N40" s="162">
        <v>44879.5</v>
      </c>
      <c r="O40" s="163">
        <v>42389</v>
      </c>
      <c r="P40" s="168">
        <v>42388</v>
      </c>
    </row>
    <row r="41" spans="1:16" ht="15.75" x14ac:dyDescent="0.25">
      <c r="A41" s="119"/>
      <c r="B41" s="139"/>
      <c r="C41" s="26"/>
      <c r="D41" s="138"/>
      <c r="E41" s="26"/>
      <c r="F41" s="136">
        <f t="shared" si="0"/>
        <v>0</v>
      </c>
      <c r="J41" s="123" t="s">
        <v>75</v>
      </c>
      <c r="K41" s="21">
        <v>28620.9</v>
      </c>
      <c r="L41" s="160"/>
      <c r="M41" s="157" t="s">
        <v>52</v>
      </c>
      <c r="N41" s="162">
        <v>32600</v>
      </c>
      <c r="O41" s="163">
        <v>42388</v>
      </c>
      <c r="P41" s="168">
        <v>42390</v>
      </c>
    </row>
    <row r="42" spans="1:16" ht="15.75" x14ac:dyDescent="0.25">
      <c r="A42" s="119"/>
      <c r="B42" s="140"/>
      <c r="C42" s="26"/>
      <c r="D42" s="43"/>
      <c r="E42" s="26"/>
      <c r="F42" s="136">
        <f t="shared" si="0"/>
        <v>0</v>
      </c>
      <c r="J42" s="123" t="s">
        <v>86</v>
      </c>
      <c r="K42" s="21">
        <v>8576</v>
      </c>
      <c r="L42" s="160"/>
      <c r="M42" s="157"/>
      <c r="N42" s="162">
        <v>0</v>
      </c>
      <c r="O42" s="163">
        <v>0</v>
      </c>
    </row>
    <row r="43" spans="1:16" ht="15.75" x14ac:dyDescent="0.25">
      <c r="A43" s="119"/>
      <c r="B43" s="140"/>
      <c r="C43" s="26"/>
      <c r="D43" s="43"/>
      <c r="E43" s="26"/>
      <c r="F43" s="136">
        <f t="shared" si="0"/>
        <v>0</v>
      </c>
      <c r="J43" s="123" t="s">
        <v>87</v>
      </c>
      <c r="K43" s="21">
        <v>41782.120000000003</v>
      </c>
      <c r="L43" s="160" t="s">
        <v>91</v>
      </c>
      <c r="M43" s="157"/>
      <c r="N43" s="162">
        <v>0</v>
      </c>
      <c r="O43" s="163"/>
    </row>
    <row r="44" spans="1:16" ht="16.5" thickBot="1" x14ac:dyDescent="0.3">
      <c r="B44" s="141"/>
      <c r="C44" s="142">
        <v>0</v>
      </c>
      <c r="D44" s="143"/>
      <c r="E44" s="144">
        <v>0</v>
      </c>
      <c r="F44" s="136">
        <f t="shared" si="0"/>
        <v>0</v>
      </c>
      <c r="J44" s="123"/>
      <c r="K44" s="21"/>
      <c r="L44" s="164"/>
      <c r="M44" s="157"/>
      <c r="N44" s="158">
        <v>0</v>
      </c>
      <c r="O44" s="159"/>
    </row>
    <row r="45" spans="1:16" ht="16.5" thickTop="1" x14ac:dyDescent="0.25">
      <c r="B45" s="37"/>
      <c r="C45" s="21">
        <f>SUM(C3:C44)</f>
        <v>1612419.943</v>
      </c>
      <c r="D45" s="145"/>
      <c r="E45" s="30">
        <f>SUM(E3:E44)</f>
        <v>1612419.943</v>
      </c>
      <c r="F45" s="30">
        <f>SUM(F3:F44)</f>
        <v>0</v>
      </c>
      <c r="J45" s="123"/>
      <c r="K45" s="21"/>
      <c r="L45" s="164"/>
      <c r="M45" s="157"/>
      <c r="N45" s="162">
        <v>0</v>
      </c>
      <c r="O45" s="163"/>
    </row>
    <row r="46" spans="1:16" x14ac:dyDescent="0.25">
      <c r="A46" s="20"/>
      <c r="J46" s="165"/>
      <c r="K46" s="166">
        <f>SUM(K32:K45)</f>
        <v>522186.5</v>
      </c>
      <c r="L46" s="165"/>
      <c r="M46" s="165"/>
      <c r="N46" s="166">
        <f>SUM(N32:N45)</f>
        <v>522786.5</v>
      </c>
      <c r="O46" s="165"/>
    </row>
    <row r="47" spans="1:16" x14ac:dyDescent="0.25">
      <c r="A47" s="20"/>
    </row>
    <row r="48" spans="1:16" x14ac:dyDescent="0.25">
      <c r="A48" s="20"/>
    </row>
    <row r="49" spans="1:7" customFormat="1" x14ac:dyDescent="0.25">
      <c r="A49" s="20"/>
      <c r="B49" s="20"/>
      <c r="C49" s="30"/>
      <c r="D49" s="20"/>
      <c r="E49" s="30"/>
      <c r="F49" s="30"/>
      <c r="G49" s="20"/>
    </row>
    <row r="50" spans="1:7" customFormat="1" x14ac:dyDescent="0.25">
      <c r="A50" s="20"/>
      <c r="B50" s="20"/>
      <c r="C50" s="20"/>
      <c r="D50" s="20"/>
      <c r="E50" s="20"/>
      <c r="F50" s="20"/>
      <c r="G50" s="20"/>
    </row>
    <row r="51" spans="1:7" customFormat="1" x14ac:dyDescent="0.25">
      <c r="A51" s="20"/>
      <c r="B51" s="20"/>
      <c r="C51" s="20"/>
      <c r="D51" s="20"/>
      <c r="E51" s="20"/>
      <c r="F51" s="20"/>
      <c r="G51" s="20"/>
    </row>
    <row r="52" spans="1:7" customFormat="1" x14ac:dyDescent="0.25">
      <c r="A52" s="20"/>
      <c r="B52" s="20"/>
      <c r="C52" s="20"/>
      <c r="D52" s="20"/>
      <c r="E52" s="20"/>
      <c r="F52" s="20"/>
      <c r="G52" s="20"/>
    </row>
    <row r="53" spans="1:7" customFormat="1" x14ac:dyDescent="0.25">
      <c r="A53" s="20"/>
      <c r="B53" s="20"/>
      <c r="C53" s="20"/>
      <c r="D53" s="20"/>
      <c r="E53" s="20"/>
      <c r="F53" s="20"/>
      <c r="G53" s="20"/>
    </row>
    <row r="54" spans="1:7" customFormat="1" x14ac:dyDescent="0.25">
      <c r="A54" s="20"/>
      <c r="B54" s="20"/>
      <c r="C54" s="20"/>
      <c r="D54" s="20"/>
      <c r="E54" s="20"/>
      <c r="F54" s="20"/>
    </row>
    <row r="55" spans="1:7" customFormat="1" x14ac:dyDescent="0.25">
      <c r="A55" s="20"/>
      <c r="B55" s="20"/>
      <c r="C55" s="20"/>
      <c r="D55" s="20"/>
      <c r="E55" s="20"/>
      <c r="F55" s="20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S57"/>
  <sheetViews>
    <sheetView workbookViewId="0">
      <selection activeCell="L8" sqref="L8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4" customWidth="1"/>
    <col min="6" max="6" width="17.85546875" style="3" customWidth="1"/>
    <col min="7" max="7" width="2.85546875" customWidth="1"/>
    <col min="9" max="9" width="12.140625" style="3" customWidth="1"/>
    <col min="10" max="10" width="6.42578125" style="3" customWidth="1"/>
    <col min="11" max="11" width="13.7109375" customWidth="1"/>
    <col min="12" max="12" width="11.28515625" customWidth="1"/>
    <col min="13" max="13" width="16.7109375" style="3" customWidth="1"/>
    <col min="14" max="14" width="11.42578125" style="3"/>
  </cols>
  <sheetData>
    <row r="1" spans="1:19" ht="23.25" x14ac:dyDescent="0.35">
      <c r="C1" s="267" t="s">
        <v>102</v>
      </c>
      <c r="D1" s="267"/>
      <c r="E1" s="267"/>
      <c r="F1" s="267"/>
      <c r="G1" s="267"/>
      <c r="H1" s="267"/>
      <c r="I1" s="267"/>
      <c r="J1" s="267"/>
      <c r="K1" s="267"/>
      <c r="L1" s="2" t="s">
        <v>0</v>
      </c>
    </row>
    <row r="2" spans="1:19" ht="15.75" thickBot="1" x14ac:dyDescent="0.3">
      <c r="E2" s="5"/>
      <c r="F2" s="6"/>
    </row>
    <row r="3" spans="1:19" ht="15.75" thickBot="1" x14ac:dyDescent="0.3">
      <c r="C3" s="7" t="s">
        <v>1</v>
      </c>
      <c r="D3" s="8"/>
    </row>
    <row r="4" spans="1:19" ht="20.25" thickTop="1" thickBot="1" x14ac:dyDescent="0.35">
      <c r="A4" s="9" t="s">
        <v>2</v>
      </c>
      <c r="B4" s="10"/>
      <c r="C4" s="11">
        <v>170511.25</v>
      </c>
      <c r="D4" s="12"/>
      <c r="E4" s="268" t="s">
        <v>3</v>
      </c>
      <c r="F4" s="269"/>
      <c r="I4" s="270" t="s">
        <v>4</v>
      </c>
      <c r="J4" s="271"/>
      <c r="K4" s="271"/>
      <c r="L4" s="271"/>
      <c r="M4" s="13" t="s">
        <v>5</v>
      </c>
    </row>
    <row r="5" spans="1:19" ht="15.75" thickTop="1" x14ac:dyDescent="0.25">
      <c r="A5" s="14"/>
      <c r="B5" s="15">
        <v>42401</v>
      </c>
      <c r="C5" s="16">
        <f>430+388</f>
        <v>818</v>
      </c>
      <c r="D5" s="17" t="s">
        <v>120</v>
      </c>
      <c r="E5" s="18">
        <v>42401</v>
      </c>
      <c r="F5" s="19">
        <v>49040.75</v>
      </c>
      <c r="G5" s="20"/>
      <c r="H5" s="186">
        <v>42401</v>
      </c>
      <c r="I5" s="187">
        <f>500+350</f>
        <v>850</v>
      </c>
      <c r="J5" s="176"/>
      <c r="K5" s="188"/>
      <c r="L5" s="189"/>
      <c r="M5" s="190">
        <v>50303</v>
      </c>
      <c r="N5" s="21"/>
      <c r="O5" s="20"/>
      <c r="P5" s="20"/>
      <c r="Q5" s="20"/>
      <c r="R5" t="s">
        <v>6</v>
      </c>
      <c r="S5">
        <v>1600</v>
      </c>
    </row>
    <row r="6" spans="1:19" x14ac:dyDescent="0.25">
      <c r="A6" s="14"/>
      <c r="B6" s="15">
        <v>42402</v>
      </c>
      <c r="C6" s="16">
        <v>384</v>
      </c>
      <c r="D6" s="22" t="s">
        <v>121</v>
      </c>
      <c r="E6" s="18">
        <v>42402</v>
      </c>
      <c r="F6" s="19">
        <v>32848.54</v>
      </c>
      <c r="G6" s="23"/>
      <c r="H6" s="24">
        <v>42402</v>
      </c>
      <c r="I6" s="25">
        <v>100</v>
      </c>
      <c r="J6" s="26"/>
      <c r="K6" s="27" t="s">
        <v>7</v>
      </c>
      <c r="L6" s="28">
        <v>538</v>
      </c>
      <c r="M6" s="33">
        <v>41933</v>
      </c>
      <c r="N6" s="30"/>
      <c r="O6" s="20"/>
      <c r="P6" s="20"/>
      <c r="Q6" s="20"/>
    </row>
    <row r="7" spans="1:19" x14ac:dyDescent="0.25">
      <c r="A7" s="14"/>
      <c r="B7" s="15">
        <v>42403</v>
      </c>
      <c r="C7" s="16">
        <v>640</v>
      </c>
      <c r="D7" s="17" t="s">
        <v>122</v>
      </c>
      <c r="E7" s="18">
        <v>42403</v>
      </c>
      <c r="F7" s="19">
        <v>46508.71</v>
      </c>
      <c r="G7" s="20"/>
      <c r="H7" s="24">
        <v>42403</v>
      </c>
      <c r="I7" s="25">
        <v>0</v>
      </c>
      <c r="J7" s="26"/>
      <c r="K7" s="31" t="s">
        <v>8</v>
      </c>
      <c r="L7" s="28">
        <v>11837</v>
      </c>
      <c r="M7" s="33">
        <v>49690</v>
      </c>
      <c r="N7" s="30"/>
      <c r="O7" s="20"/>
      <c r="P7" s="20"/>
      <c r="Q7" s="20"/>
      <c r="R7" t="s">
        <v>9</v>
      </c>
      <c r="S7">
        <v>2500</v>
      </c>
    </row>
    <row r="8" spans="1:19" x14ac:dyDescent="0.25">
      <c r="A8" s="14"/>
      <c r="B8" s="15">
        <v>42404</v>
      </c>
      <c r="C8" s="16">
        <v>0</v>
      </c>
      <c r="D8" s="17"/>
      <c r="E8" s="18">
        <v>42404</v>
      </c>
      <c r="F8" s="19">
        <v>39236.910000000003</v>
      </c>
      <c r="G8" s="20"/>
      <c r="H8" s="24">
        <v>42404</v>
      </c>
      <c r="I8" s="25">
        <v>762.49</v>
      </c>
      <c r="J8" s="26"/>
      <c r="K8" s="27" t="s">
        <v>10</v>
      </c>
      <c r="L8" s="32">
        <v>28750</v>
      </c>
      <c r="M8" s="33">
        <v>43575</v>
      </c>
      <c r="N8" s="21"/>
      <c r="O8" s="20"/>
      <c r="P8" s="20"/>
      <c r="Q8" s="20"/>
    </row>
    <row r="9" spans="1:19" x14ac:dyDescent="0.25">
      <c r="A9" s="14"/>
      <c r="B9" s="15">
        <v>42405</v>
      </c>
      <c r="C9" s="16">
        <v>0</v>
      </c>
      <c r="D9" s="34"/>
      <c r="E9" s="18">
        <v>42405</v>
      </c>
      <c r="F9" s="19">
        <v>64256.12</v>
      </c>
      <c r="G9" s="20"/>
      <c r="H9" s="24">
        <v>42405</v>
      </c>
      <c r="I9" s="25">
        <v>84</v>
      </c>
      <c r="J9" s="35"/>
      <c r="K9" s="27" t="s">
        <v>140</v>
      </c>
      <c r="L9" s="28">
        <v>11150</v>
      </c>
      <c r="M9" s="33">
        <v>67723</v>
      </c>
      <c r="N9" s="21"/>
      <c r="O9" s="37"/>
      <c r="P9" s="20"/>
      <c r="Q9" s="20"/>
    </row>
    <row r="10" spans="1:19" x14ac:dyDescent="0.25">
      <c r="A10" s="14"/>
      <c r="B10" s="15">
        <v>42406</v>
      </c>
      <c r="C10" s="16">
        <v>2140</v>
      </c>
      <c r="D10" s="34" t="s">
        <v>134</v>
      </c>
      <c r="E10" s="18">
        <v>42406</v>
      </c>
      <c r="F10" s="19">
        <v>75264.73</v>
      </c>
      <c r="G10" s="20"/>
      <c r="H10" s="24">
        <v>42406</v>
      </c>
      <c r="I10" s="25">
        <v>500</v>
      </c>
      <c r="J10" s="35"/>
      <c r="K10" s="27" t="s">
        <v>139</v>
      </c>
      <c r="L10" s="19">
        <v>11150</v>
      </c>
      <c r="M10" s="33">
        <f>28882.21+63000+2085.44</f>
        <v>93967.65</v>
      </c>
      <c r="N10" s="208">
        <v>2085.44</v>
      </c>
      <c r="O10" s="20"/>
      <c r="P10" s="20"/>
      <c r="Q10" s="20"/>
    </row>
    <row r="11" spans="1:19" x14ac:dyDescent="0.25">
      <c r="A11" s="14"/>
      <c r="B11" s="15">
        <v>42407</v>
      </c>
      <c r="C11" s="16">
        <v>318</v>
      </c>
      <c r="D11" s="34" t="s">
        <v>123</v>
      </c>
      <c r="E11" s="18">
        <v>42407</v>
      </c>
      <c r="F11" s="19">
        <v>65213.57</v>
      </c>
      <c r="G11" s="20"/>
      <c r="H11" s="24">
        <v>42407</v>
      </c>
      <c r="I11" s="25">
        <v>0</v>
      </c>
      <c r="J11" s="35"/>
      <c r="K11" s="27" t="s">
        <v>141</v>
      </c>
      <c r="L11" s="19">
        <v>11442</v>
      </c>
      <c r="M11" s="33">
        <v>52845</v>
      </c>
      <c r="N11" s="36"/>
      <c r="O11" s="20"/>
      <c r="P11" s="20"/>
      <c r="Q11" s="20"/>
    </row>
    <row r="12" spans="1:19" x14ac:dyDescent="0.25">
      <c r="A12" s="14"/>
      <c r="B12" s="15">
        <v>42408</v>
      </c>
      <c r="C12" s="16">
        <v>0</v>
      </c>
      <c r="D12" s="17"/>
      <c r="E12" s="18">
        <v>42408</v>
      </c>
      <c r="F12" s="19">
        <v>41950.68</v>
      </c>
      <c r="G12" s="20"/>
      <c r="H12" s="24">
        <v>42408</v>
      </c>
      <c r="I12" s="25">
        <v>0</v>
      </c>
      <c r="J12" s="35" t="s">
        <v>79</v>
      </c>
      <c r="K12" s="27" t="s">
        <v>142</v>
      </c>
      <c r="L12" s="19">
        <v>11150</v>
      </c>
      <c r="M12" s="33">
        <v>41950.5</v>
      </c>
      <c r="N12" s="21"/>
      <c r="O12" s="37"/>
      <c r="P12" s="38"/>
      <c r="Q12" s="20"/>
    </row>
    <row r="13" spans="1:19" x14ac:dyDescent="0.25">
      <c r="A13" s="14"/>
      <c r="B13" s="15">
        <v>42409</v>
      </c>
      <c r="C13" s="16">
        <v>0</v>
      </c>
      <c r="D13" s="34"/>
      <c r="E13" s="18">
        <v>42409</v>
      </c>
      <c r="F13" s="19">
        <v>34910.25</v>
      </c>
      <c r="G13" s="20"/>
      <c r="H13" s="24">
        <v>42409</v>
      </c>
      <c r="I13" s="25">
        <v>100</v>
      </c>
      <c r="J13" s="35"/>
      <c r="K13" s="27"/>
      <c r="L13" s="19">
        <v>0</v>
      </c>
      <c r="M13" s="33">
        <v>34810</v>
      </c>
      <c r="N13" s="21"/>
      <c r="O13" s="20"/>
      <c r="P13" s="20"/>
      <c r="Q13" s="20"/>
    </row>
    <row r="14" spans="1:19" x14ac:dyDescent="0.25">
      <c r="A14" s="14"/>
      <c r="B14" s="15">
        <v>42410</v>
      </c>
      <c r="C14" s="16">
        <v>0</v>
      </c>
      <c r="D14" s="17"/>
      <c r="E14" s="18">
        <v>42410</v>
      </c>
      <c r="F14" s="19">
        <v>27869.439999999999</v>
      </c>
      <c r="G14" s="20"/>
      <c r="H14" s="24">
        <v>42410</v>
      </c>
      <c r="I14" s="25">
        <v>100</v>
      </c>
      <c r="J14" s="35"/>
      <c r="K14" s="39"/>
      <c r="L14" s="19">
        <v>0</v>
      </c>
      <c r="M14" s="33">
        <v>27231</v>
      </c>
      <c r="N14" s="21"/>
      <c r="O14" s="20"/>
      <c r="P14" s="20"/>
      <c r="Q14" s="20"/>
    </row>
    <row r="15" spans="1:19" x14ac:dyDescent="0.25">
      <c r="A15" s="14"/>
      <c r="B15" s="15">
        <v>42411</v>
      </c>
      <c r="C15" s="16">
        <v>354</v>
      </c>
      <c r="D15" s="17" t="s">
        <v>123</v>
      </c>
      <c r="E15" s="18">
        <v>42411</v>
      </c>
      <c r="F15" s="19">
        <v>36307.03</v>
      </c>
      <c r="G15" s="20"/>
      <c r="H15" s="24">
        <v>42411</v>
      </c>
      <c r="I15" s="25">
        <v>0</v>
      </c>
      <c r="J15" s="35"/>
      <c r="K15" s="40" t="s">
        <v>11</v>
      </c>
      <c r="L15" s="19">
        <v>0</v>
      </c>
      <c r="M15" s="33">
        <v>35953</v>
      </c>
      <c r="N15" s="30"/>
      <c r="O15" s="20"/>
      <c r="P15" s="20"/>
      <c r="Q15" s="20"/>
    </row>
    <row r="16" spans="1:19" x14ac:dyDescent="0.25">
      <c r="A16" s="14"/>
      <c r="B16" s="15">
        <v>42412</v>
      </c>
      <c r="C16" s="16">
        <v>0</v>
      </c>
      <c r="D16" s="34"/>
      <c r="E16" s="18">
        <v>42412</v>
      </c>
      <c r="F16" s="19">
        <v>71453.2</v>
      </c>
      <c r="G16" s="20"/>
      <c r="H16" s="24">
        <v>42412</v>
      </c>
      <c r="I16" s="25">
        <v>0</v>
      </c>
      <c r="J16" s="35"/>
      <c r="K16" s="41" t="s">
        <v>81</v>
      </c>
      <c r="L16" s="42">
        <v>0</v>
      </c>
      <c r="M16" s="33">
        <f>69960.2+100</f>
        <v>70060.2</v>
      </c>
      <c r="N16" s="30">
        <v>100</v>
      </c>
      <c r="O16" s="20" t="s">
        <v>124</v>
      </c>
      <c r="P16" s="20"/>
      <c r="Q16" s="20"/>
    </row>
    <row r="17" spans="1:18" x14ac:dyDescent="0.25">
      <c r="A17" s="14"/>
      <c r="B17" s="15">
        <v>42413</v>
      </c>
      <c r="C17" s="16">
        <v>336</v>
      </c>
      <c r="D17" s="17" t="s">
        <v>66</v>
      </c>
      <c r="E17" s="18">
        <v>42413</v>
      </c>
      <c r="F17" s="19">
        <v>66193.09</v>
      </c>
      <c r="G17" s="20"/>
      <c r="H17" s="24">
        <v>42413</v>
      </c>
      <c r="I17" s="25">
        <f>300+350+512.34</f>
        <v>1162.3400000000001</v>
      </c>
      <c r="J17" s="35"/>
      <c r="K17" s="180"/>
      <c r="L17" s="19">
        <v>0</v>
      </c>
      <c r="M17" s="33">
        <v>64695</v>
      </c>
      <c r="N17" s="30"/>
      <c r="O17" s="20"/>
      <c r="P17" s="20"/>
      <c r="Q17" s="20"/>
    </row>
    <row r="18" spans="1:18" x14ac:dyDescent="0.25">
      <c r="A18" s="14"/>
      <c r="B18" s="15">
        <v>42414</v>
      </c>
      <c r="C18" s="16">
        <v>25</v>
      </c>
      <c r="D18" s="17" t="s">
        <v>66</v>
      </c>
      <c r="E18" s="18">
        <v>42414</v>
      </c>
      <c r="F18" s="19">
        <v>71565.119999999995</v>
      </c>
      <c r="G18" s="20"/>
      <c r="H18" s="24">
        <v>42414</v>
      </c>
      <c r="I18" s="25">
        <v>39.5</v>
      </c>
      <c r="J18" s="35"/>
      <c r="K18" s="41" t="s">
        <v>12</v>
      </c>
      <c r="L18" s="19">
        <v>0</v>
      </c>
      <c r="M18" s="33">
        <v>67541</v>
      </c>
      <c r="N18" s="21"/>
      <c r="O18" s="37"/>
      <c r="P18" s="20"/>
      <c r="Q18" s="20"/>
    </row>
    <row r="19" spans="1:18" x14ac:dyDescent="0.25">
      <c r="A19" s="14"/>
      <c r="B19" s="15">
        <v>42415</v>
      </c>
      <c r="C19" s="16">
        <v>1032</v>
      </c>
      <c r="D19" s="34" t="s">
        <v>120</v>
      </c>
      <c r="E19" s="18">
        <v>42415</v>
      </c>
      <c r="F19" s="19">
        <v>53089.75</v>
      </c>
      <c r="G19" s="20"/>
      <c r="H19" s="24">
        <v>42415</v>
      </c>
      <c r="I19" s="25">
        <v>78</v>
      </c>
      <c r="J19" s="35"/>
      <c r="K19" s="43" t="s">
        <v>13</v>
      </c>
      <c r="L19" s="44">
        <v>0</v>
      </c>
      <c r="M19" s="33">
        <v>51980</v>
      </c>
      <c r="N19" s="21"/>
      <c r="O19" s="20"/>
      <c r="P19" s="20"/>
      <c r="Q19" s="20"/>
    </row>
    <row r="20" spans="1:18" x14ac:dyDescent="0.25">
      <c r="A20" s="14"/>
      <c r="B20" s="15">
        <v>42416</v>
      </c>
      <c r="C20" s="16">
        <v>0</v>
      </c>
      <c r="D20" s="22"/>
      <c r="E20" s="18">
        <v>42416</v>
      </c>
      <c r="F20" s="19">
        <v>43152.57</v>
      </c>
      <c r="G20" s="20"/>
      <c r="H20" s="24">
        <v>42416</v>
      </c>
      <c r="I20" s="45">
        <v>100</v>
      </c>
      <c r="J20" s="35"/>
      <c r="K20" s="46" t="s">
        <v>14</v>
      </c>
      <c r="L20" s="42">
        <v>0</v>
      </c>
      <c r="M20" s="33">
        <v>43052.5</v>
      </c>
      <c r="N20" s="30"/>
      <c r="O20" s="20"/>
      <c r="P20" s="20"/>
      <c r="Q20" s="20"/>
    </row>
    <row r="21" spans="1:18" x14ac:dyDescent="0.25">
      <c r="A21" s="14"/>
      <c r="B21" s="15">
        <v>42417</v>
      </c>
      <c r="C21" s="16">
        <v>850</v>
      </c>
      <c r="D21" s="17" t="s">
        <v>146</v>
      </c>
      <c r="E21" s="18">
        <v>42417</v>
      </c>
      <c r="F21" s="19">
        <v>35438.53</v>
      </c>
      <c r="G21" s="20"/>
      <c r="H21" s="24">
        <v>42417</v>
      </c>
      <c r="I21" s="45">
        <v>0</v>
      </c>
      <c r="J21" s="35"/>
      <c r="K21" s="47" t="s">
        <v>15</v>
      </c>
      <c r="L21" s="42">
        <v>0</v>
      </c>
      <c r="M21" s="33">
        <v>34588.5</v>
      </c>
      <c r="N21" s="30"/>
      <c r="O21" s="37"/>
      <c r="P21" s="37"/>
      <c r="Q21" s="37"/>
      <c r="R21" s="37"/>
    </row>
    <row r="22" spans="1:18" x14ac:dyDescent="0.25">
      <c r="A22" s="14"/>
      <c r="B22" s="15">
        <v>42418</v>
      </c>
      <c r="C22" s="16">
        <v>0</v>
      </c>
      <c r="D22" s="34"/>
      <c r="E22" s="18">
        <v>42418</v>
      </c>
      <c r="F22" s="19">
        <v>43213.78</v>
      </c>
      <c r="G22" s="20"/>
      <c r="H22" s="24">
        <v>42418</v>
      </c>
      <c r="I22" s="45">
        <v>250</v>
      </c>
      <c r="J22" s="48"/>
      <c r="K22" s="49" t="s">
        <v>29</v>
      </c>
      <c r="L22" s="42">
        <v>0</v>
      </c>
      <c r="M22" s="33">
        <v>42964</v>
      </c>
      <c r="N22" s="30"/>
      <c r="O22" s="20"/>
      <c r="P22" s="20"/>
      <c r="Q22" s="20"/>
    </row>
    <row r="23" spans="1:18" x14ac:dyDescent="0.25">
      <c r="A23" s="14"/>
      <c r="B23" s="15">
        <v>42419</v>
      </c>
      <c r="C23" s="16">
        <v>365</v>
      </c>
      <c r="D23" s="34" t="s">
        <v>123</v>
      </c>
      <c r="E23" s="18">
        <v>42419</v>
      </c>
      <c r="F23" s="19">
        <v>57760.42</v>
      </c>
      <c r="G23" s="20"/>
      <c r="H23" s="24">
        <v>42419</v>
      </c>
      <c r="I23" s="45">
        <v>0</v>
      </c>
      <c r="J23" s="26"/>
      <c r="K23" s="250" t="s">
        <v>183</v>
      </c>
      <c r="L23" s="251">
        <v>3000</v>
      </c>
      <c r="M23" s="33">
        <v>57395</v>
      </c>
      <c r="N23" s="30"/>
      <c r="O23" s="20"/>
      <c r="P23" s="20"/>
      <c r="Q23" s="20"/>
    </row>
    <row r="24" spans="1:18" x14ac:dyDescent="0.25">
      <c r="A24" s="14"/>
      <c r="B24" s="15">
        <v>42420</v>
      </c>
      <c r="C24" s="16">
        <v>468</v>
      </c>
      <c r="D24" s="34" t="s">
        <v>83</v>
      </c>
      <c r="E24" s="18">
        <v>42420</v>
      </c>
      <c r="F24" s="19">
        <v>64592.53</v>
      </c>
      <c r="G24" s="20"/>
      <c r="H24" s="24">
        <v>42420</v>
      </c>
      <c r="I24" s="45">
        <v>400</v>
      </c>
      <c r="J24" s="35"/>
      <c r="K24" s="51" t="s">
        <v>143</v>
      </c>
      <c r="L24" s="42">
        <v>2000</v>
      </c>
      <c r="M24" s="33">
        <v>63724.5</v>
      </c>
      <c r="N24" s="30"/>
      <c r="O24" s="20"/>
      <c r="P24" s="20"/>
      <c r="Q24" s="20"/>
    </row>
    <row r="25" spans="1:18" x14ac:dyDescent="0.25">
      <c r="A25" s="14"/>
      <c r="B25" s="15">
        <v>42421</v>
      </c>
      <c r="C25" s="16">
        <v>0</v>
      </c>
      <c r="D25" s="17"/>
      <c r="E25" s="18">
        <v>42421</v>
      </c>
      <c r="F25" s="19">
        <v>53361.96</v>
      </c>
      <c r="G25" s="20"/>
      <c r="H25" s="24">
        <v>42421</v>
      </c>
      <c r="I25" s="45">
        <v>21</v>
      </c>
      <c r="J25" s="26"/>
      <c r="K25" s="51" t="s">
        <v>145</v>
      </c>
      <c r="L25" s="42">
        <v>3000</v>
      </c>
      <c r="M25" s="33">
        <v>43000</v>
      </c>
      <c r="N25" s="21"/>
      <c r="O25" s="20"/>
      <c r="P25" s="20"/>
      <c r="Q25" s="20"/>
    </row>
    <row r="26" spans="1:18" x14ac:dyDescent="0.25">
      <c r="A26" s="14"/>
      <c r="B26" s="15">
        <v>42422</v>
      </c>
      <c r="C26" s="16">
        <v>0</v>
      </c>
      <c r="D26" s="17"/>
      <c r="E26" s="18">
        <v>42422</v>
      </c>
      <c r="F26" s="19">
        <v>68602.44</v>
      </c>
      <c r="G26" s="20"/>
      <c r="H26" s="24">
        <v>42422</v>
      </c>
      <c r="I26" s="45">
        <v>100</v>
      </c>
      <c r="J26" s="52"/>
      <c r="K26" s="50" t="s">
        <v>147</v>
      </c>
      <c r="L26" s="42">
        <v>3000</v>
      </c>
      <c r="M26" s="33">
        <f>35380+11663.5+1877+5675+2856+11051.2</f>
        <v>68502.7</v>
      </c>
      <c r="N26" s="21"/>
      <c r="O26" s="37"/>
      <c r="P26" s="38"/>
      <c r="Q26" s="20"/>
    </row>
    <row r="27" spans="1:18" x14ac:dyDescent="0.25">
      <c r="A27" s="14"/>
      <c r="B27" s="15">
        <v>42423</v>
      </c>
      <c r="C27" s="16">
        <v>456</v>
      </c>
      <c r="D27" s="17" t="s">
        <v>83</v>
      </c>
      <c r="E27" s="18">
        <v>42423</v>
      </c>
      <c r="F27" s="19">
        <v>38520.32</v>
      </c>
      <c r="G27" s="20"/>
      <c r="H27" s="24">
        <v>42423</v>
      </c>
      <c r="I27" s="45">
        <v>724.69</v>
      </c>
      <c r="J27" s="26"/>
      <c r="K27" s="53"/>
      <c r="L27" s="42">
        <v>0</v>
      </c>
      <c r="M27" s="33">
        <v>37340</v>
      </c>
      <c r="N27" s="217">
        <v>37340</v>
      </c>
      <c r="O27" s="20"/>
      <c r="P27" s="20"/>
      <c r="Q27" s="20"/>
    </row>
    <row r="28" spans="1:18" x14ac:dyDescent="0.25">
      <c r="A28" s="14"/>
      <c r="B28" s="15">
        <v>42424</v>
      </c>
      <c r="C28" s="16">
        <v>0</v>
      </c>
      <c r="D28" s="17"/>
      <c r="E28" s="18">
        <v>42424</v>
      </c>
      <c r="F28" s="19">
        <v>30373.61</v>
      </c>
      <c r="G28" s="20"/>
      <c r="H28" s="24">
        <v>42424</v>
      </c>
      <c r="I28" s="45">
        <v>184</v>
      </c>
      <c r="J28" s="26"/>
      <c r="K28" s="54"/>
      <c r="L28" s="42">
        <v>0</v>
      </c>
      <c r="M28" s="33">
        <v>30189.5</v>
      </c>
      <c r="N28" s="30"/>
      <c r="O28" s="20"/>
      <c r="P28" s="20"/>
      <c r="Q28" s="20"/>
    </row>
    <row r="29" spans="1:18" x14ac:dyDescent="0.25">
      <c r="A29" s="14"/>
      <c r="B29" s="15">
        <v>42425</v>
      </c>
      <c r="C29" s="16">
        <v>0</v>
      </c>
      <c r="D29" s="17"/>
      <c r="E29" s="18">
        <v>42425</v>
      </c>
      <c r="F29" s="19">
        <v>35886.39</v>
      </c>
      <c r="G29" s="20"/>
      <c r="H29" s="24">
        <v>42425</v>
      </c>
      <c r="I29" s="45">
        <v>0</v>
      </c>
      <c r="J29" s="26"/>
      <c r="K29" s="55"/>
      <c r="L29" s="56">
        <v>0</v>
      </c>
      <c r="M29" s="33">
        <v>35886.5</v>
      </c>
      <c r="N29" s="30"/>
      <c r="O29" s="20"/>
      <c r="P29" s="20"/>
      <c r="Q29" s="20"/>
    </row>
    <row r="30" spans="1:18" ht="15.75" thickBot="1" x14ac:dyDescent="0.3">
      <c r="A30" s="14"/>
      <c r="B30" s="15">
        <v>42426</v>
      </c>
      <c r="C30" s="16">
        <v>575</v>
      </c>
      <c r="D30" s="17" t="s">
        <v>148</v>
      </c>
      <c r="E30" s="18">
        <v>42426</v>
      </c>
      <c r="F30" s="19">
        <v>62939.86</v>
      </c>
      <c r="G30" s="20"/>
      <c r="H30" s="24">
        <v>42426</v>
      </c>
      <c r="I30" s="45">
        <v>100</v>
      </c>
      <c r="J30" s="52"/>
      <c r="K30" s="54"/>
      <c r="L30" s="56">
        <v>0</v>
      </c>
      <c r="M30" s="33">
        <v>62365</v>
      </c>
      <c r="N30" s="30"/>
      <c r="O30" s="20"/>
      <c r="P30" s="20"/>
      <c r="Q30" s="20"/>
    </row>
    <row r="31" spans="1:18" x14ac:dyDescent="0.25">
      <c r="A31" s="14"/>
      <c r="B31" s="15">
        <v>42427</v>
      </c>
      <c r="C31" s="16">
        <v>480</v>
      </c>
      <c r="D31" s="17" t="s">
        <v>85</v>
      </c>
      <c r="E31" s="18">
        <v>42427</v>
      </c>
      <c r="F31" s="19">
        <v>59741.99</v>
      </c>
      <c r="G31" s="20"/>
      <c r="H31" s="24">
        <v>42427</v>
      </c>
      <c r="I31" s="45">
        <v>123.6</v>
      </c>
      <c r="J31" s="35"/>
      <c r="K31" s="57"/>
      <c r="L31" s="292">
        <v>0</v>
      </c>
      <c r="M31" s="33">
        <v>59138.39</v>
      </c>
      <c r="N31" s="21"/>
      <c r="O31" s="20"/>
      <c r="P31" s="20"/>
      <c r="Q31" s="20"/>
    </row>
    <row r="32" spans="1:18" ht="15.75" thickBot="1" x14ac:dyDescent="0.3">
      <c r="A32" s="14"/>
      <c r="B32" s="15">
        <v>42428</v>
      </c>
      <c r="C32" s="16">
        <v>269</v>
      </c>
      <c r="D32" s="17" t="s">
        <v>123</v>
      </c>
      <c r="E32" s="18">
        <v>42428</v>
      </c>
      <c r="F32" s="19">
        <v>65022.9</v>
      </c>
      <c r="G32" s="20"/>
      <c r="H32" s="24">
        <v>42428</v>
      </c>
      <c r="I32" s="45">
        <v>400</v>
      </c>
      <c r="J32" s="26"/>
      <c r="K32" s="53"/>
      <c r="L32" s="293"/>
      <c r="M32" s="33">
        <v>57304</v>
      </c>
      <c r="N32" s="30"/>
      <c r="O32" s="20"/>
      <c r="P32" s="20"/>
      <c r="Q32" s="20"/>
    </row>
    <row r="33" spans="1:17" x14ac:dyDescent="0.25">
      <c r="A33" s="14"/>
      <c r="B33" s="15">
        <v>42429</v>
      </c>
      <c r="C33" s="16">
        <v>446</v>
      </c>
      <c r="D33" s="34" t="s">
        <v>83</v>
      </c>
      <c r="E33" s="18">
        <v>42429</v>
      </c>
      <c r="F33" s="19">
        <v>43185.81</v>
      </c>
      <c r="G33" s="20"/>
      <c r="H33" s="24">
        <v>42429</v>
      </c>
      <c r="I33" s="45">
        <v>350</v>
      </c>
      <c r="J33" s="26"/>
      <c r="K33" s="58"/>
      <c r="L33" s="294">
        <v>0</v>
      </c>
      <c r="M33" s="33">
        <f>35620+6770</f>
        <v>42390</v>
      </c>
      <c r="N33" s="217">
        <v>6770</v>
      </c>
      <c r="O33" s="20"/>
      <c r="P33" s="20"/>
      <c r="Q33" s="20"/>
    </row>
    <row r="34" spans="1:17" ht="15.75" thickBot="1" x14ac:dyDescent="0.3">
      <c r="A34" s="14"/>
      <c r="B34" s="15"/>
      <c r="C34" s="16"/>
      <c r="D34" s="17"/>
      <c r="E34" s="18"/>
      <c r="F34" s="19"/>
      <c r="G34" s="20"/>
      <c r="H34" s="24"/>
      <c r="I34" s="45"/>
      <c r="J34" s="26"/>
      <c r="K34" s="59"/>
      <c r="L34" s="295"/>
      <c r="M34" s="33"/>
      <c r="N34" s="21"/>
      <c r="O34" s="20"/>
    </row>
    <row r="35" spans="1:17" ht="15.75" thickBot="1" x14ac:dyDescent="0.3">
      <c r="A35" s="14"/>
      <c r="B35" s="15"/>
      <c r="C35" s="16"/>
      <c r="D35" s="34"/>
      <c r="E35" s="18"/>
      <c r="F35" s="19"/>
      <c r="G35" s="20"/>
      <c r="H35" s="24"/>
      <c r="I35" s="45"/>
      <c r="J35" s="26"/>
      <c r="K35" s="60"/>
      <c r="L35" s="61">
        <v>0</v>
      </c>
      <c r="M35" s="33"/>
    </row>
    <row r="36" spans="1:17" ht="15.75" thickBot="1" x14ac:dyDescent="0.3">
      <c r="A36" s="62"/>
      <c r="B36" s="63"/>
      <c r="C36" s="64">
        <v>0</v>
      </c>
      <c r="D36" s="12"/>
      <c r="E36" s="18"/>
      <c r="F36" s="19">
        <v>0</v>
      </c>
      <c r="G36" s="20"/>
      <c r="H36" s="65"/>
      <c r="I36" s="66">
        <v>0</v>
      </c>
      <c r="J36" s="67"/>
      <c r="K36" s="68"/>
      <c r="L36" s="69"/>
      <c r="M36" s="218">
        <v>0</v>
      </c>
      <c r="P36" s="71"/>
      <c r="Q36" s="71"/>
    </row>
    <row r="37" spans="1:17" ht="16.5" thickBot="1" x14ac:dyDescent="0.3">
      <c r="A37" s="72"/>
      <c r="B37" s="73"/>
      <c r="C37" s="74">
        <v>0</v>
      </c>
      <c r="D37" s="12"/>
      <c r="E37" s="75"/>
      <c r="F37" s="76">
        <v>0</v>
      </c>
      <c r="H37" s="77"/>
      <c r="I37" s="78">
        <v>0</v>
      </c>
      <c r="J37" s="67"/>
      <c r="K37" s="79"/>
      <c r="L37" s="80"/>
      <c r="M37" s="81">
        <f>SUM(M5:M36)</f>
        <v>1472097.94</v>
      </c>
    </row>
    <row r="38" spans="1:17" x14ac:dyDescent="0.25">
      <c r="B38" s="82" t="s">
        <v>16</v>
      </c>
      <c r="C38" s="83">
        <f>SUM(C5:C37)</f>
        <v>9956</v>
      </c>
      <c r="E38" s="183" t="s">
        <v>16</v>
      </c>
      <c r="F38" s="85">
        <f>SUM(F5:F37)</f>
        <v>1477501</v>
      </c>
      <c r="H38" s="5" t="s">
        <v>16</v>
      </c>
      <c r="I38" s="86">
        <f>SUM(I5:I37)</f>
        <v>6529.6200000000008</v>
      </c>
      <c r="J38" s="86"/>
      <c r="K38" s="87" t="s">
        <v>16</v>
      </c>
      <c r="L38" s="88">
        <f>SUM(L5:L37)</f>
        <v>97017</v>
      </c>
    </row>
    <row r="40" spans="1:17" ht="15.75" x14ac:dyDescent="0.25">
      <c r="A40" s="89"/>
      <c r="B40" s="90"/>
      <c r="C40" s="26"/>
      <c r="D40" s="91"/>
      <c r="E40" s="92"/>
      <c r="F40" s="67"/>
      <c r="H40" s="263" t="s">
        <v>17</v>
      </c>
      <c r="I40" s="264"/>
      <c r="J40" s="185"/>
      <c r="K40" s="265">
        <f>I38+L38</f>
        <v>103546.62</v>
      </c>
      <c r="L40" s="266"/>
    </row>
    <row r="41" spans="1:17" ht="15.75" x14ac:dyDescent="0.25">
      <c r="B41" s="94"/>
      <c r="C41" s="67"/>
      <c r="D41" s="279" t="s">
        <v>18</v>
      </c>
      <c r="E41" s="279"/>
      <c r="F41" s="95">
        <f>F38-K40</f>
        <v>1373954.38</v>
      </c>
      <c r="I41" s="96"/>
      <c r="J41" s="96"/>
    </row>
    <row r="42" spans="1:17" ht="15.75" x14ac:dyDescent="0.25">
      <c r="D42" s="280" t="s">
        <v>19</v>
      </c>
      <c r="E42" s="280"/>
      <c r="F42" s="95">
        <v>-1321124.3</v>
      </c>
      <c r="I42" s="96"/>
      <c r="J42" s="96" t="s">
        <v>20</v>
      </c>
    </row>
    <row r="43" spans="1:17" ht="15.75" thickBot="1" x14ac:dyDescent="0.3">
      <c r="D43" s="97"/>
      <c r="E43" s="98" t="s">
        <v>1</v>
      </c>
      <c r="F43" s="99"/>
    </row>
    <row r="44" spans="1:17" ht="15.75" thickTop="1" x14ac:dyDescent="0.25">
      <c r="C44" s="3" t="s">
        <v>20</v>
      </c>
      <c r="E44" s="89" t="s">
        <v>21</v>
      </c>
      <c r="F44" s="86">
        <f>SUM(F41:F43)</f>
        <v>52830.079999999842</v>
      </c>
      <c r="I44" s="281" t="s">
        <v>22</v>
      </c>
      <c r="J44" s="282"/>
      <c r="K44" s="285">
        <f>F48+L46</f>
        <v>216330.54999999984</v>
      </c>
      <c r="L44" s="286"/>
    </row>
    <row r="45" spans="1:17" ht="15.75" thickBot="1" x14ac:dyDescent="0.3">
      <c r="D45" s="100" t="s">
        <v>23</v>
      </c>
      <c r="E45" s="89" t="s">
        <v>24</v>
      </c>
      <c r="F45" s="86">
        <v>48537.55</v>
      </c>
      <c r="I45" s="283"/>
      <c r="J45" s="284"/>
      <c r="K45" s="287"/>
      <c r="L45" s="288"/>
    </row>
    <row r="46" spans="1:17" ht="17.25" thickTop="1" thickBot="1" x14ac:dyDescent="0.3">
      <c r="C46" s="85"/>
      <c r="D46" s="289" t="s">
        <v>25</v>
      </c>
      <c r="E46" s="289"/>
      <c r="F46" s="101">
        <v>114962.92</v>
      </c>
      <c r="I46" s="290"/>
      <c r="J46" s="290"/>
      <c r="K46" s="291"/>
      <c r="L46" s="102"/>
    </row>
    <row r="47" spans="1:17" ht="19.5" thickBot="1" x14ac:dyDescent="0.35">
      <c r="C47" s="85"/>
      <c r="D47" s="183"/>
      <c r="E47" s="183"/>
      <c r="F47" s="103"/>
      <c r="H47" s="104"/>
      <c r="I47" s="184" t="s">
        <v>26</v>
      </c>
      <c r="J47" s="184"/>
      <c r="K47" s="272">
        <f>-C4</f>
        <v>-170511.25</v>
      </c>
      <c r="L47" s="273"/>
    </row>
    <row r="48" spans="1:17" ht="17.25" thickTop="1" thickBot="1" x14ac:dyDescent="0.3">
      <c r="E48" s="106" t="s">
        <v>27</v>
      </c>
      <c r="F48" s="107">
        <f>F44+F45+F46</f>
        <v>216330.54999999984</v>
      </c>
    </row>
    <row r="49" spans="2:14" ht="19.5" thickBot="1" x14ac:dyDescent="0.35">
      <c r="B49"/>
      <c r="C49"/>
      <c r="D49" s="274"/>
      <c r="E49" s="274"/>
      <c r="F49" s="67"/>
      <c r="I49" s="275" t="s">
        <v>28</v>
      </c>
      <c r="J49" s="276"/>
      <c r="K49" s="277">
        <f>K44+K47</f>
        <v>45819.299999999843</v>
      </c>
      <c r="L49" s="278"/>
      <c r="M49" s="108"/>
      <c r="N49"/>
    </row>
    <row r="50" spans="2:14" x14ac:dyDescent="0.25">
      <c r="B50"/>
      <c r="C50"/>
      <c r="M50" s="108"/>
      <c r="N50"/>
    </row>
    <row r="51" spans="2:14" x14ac:dyDescent="0.25">
      <c r="B51"/>
      <c r="C51"/>
      <c r="N51"/>
    </row>
    <row r="52" spans="2:14" x14ac:dyDescent="0.25">
      <c r="B52"/>
      <c r="C52"/>
      <c r="F52"/>
      <c r="I52"/>
      <c r="J52"/>
      <c r="M52"/>
      <c r="N52"/>
    </row>
    <row r="53" spans="2:14" x14ac:dyDescent="0.25">
      <c r="B53"/>
      <c r="C53"/>
      <c r="N53"/>
    </row>
    <row r="54" spans="2:14" x14ac:dyDescent="0.25">
      <c r="M54" s="67"/>
      <c r="N54"/>
    </row>
    <row r="55" spans="2:14" x14ac:dyDescent="0.25">
      <c r="M55" s="67"/>
      <c r="N55"/>
    </row>
    <row r="56" spans="2:14" x14ac:dyDescent="0.25">
      <c r="M56" s="67"/>
      <c r="N56"/>
    </row>
    <row r="57" spans="2:14" x14ac:dyDescent="0.25">
      <c r="M57" s="67"/>
      <c r="N57"/>
    </row>
  </sheetData>
  <mergeCells count="17"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  <mergeCell ref="H40:I40"/>
    <mergeCell ref="K40:L40"/>
    <mergeCell ref="C1:K1"/>
    <mergeCell ref="E4:F4"/>
    <mergeCell ref="I4:L4"/>
    <mergeCell ref="L31:L32"/>
    <mergeCell ref="L33:L34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65"/>
  <sheetViews>
    <sheetView topLeftCell="A25" workbookViewId="0">
      <selection activeCell="C40" sqref="C40"/>
    </sheetView>
  </sheetViews>
  <sheetFormatPr baseColWidth="10" defaultRowHeight="15" x14ac:dyDescent="0.25"/>
  <cols>
    <col min="1" max="1" width="12.5703125" style="37" bestFit="1" customWidth="1"/>
    <col min="2" max="2" width="12.85546875" style="20" bestFit="1" customWidth="1"/>
    <col min="3" max="3" width="15.85546875" style="30" bestFit="1" customWidth="1"/>
    <col min="4" max="4" width="12.42578125" style="20" bestFit="1" customWidth="1"/>
    <col min="5" max="5" width="15.140625" style="30" bestFit="1" customWidth="1"/>
    <col min="6" max="6" width="18.5703125" style="30" bestFit="1" customWidth="1"/>
    <col min="7" max="7" width="11.42578125" style="20"/>
    <col min="11" max="11" width="15.28515625" customWidth="1"/>
    <col min="14" max="14" width="20.140625" bestFit="1" customWidth="1"/>
  </cols>
  <sheetData>
    <row r="1" spans="1:16" ht="19.5" thickBot="1" x14ac:dyDescent="0.35">
      <c r="B1" s="109" t="s">
        <v>103</v>
      </c>
      <c r="C1" s="110"/>
      <c r="D1" s="111"/>
      <c r="E1" s="110"/>
      <c r="K1" s="146" t="s">
        <v>46</v>
      </c>
      <c r="L1" s="147"/>
      <c r="M1" s="148"/>
      <c r="N1" s="149">
        <v>42411</v>
      </c>
      <c r="O1" s="150"/>
    </row>
    <row r="2" spans="1:16" ht="16.5" thickBot="1" x14ac:dyDescent="0.3">
      <c r="A2" s="112"/>
      <c r="B2" s="113"/>
      <c r="C2" s="114"/>
      <c r="D2" s="113"/>
      <c r="E2" s="114"/>
      <c r="F2" s="114"/>
      <c r="J2" s="151"/>
      <c r="K2" s="152"/>
      <c r="L2" s="151"/>
      <c r="M2" s="153"/>
      <c r="N2" s="152"/>
      <c r="O2" s="154"/>
    </row>
    <row r="3" spans="1:16" ht="15.75" x14ac:dyDescent="0.25">
      <c r="A3" s="115">
        <v>42401</v>
      </c>
      <c r="B3" s="123" t="s">
        <v>112</v>
      </c>
      <c r="C3" s="21">
        <v>55626.400000000001</v>
      </c>
      <c r="D3" s="117">
        <v>42411</v>
      </c>
      <c r="E3" s="21">
        <v>55626.400000000001</v>
      </c>
      <c r="F3" s="118">
        <f t="shared" ref="F3:F44" si="0">C3-E3</f>
        <v>0</v>
      </c>
      <c r="J3" s="155" t="s">
        <v>47</v>
      </c>
      <c r="K3" s="152" t="s">
        <v>48</v>
      </c>
      <c r="L3" s="151"/>
      <c r="M3" s="153" t="s">
        <v>49</v>
      </c>
      <c r="N3" s="152" t="s">
        <v>50</v>
      </c>
      <c r="O3" s="154"/>
    </row>
    <row r="4" spans="1:16" ht="15.75" x14ac:dyDescent="0.25">
      <c r="A4" s="119">
        <v>42403</v>
      </c>
      <c r="B4" s="123" t="s">
        <v>106</v>
      </c>
      <c r="C4" s="21">
        <v>13526.47</v>
      </c>
      <c r="D4" s="117">
        <v>42411</v>
      </c>
      <c r="E4" s="21">
        <v>13526.47</v>
      </c>
      <c r="F4" s="122">
        <f t="shared" si="0"/>
        <v>0</v>
      </c>
      <c r="J4" s="123" t="s">
        <v>87</v>
      </c>
      <c r="K4" s="21">
        <v>13447.53</v>
      </c>
      <c r="L4" s="156" t="s">
        <v>111</v>
      </c>
      <c r="M4" s="157">
        <v>3238156</v>
      </c>
      <c r="N4" s="158">
        <v>60428</v>
      </c>
      <c r="O4" s="159">
        <v>42369</v>
      </c>
    </row>
    <row r="5" spans="1:16" ht="15.75" x14ac:dyDescent="0.25">
      <c r="A5" s="119">
        <v>42403</v>
      </c>
      <c r="B5" s="123" t="s">
        <v>104</v>
      </c>
      <c r="C5" s="21">
        <v>135863</v>
      </c>
      <c r="D5" s="117">
        <v>42411</v>
      </c>
      <c r="E5" s="21">
        <v>135863</v>
      </c>
      <c r="F5" s="122">
        <f t="shared" si="0"/>
        <v>0</v>
      </c>
      <c r="J5" s="123" t="s">
        <v>94</v>
      </c>
      <c r="K5" s="21">
        <v>29941.8</v>
      </c>
      <c r="L5" s="160"/>
      <c r="M5" s="157" t="s">
        <v>52</v>
      </c>
      <c r="N5" s="158">
        <v>97647</v>
      </c>
      <c r="O5" s="159">
        <v>42376</v>
      </c>
    </row>
    <row r="6" spans="1:16" ht="15.75" x14ac:dyDescent="0.25">
      <c r="A6" s="119">
        <v>42402</v>
      </c>
      <c r="B6" s="123" t="s">
        <v>105</v>
      </c>
      <c r="C6" s="21">
        <v>530.4</v>
      </c>
      <c r="D6" s="117">
        <v>42411</v>
      </c>
      <c r="E6" s="21">
        <v>530.4</v>
      </c>
      <c r="F6" s="122">
        <f t="shared" si="0"/>
        <v>0</v>
      </c>
      <c r="J6" s="123" t="s">
        <v>95</v>
      </c>
      <c r="K6" s="21">
        <v>28839.3</v>
      </c>
      <c r="L6" s="160"/>
      <c r="M6" s="157" t="s">
        <v>52</v>
      </c>
      <c r="N6" s="158">
        <v>17000</v>
      </c>
      <c r="O6" s="159">
        <v>42376</v>
      </c>
      <c r="P6" s="14"/>
    </row>
    <row r="7" spans="1:16" ht="15.75" x14ac:dyDescent="0.25">
      <c r="A7" s="119">
        <v>42404</v>
      </c>
      <c r="B7" s="123" t="s">
        <v>107</v>
      </c>
      <c r="C7" s="21">
        <v>15903.6</v>
      </c>
      <c r="D7" s="117">
        <v>42411</v>
      </c>
      <c r="E7" s="21">
        <v>15903.6</v>
      </c>
      <c r="F7" s="122">
        <f t="shared" si="0"/>
        <v>0</v>
      </c>
      <c r="J7" s="123" t="s">
        <v>96</v>
      </c>
      <c r="K7" s="21">
        <v>59720.89</v>
      </c>
      <c r="L7" s="161"/>
      <c r="M7" s="157" t="s">
        <v>52</v>
      </c>
      <c r="N7" s="158">
        <v>40794</v>
      </c>
      <c r="O7" s="159">
        <v>42390</v>
      </c>
      <c r="P7" s="14">
        <v>42389</v>
      </c>
    </row>
    <row r="8" spans="1:16" ht="15.75" x14ac:dyDescent="0.25">
      <c r="A8" s="119">
        <v>42406</v>
      </c>
      <c r="B8" s="123" t="s">
        <v>108</v>
      </c>
      <c r="C8" s="26">
        <v>145223.54</v>
      </c>
      <c r="D8" s="117">
        <v>42411</v>
      </c>
      <c r="E8" s="26">
        <v>145223.54</v>
      </c>
      <c r="F8" s="122">
        <f t="shared" si="0"/>
        <v>0</v>
      </c>
      <c r="J8" s="123" t="s">
        <v>98</v>
      </c>
      <c r="K8" s="21">
        <v>7469</v>
      </c>
      <c r="L8" s="160"/>
      <c r="M8" s="157" t="s">
        <v>52</v>
      </c>
      <c r="N8" s="162">
        <v>39452</v>
      </c>
      <c r="O8" s="163">
        <v>42391</v>
      </c>
      <c r="P8" s="14">
        <v>42390</v>
      </c>
    </row>
    <row r="9" spans="1:16" ht="15.75" x14ac:dyDescent="0.25">
      <c r="A9" s="119">
        <v>42407</v>
      </c>
      <c r="B9" s="123" t="s">
        <v>109</v>
      </c>
      <c r="C9" s="26">
        <v>1665</v>
      </c>
      <c r="D9" s="117">
        <v>42411</v>
      </c>
      <c r="E9" s="26">
        <v>1665</v>
      </c>
      <c r="F9" s="122">
        <f t="shared" si="0"/>
        <v>0</v>
      </c>
      <c r="J9" s="123" t="s">
        <v>97</v>
      </c>
      <c r="K9" s="21">
        <v>96222.69</v>
      </c>
      <c r="L9" s="160"/>
      <c r="M9" s="157" t="s">
        <v>52</v>
      </c>
      <c r="N9" s="162">
        <v>42.5</v>
      </c>
      <c r="O9" s="163">
        <v>42388</v>
      </c>
      <c r="P9" s="14">
        <v>42390</v>
      </c>
    </row>
    <row r="10" spans="1:16" ht="15.75" x14ac:dyDescent="0.25">
      <c r="A10" s="124">
        <v>42408</v>
      </c>
      <c r="B10" s="123" t="s">
        <v>110</v>
      </c>
      <c r="C10" s="26">
        <v>2664</v>
      </c>
      <c r="D10" s="117">
        <v>42411</v>
      </c>
      <c r="E10" s="26">
        <v>2664</v>
      </c>
      <c r="F10" s="122">
        <f t="shared" si="0"/>
        <v>0</v>
      </c>
      <c r="J10" s="123" t="s">
        <v>99</v>
      </c>
      <c r="K10" s="26">
        <v>57210.3</v>
      </c>
      <c r="L10" s="160"/>
      <c r="M10" s="157" t="s">
        <v>52</v>
      </c>
      <c r="N10" s="162">
        <v>83170</v>
      </c>
      <c r="O10" s="163">
        <v>42395</v>
      </c>
      <c r="P10" s="14">
        <v>42391</v>
      </c>
    </row>
    <row r="11" spans="1:16" ht="15.75" x14ac:dyDescent="0.25">
      <c r="A11" s="119">
        <v>42409</v>
      </c>
      <c r="B11" s="125" t="s">
        <v>113</v>
      </c>
      <c r="C11" s="26">
        <v>82994.34</v>
      </c>
      <c r="D11" s="117" t="s">
        <v>127</v>
      </c>
      <c r="E11" s="26">
        <f>79946.68+3047.66</f>
        <v>82994.34</v>
      </c>
      <c r="F11" s="127">
        <f t="shared" si="0"/>
        <v>0</v>
      </c>
      <c r="J11" s="123" t="s">
        <v>100</v>
      </c>
      <c r="K11" s="26">
        <v>52572.05</v>
      </c>
      <c r="L11" s="160"/>
      <c r="M11" s="157" t="s">
        <v>52</v>
      </c>
      <c r="N11" s="162">
        <v>900</v>
      </c>
      <c r="O11" s="163">
        <v>42404</v>
      </c>
      <c r="P11" s="14">
        <v>42380</v>
      </c>
    </row>
    <row r="12" spans="1:16" ht="15.75" x14ac:dyDescent="0.25">
      <c r="A12" s="119">
        <v>42411</v>
      </c>
      <c r="B12" s="125" t="s">
        <v>116</v>
      </c>
      <c r="C12" s="26">
        <v>104091.66</v>
      </c>
      <c r="D12" s="117">
        <v>42418</v>
      </c>
      <c r="E12" s="26">
        <v>104091.66</v>
      </c>
      <c r="F12" s="127">
        <f t="shared" si="0"/>
        <v>0</v>
      </c>
      <c r="J12" s="123" t="s">
        <v>101</v>
      </c>
      <c r="K12" s="26">
        <v>128791.35</v>
      </c>
      <c r="L12" s="160"/>
      <c r="M12" s="157" t="s">
        <v>52</v>
      </c>
      <c r="N12" s="162">
        <v>29378.5</v>
      </c>
      <c r="O12" s="163">
        <v>42396</v>
      </c>
      <c r="P12" s="14">
        <v>42394</v>
      </c>
    </row>
    <row r="13" spans="1:16" ht="15.75" x14ac:dyDescent="0.25">
      <c r="A13" s="119">
        <v>42415</v>
      </c>
      <c r="B13" s="125" t="s">
        <v>125</v>
      </c>
      <c r="C13" s="26">
        <v>59107.199999999997</v>
      </c>
      <c r="D13" s="117">
        <v>42418</v>
      </c>
      <c r="E13" s="26">
        <v>59107.199999999997</v>
      </c>
      <c r="F13" s="127">
        <f t="shared" si="0"/>
        <v>0</v>
      </c>
      <c r="J13" s="123" t="s">
        <v>112</v>
      </c>
      <c r="K13" s="21">
        <v>55626.400000000001</v>
      </c>
      <c r="L13" s="160"/>
      <c r="M13" s="157" t="s">
        <v>52</v>
      </c>
      <c r="N13" s="162">
        <v>29308</v>
      </c>
      <c r="O13" s="163">
        <v>42397</v>
      </c>
      <c r="P13" s="14">
        <v>42396</v>
      </c>
    </row>
    <row r="14" spans="1:16" ht="15.75" x14ac:dyDescent="0.25">
      <c r="A14" s="119">
        <v>42416</v>
      </c>
      <c r="B14" s="125" t="s">
        <v>126</v>
      </c>
      <c r="C14" s="26">
        <v>40796.21</v>
      </c>
      <c r="D14" s="121" t="s">
        <v>130</v>
      </c>
      <c r="E14" s="26">
        <f>34178.48+6617.73</f>
        <v>40796.210000000006</v>
      </c>
      <c r="F14" s="127">
        <f t="shared" si="0"/>
        <v>0</v>
      </c>
      <c r="J14" s="123" t="s">
        <v>106</v>
      </c>
      <c r="K14" s="21">
        <v>13526.47</v>
      </c>
      <c r="L14" s="160"/>
      <c r="M14" s="157" t="s">
        <v>52</v>
      </c>
      <c r="N14" s="162">
        <v>43510</v>
      </c>
      <c r="O14" s="163">
        <v>42398</v>
      </c>
      <c r="P14" s="14">
        <v>42397</v>
      </c>
    </row>
    <row r="15" spans="1:16" ht="15.75" x14ac:dyDescent="0.25">
      <c r="A15" s="119">
        <v>42418</v>
      </c>
      <c r="B15" s="125" t="s">
        <v>128</v>
      </c>
      <c r="C15" s="26">
        <v>130674.79</v>
      </c>
      <c r="D15" s="121" t="s">
        <v>133</v>
      </c>
      <c r="E15" s="26">
        <f>112926.77+17748.02</f>
        <v>130674.79000000001</v>
      </c>
      <c r="F15" s="127">
        <f t="shared" si="0"/>
        <v>0</v>
      </c>
      <c r="J15" s="123" t="s">
        <v>104</v>
      </c>
      <c r="K15" s="21">
        <v>135863</v>
      </c>
      <c r="L15" s="160"/>
      <c r="M15" s="157">
        <v>3261901</v>
      </c>
      <c r="N15" s="162">
        <v>80245.5</v>
      </c>
      <c r="O15" s="163">
        <v>42398</v>
      </c>
    </row>
    <row r="16" spans="1:16" ht="15.75" x14ac:dyDescent="0.25">
      <c r="A16" s="124">
        <v>42419</v>
      </c>
      <c r="B16" s="123" t="s">
        <v>129</v>
      </c>
      <c r="C16" s="21">
        <v>2425</v>
      </c>
      <c r="D16" s="117">
        <v>42420</v>
      </c>
      <c r="E16" s="21">
        <v>2425</v>
      </c>
      <c r="F16" s="127">
        <f t="shared" si="0"/>
        <v>0</v>
      </c>
      <c r="J16" s="123" t="s">
        <v>105</v>
      </c>
      <c r="K16" s="21">
        <v>530.4</v>
      </c>
      <c r="L16" s="164"/>
      <c r="M16" s="157">
        <v>3261905</v>
      </c>
      <c r="N16" s="158">
        <v>91470</v>
      </c>
      <c r="O16" s="159">
        <v>42399</v>
      </c>
    </row>
    <row r="17" spans="1:16" ht="15.75" x14ac:dyDescent="0.25">
      <c r="A17" s="124">
        <v>42412</v>
      </c>
      <c r="B17" s="123" t="s">
        <v>158</v>
      </c>
      <c r="C17" s="21">
        <v>12618.76</v>
      </c>
      <c r="D17" s="191">
        <v>42432</v>
      </c>
      <c r="E17" s="36">
        <v>12618.76</v>
      </c>
      <c r="F17" s="127">
        <f t="shared" ref="F17:F27" si="1">C17-E17</f>
        <v>0</v>
      </c>
      <c r="J17" s="123" t="s">
        <v>107</v>
      </c>
      <c r="K17" s="21">
        <v>15903.6</v>
      </c>
      <c r="L17" s="164"/>
      <c r="M17" s="157">
        <v>3261906</v>
      </c>
      <c r="N17" s="162">
        <v>59619</v>
      </c>
      <c r="O17" s="163">
        <v>42400</v>
      </c>
    </row>
    <row r="18" spans="1:16" ht="15.75" x14ac:dyDescent="0.25">
      <c r="A18" s="124">
        <v>42412</v>
      </c>
      <c r="B18" s="123" t="s">
        <v>159</v>
      </c>
      <c r="C18" s="21">
        <v>105.6</v>
      </c>
      <c r="D18" s="191">
        <v>42432</v>
      </c>
      <c r="E18" s="36">
        <v>105.6</v>
      </c>
      <c r="F18" s="127">
        <f t="shared" si="1"/>
        <v>0</v>
      </c>
      <c r="J18" s="123" t="s">
        <v>108</v>
      </c>
      <c r="K18" s="26">
        <v>145223.54</v>
      </c>
      <c r="L18" s="164"/>
      <c r="M18" s="157">
        <v>3261904</v>
      </c>
      <c r="N18" s="162">
        <v>50303</v>
      </c>
      <c r="O18" s="163">
        <v>42401</v>
      </c>
    </row>
    <row r="19" spans="1:16" ht="15.75" x14ac:dyDescent="0.25">
      <c r="A19" s="124">
        <v>42413</v>
      </c>
      <c r="B19" s="123" t="s">
        <v>160</v>
      </c>
      <c r="C19" s="21">
        <v>119002.3</v>
      </c>
      <c r="D19" s="191">
        <v>42432</v>
      </c>
      <c r="E19" s="36">
        <v>119002.3</v>
      </c>
      <c r="F19" s="127">
        <f t="shared" si="1"/>
        <v>0</v>
      </c>
      <c r="J19" s="123" t="s">
        <v>109</v>
      </c>
      <c r="K19" s="26">
        <v>1665</v>
      </c>
      <c r="L19" s="164"/>
      <c r="M19" s="157" t="s">
        <v>52</v>
      </c>
      <c r="N19" s="162">
        <v>41933</v>
      </c>
      <c r="O19" s="163">
        <v>42403</v>
      </c>
      <c r="P19" s="14">
        <v>42402</v>
      </c>
    </row>
    <row r="20" spans="1:16" ht="15.75" x14ac:dyDescent="0.25">
      <c r="A20" s="124">
        <v>42420</v>
      </c>
      <c r="B20" s="123" t="s">
        <v>131</v>
      </c>
      <c r="C20" s="21">
        <v>134065.49</v>
      </c>
      <c r="D20" s="129" t="s">
        <v>161</v>
      </c>
      <c r="E20" s="36">
        <f>123537.48+10528.01</f>
        <v>134065.49</v>
      </c>
      <c r="F20" s="127">
        <f t="shared" si="1"/>
        <v>0</v>
      </c>
      <c r="J20" s="123" t="s">
        <v>110</v>
      </c>
      <c r="K20" s="26">
        <v>2664</v>
      </c>
      <c r="L20" s="164"/>
      <c r="M20" s="157" t="s">
        <v>52</v>
      </c>
      <c r="N20" s="162">
        <v>49690</v>
      </c>
      <c r="O20" s="163">
        <v>42404</v>
      </c>
      <c r="P20" s="14">
        <v>42403</v>
      </c>
    </row>
    <row r="21" spans="1:16" ht="15.75" x14ac:dyDescent="0.25">
      <c r="A21" s="124">
        <v>42423</v>
      </c>
      <c r="B21" s="123" t="s">
        <v>132</v>
      </c>
      <c r="C21" s="21">
        <v>65431.35</v>
      </c>
      <c r="D21" s="191">
        <v>42432</v>
      </c>
      <c r="E21" s="36">
        <v>65431.35</v>
      </c>
      <c r="F21" s="127">
        <f t="shared" si="1"/>
        <v>0</v>
      </c>
      <c r="J21" s="125" t="s">
        <v>113</v>
      </c>
      <c r="K21" s="26">
        <v>79346.679999999993</v>
      </c>
      <c r="L21" s="164" t="s">
        <v>60</v>
      </c>
      <c r="M21" s="157" t="s">
        <v>52</v>
      </c>
      <c r="N21" s="162">
        <v>67723</v>
      </c>
      <c r="O21" s="163">
        <v>42406</v>
      </c>
      <c r="P21" s="14">
        <v>42405</v>
      </c>
    </row>
    <row r="22" spans="1:16" ht="15.75" x14ac:dyDescent="0.25">
      <c r="A22" s="124">
        <v>42424</v>
      </c>
      <c r="B22" s="123" t="s">
        <v>149</v>
      </c>
      <c r="C22" s="21">
        <v>12741.8</v>
      </c>
      <c r="D22" s="191">
        <v>42432</v>
      </c>
      <c r="E22" s="36">
        <v>12741.8</v>
      </c>
      <c r="F22" s="127">
        <f t="shared" si="1"/>
        <v>0</v>
      </c>
      <c r="J22" s="125"/>
      <c r="K22" s="26"/>
      <c r="L22" s="164"/>
      <c r="M22" s="157" t="s">
        <v>52</v>
      </c>
      <c r="N22" s="162">
        <v>41950.5</v>
      </c>
      <c r="O22" s="163">
        <v>42409</v>
      </c>
      <c r="P22" s="14">
        <v>42408</v>
      </c>
    </row>
    <row r="23" spans="1:16" ht="15.75" x14ac:dyDescent="0.25">
      <c r="A23" s="124">
        <v>42425</v>
      </c>
      <c r="B23" s="123" t="s">
        <v>150</v>
      </c>
      <c r="C23" s="21">
        <v>64164.800000000003</v>
      </c>
      <c r="D23" s="191">
        <v>42432</v>
      </c>
      <c r="E23" s="36">
        <v>64164.800000000003</v>
      </c>
      <c r="F23" s="127">
        <f t="shared" si="1"/>
        <v>0</v>
      </c>
      <c r="J23" s="123"/>
      <c r="K23" s="21"/>
      <c r="L23" s="164"/>
      <c r="M23" s="157"/>
      <c r="N23" s="162">
        <v>0</v>
      </c>
      <c r="O23" s="163"/>
      <c r="P23" s="14"/>
    </row>
    <row r="24" spans="1:16" ht="15.75" x14ac:dyDescent="0.25">
      <c r="A24" s="124">
        <v>42426</v>
      </c>
      <c r="B24" s="123" t="s">
        <v>151</v>
      </c>
      <c r="C24" s="21">
        <v>14097.5</v>
      </c>
      <c r="D24" s="191">
        <v>42432</v>
      </c>
      <c r="E24" s="36">
        <v>14097.5</v>
      </c>
      <c r="F24" s="127">
        <f t="shared" si="1"/>
        <v>0</v>
      </c>
      <c r="J24" s="128"/>
      <c r="K24" s="26"/>
      <c r="L24" s="164"/>
      <c r="M24" s="157"/>
      <c r="N24" s="162"/>
      <c r="O24" s="163"/>
    </row>
    <row r="25" spans="1:16" x14ac:dyDescent="0.25">
      <c r="A25" s="124">
        <v>42427</v>
      </c>
      <c r="B25" s="123" t="s">
        <v>152</v>
      </c>
      <c r="C25" s="21">
        <v>96805.29</v>
      </c>
      <c r="D25" s="191">
        <v>42432</v>
      </c>
      <c r="E25" s="36">
        <v>96805.29</v>
      </c>
      <c r="F25" s="127">
        <f t="shared" si="1"/>
        <v>0</v>
      </c>
      <c r="J25" s="165"/>
      <c r="K25" s="166">
        <f>SUM(K4:K24)</f>
        <v>924564</v>
      </c>
      <c r="L25" s="165"/>
      <c r="M25" s="165"/>
      <c r="N25" s="166">
        <f>SUM(N4:N24)</f>
        <v>924564</v>
      </c>
      <c r="O25" s="165"/>
    </row>
    <row r="26" spans="1:16" x14ac:dyDescent="0.25">
      <c r="A26" s="124">
        <v>42428</v>
      </c>
      <c r="B26" s="123" t="s">
        <v>153</v>
      </c>
      <c r="C26" s="21">
        <v>6537.6</v>
      </c>
      <c r="D26" s="191">
        <v>42432</v>
      </c>
      <c r="E26" s="36">
        <v>6537.6</v>
      </c>
      <c r="F26" s="127">
        <f t="shared" si="1"/>
        <v>0</v>
      </c>
    </row>
    <row r="27" spans="1:16" x14ac:dyDescent="0.25">
      <c r="A27" s="124">
        <v>42428</v>
      </c>
      <c r="B27" s="123" t="s">
        <v>154</v>
      </c>
      <c r="C27" s="21">
        <v>4462.2</v>
      </c>
      <c r="D27" s="191">
        <v>42432</v>
      </c>
      <c r="E27" s="36">
        <v>4462.2</v>
      </c>
      <c r="F27" s="127">
        <f t="shared" si="1"/>
        <v>0</v>
      </c>
    </row>
    <row r="28" spans="1:16" ht="15.75" thickBot="1" x14ac:dyDescent="0.3">
      <c r="A28" s="124"/>
      <c r="B28" s="123"/>
      <c r="C28" s="21"/>
      <c r="D28" s="191"/>
      <c r="E28" s="36"/>
      <c r="F28" s="127">
        <f t="shared" si="0"/>
        <v>0</v>
      </c>
    </row>
    <row r="29" spans="1:16" ht="19.5" thickBot="1" x14ac:dyDescent="0.35">
      <c r="A29" s="124"/>
      <c r="B29" s="123"/>
      <c r="C29" s="21"/>
      <c r="D29" s="117"/>
      <c r="E29" s="21"/>
      <c r="F29" s="127">
        <f t="shared" si="0"/>
        <v>0</v>
      </c>
      <c r="K29" s="146" t="s">
        <v>46</v>
      </c>
      <c r="L29" s="147"/>
      <c r="M29" s="148"/>
      <c r="N29" s="195">
        <v>42418</v>
      </c>
      <c r="O29" s="150"/>
    </row>
    <row r="30" spans="1:16" ht="15.75" x14ac:dyDescent="0.25">
      <c r="A30" s="124"/>
      <c r="B30" s="123"/>
      <c r="C30" s="21"/>
      <c r="D30" s="117"/>
      <c r="E30" s="21"/>
      <c r="F30" s="127">
        <f t="shared" si="0"/>
        <v>0</v>
      </c>
      <c r="J30" s="151"/>
      <c r="K30" s="152"/>
      <c r="L30" s="151"/>
      <c r="M30" s="153"/>
      <c r="N30" s="152"/>
      <c r="O30" s="154"/>
    </row>
    <row r="31" spans="1:16" ht="15.75" x14ac:dyDescent="0.25">
      <c r="A31" s="124"/>
      <c r="B31" s="123"/>
      <c r="C31" s="21"/>
      <c r="D31" s="121"/>
      <c r="E31" s="36"/>
      <c r="F31" s="127">
        <f t="shared" si="0"/>
        <v>0</v>
      </c>
      <c r="J31" s="155" t="s">
        <v>47</v>
      </c>
      <c r="K31" s="152" t="s">
        <v>48</v>
      </c>
      <c r="L31" s="151"/>
      <c r="M31" s="153" t="s">
        <v>49</v>
      </c>
      <c r="N31" s="152" t="s">
        <v>50</v>
      </c>
      <c r="O31" s="154"/>
    </row>
    <row r="32" spans="1:16" ht="15.75" x14ac:dyDescent="0.25">
      <c r="A32" s="124"/>
      <c r="B32" s="123"/>
      <c r="C32" s="21"/>
      <c r="D32" s="129"/>
      <c r="E32" s="36"/>
      <c r="F32" s="127">
        <f t="shared" si="0"/>
        <v>0</v>
      </c>
      <c r="J32" s="123" t="s">
        <v>113</v>
      </c>
      <c r="K32" s="21">
        <v>3047.66</v>
      </c>
      <c r="L32" s="156" t="s">
        <v>51</v>
      </c>
      <c r="M32" s="157">
        <v>3261911</v>
      </c>
      <c r="N32" s="158">
        <v>43575</v>
      </c>
      <c r="O32" s="159">
        <v>42404</v>
      </c>
    </row>
    <row r="33" spans="1:16" ht="15.75" x14ac:dyDescent="0.25">
      <c r="A33" s="124"/>
      <c r="B33" s="123"/>
      <c r="C33" s="26"/>
      <c r="D33" s="130"/>
      <c r="E33" s="131"/>
      <c r="F33" s="127">
        <f t="shared" si="0"/>
        <v>0</v>
      </c>
      <c r="J33" s="125" t="s">
        <v>116</v>
      </c>
      <c r="K33" s="26">
        <v>104091.66</v>
      </c>
      <c r="L33" s="160"/>
      <c r="M33" s="157" t="s">
        <v>52</v>
      </c>
      <c r="N33" s="158">
        <v>34810</v>
      </c>
      <c r="O33" s="159">
        <v>42410</v>
      </c>
      <c r="P33" s="14">
        <v>42409</v>
      </c>
    </row>
    <row r="34" spans="1:16" ht="15.75" x14ac:dyDescent="0.25">
      <c r="A34" s="132"/>
      <c r="B34" s="123"/>
      <c r="C34" s="26"/>
      <c r="D34" s="130"/>
      <c r="E34" s="131"/>
      <c r="F34" s="127">
        <f>C34-E34</f>
        <v>0</v>
      </c>
      <c r="J34" s="125" t="s">
        <v>125</v>
      </c>
      <c r="K34" s="26">
        <v>59107.199999999997</v>
      </c>
      <c r="L34" s="160"/>
      <c r="M34" s="157" t="s">
        <v>52</v>
      </c>
      <c r="N34" s="158">
        <v>70060</v>
      </c>
      <c r="O34" s="159">
        <v>42413</v>
      </c>
      <c r="P34" s="14">
        <v>42412</v>
      </c>
    </row>
    <row r="35" spans="1:16" ht="15.75" x14ac:dyDescent="0.25">
      <c r="A35" s="124"/>
      <c r="B35" s="123"/>
      <c r="C35" s="26"/>
      <c r="D35" s="133"/>
      <c r="E35" s="134"/>
      <c r="F35" s="127">
        <f>C35-E35</f>
        <v>0</v>
      </c>
      <c r="J35" s="125" t="s">
        <v>126</v>
      </c>
      <c r="K35" s="26">
        <v>34178.480000000003</v>
      </c>
      <c r="L35" s="161" t="s">
        <v>91</v>
      </c>
      <c r="M35" s="157" t="s">
        <v>52</v>
      </c>
      <c r="N35" s="158">
        <v>51980</v>
      </c>
      <c r="O35" s="159">
        <v>42416</v>
      </c>
      <c r="P35" s="14">
        <v>42415</v>
      </c>
    </row>
    <row r="36" spans="1:16" ht="15.75" x14ac:dyDescent="0.25">
      <c r="A36" s="124"/>
      <c r="B36" s="123"/>
      <c r="C36" s="26"/>
      <c r="D36" s="133"/>
      <c r="E36" s="134"/>
      <c r="F36" s="127">
        <f>C36-E36</f>
        <v>0</v>
      </c>
      <c r="J36" s="123"/>
      <c r="K36" s="21">
        <v>0</v>
      </c>
      <c r="L36" s="160"/>
      <c r="M36" s="157" t="s">
        <v>52</v>
      </c>
      <c r="N36" s="162">
        <v>0</v>
      </c>
      <c r="O36" s="163"/>
    </row>
    <row r="37" spans="1:16" ht="16.5" thickBot="1" x14ac:dyDescent="0.3">
      <c r="A37" s="124"/>
      <c r="B37" s="123"/>
      <c r="C37" s="26"/>
      <c r="D37" s="121"/>
      <c r="E37" s="21"/>
      <c r="F37" s="127">
        <f>C37-E37</f>
        <v>0</v>
      </c>
      <c r="J37" s="202"/>
      <c r="K37" s="142">
        <v>0</v>
      </c>
      <c r="L37" s="203"/>
      <c r="M37" s="204" t="s">
        <v>52</v>
      </c>
      <c r="N37" s="205"/>
      <c r="O37" s="206"/>
    </row>
    <row r="38" spans="1:16" ht="15.75" thickTop="1" x14ac:dyDescent="0.25">
      <c r="A38" s="135"/>
      <c r="B38" s="126"/>
      <c r="C38" s="21"/>
      <c r="D38" s="133"/>
      <c r="E38" s="134"/>
      <c r="F38" s="136">
        <f>C38-E38</f>
        <v>0</v>
      </c>
      <c r="J38" s="196"/>
      <c r="K38" s="26">
        <f>SUM(K32:K37)</f>
        <v>200425.00000000003</v>
      </c>
      <c r="L38" s="26"/>
      <c r="M38" s="26"/>
      <c r="N38" s="26">
        <f>SUM(N32:N37)</f>
        <v>200425</v>
      </c>
      <c r="O38" s="200"/>
    </row>
    <row r="39" spans="1:16" ht="15.75" x14ac:dyDescent="0.25">
      <c r="A39" s="137"/>
      <c r="B39" s="128"/>
      <c r="C39" s="26"/>
      <c r="D39" s="138"/>
      <c r="E39" s="26"/>
      <c r="F39" s="136">
        <f t="shared" si="0"/>
        <v>0</v>
      </c>
      <c r="J39" s="196"/>
      <c r="K39" s="26"/>
      <c r="L39" s="197"/>
      <c r="M39" s="198"/>
      <c r="N39" s="199"/>
      <c r="O39" s="200"/>
    </row>
    <row r="40" spans="1:16" ht="16.5" thickBot="1" x14ac:dyDescent="0.3">
      <c r="A40" s="137"/>
      <c r="B40" s="128"/>
      <c r="C40" s="26"/>
      <c r="D40" s="138"/>
      <c r="E40" s="26"/>
      <c r="F40" s="136">
        <f t="shared" si="0"/>
        <v>0</v>
      </c>
      <c r="J40" s="196"/>
      <c r="K40" s="26"/>
      <c r="L40" s="197"/>
      <c r="M40" s="198"/>
      <c r="N40" s="199"/>
      <c r="O40" s="200"/>
    </row>
    <row r="41" spans="1:16" ht="19.5" thickBot="1" x14ac:dyDescent="0.35">
      <c r="A41" s="119"/>
      <c r="B41" s="139"/>
      <c r="C41" s="26"/>
      <c r="D41" s="138"/>
      <c r="E41" s="26"/>
      <c r="F41" s="136">
        <f t="shared" si="0"/>
        <v>0</v>
      </c>
      <c r="K41" s="146" t="s">
        <v>46</v>
      </c>
      <c r="L41" s="147"/>
      <c r="M41" s="148"/>
      <c r="N41" s="207">
        <v>42420</v>
      </c>
      <c r="O41" s="150"/>
    </row>
    <row r="42" spans="1:16" ht="15.75" x14ac:dyDescent="0.25">
      <c r="A42" s="119"/>
      <c r="B42" s="140"/>
      <c r="C42" s="26"/>
      <c r="D42" s="43"/>
      <c r="E42" s="26"/>
      <c r="F42" s="136">
        <f t="shared" si="0"/>
        <v>0</v>
      </c>
      <c r="J42" s="151"/>
      <c r="K42" s="152"/>
      <c r="L42" s="151"/>
      <c r="M42" s="153"/>
      <c r="N42" s="152"/>
      <c r="O42" s="154"/>
    </row>
    <row r="43" spans="1:16" ht="15.75" x14ac:dyDescent="0.25">
      <c r="A43" s="119"/>
      <c r="B43" s="140"/>
      <c r="C43" s="26"/>
      <c r="D43" s="43"/>
      <c r="E43" s="26"/>
      <c r="F43" s="136">
        <f t="shared" si="0"/>
        <v>0</v>
      </c>
      <c r="J43" s="155" t="s">
        <v>47</v>
      </c>
      <c r="K43" s="152" t="s">
        <v>48</v>
      </c>
      <c r="L43" s="151"/>
      <c r="M43" s="153" t="s">
        <v>49</v>
      </c>
      <c r="N43" s="152" t="s">
        <v>50</v>
      </c>
      <c r="O43" s="154"/>
    </row>
    <row r="44" spans="1:16" ht="16.5" thickBot="1" x14ac:dyDescent="0.3">
      <c r="B44" s="141"/>
      <c r="C44" s="142">
        <v>0</v>
      </c>
      <c r="D44" s="143"/>
      <c r="E44" s="144">
        <v>0</v>
      </c>
      <c r="F44" s="136">
        <f t="shared" si="0"/>
        <v>0</v>
      </c>
      <c r="J44" s="123" t="s">
        <v>126</v>
      </c>
      <c r="K44" s="21">
        <v>6617.73</v>
      </c>
      <c r="L44" s="156" t="s">
        <v>51</v>
      </c>
      <c r="M44" s="157" t="s">
        <v>52</v>
      </c>
      <c r="N44" s="158">
        <v>35953</v>
      </c>
      <c r="O44" s="159">
        <v>42411</v>
      </c>
    </row>
    <row r="45" spans="1:16" ht="16.5" thickTop="1" x14ac:dyDescent="0.25">
      <c r="B45" s="37"/>
      <c r="C45" s="21">
        <f>SUM(C3:C44)</f>
        <v>1321124.3000000003</v>
      </c>
      <c r="D45" s="145"/>
      <c r="E45" s="30">
        <f>SUM(E3:E44)</f>
        <v>1321124.3000000003</v>
      </c>
      <c r="F45" s="30">
        <f>SUM(F3:F44)</f>
        <v>0</v>
      </c>
      <c r="J45" s="125" t="s">
        <v>128</v>
      </c>
      <c r="K45" s="26">
        <v>112926.77</v>
      </c>
      <c r="L45" s="160" t="s">
        <v>91</v>
      </c>
      <c r="M45" s="157" t="s">
        <v>52</v>
      </c>
      <c r="N45" s="158">
        <v>43052.5</v>
      </c>
      <c r="O45" s="159">
        <v>42417</v>
      </c>
    </row>
    <row r="46" spans="1:16" ht="15.75" x14ac:dyDescent="0.25">
      <c r="A46" s="20"/>
      <c r="J46" s="123" t="s">
        <v>129</v>
      </c>
      <c r="K46" s="21">
        <v>2425</v>
      </c>
      <c r="L46" s="160"/>
      <c r="M46" s="157" t="s">
        <v>52</v>
      </c>
      <c r="N46" s="158">
        <v>42964</v>
      </c>
      <c r="O46" s="159">
        <v>42415</v>
      </c>
    </row>
    <row r="47" spans="1:16" ht="15.75" x14ac:dyDescent="0.25">
      <c r="A47" s="20"/>
      <c r="J47" s="125"/>
      <c r="K47" s="26">
        <v>0</v>
      </c>
      <c r="L47" s="161"/>
      <c r="M47" s="157" t="s">
        <v>52</v>
      </c>
      <c r="N47" s="158"/>
      <c r="O47" s="159"/>
    </row>
    <row r="48" spans="1:16" ht="15.75" x14ac:dyDescent="0.25">
      <c r="A48" s="20"/>
      <c r="J48" s="123"/>
      <c r="K48" s="21">
        <v>0</v>
      </c>
      <c r="L48" s="160"/>
      <c r="M48" s="157" t="s">
        <v>52</v>
      </c>
      <c r="N48" s="162">
        <v>0</v>
      </c>
      <c r="O48" s="163"/>
    </row>
    <row r="49" spans="1:16" ht="16.5" thickBot="1" x14ac:dyDescent="0.3">
      <c r="A49" s="20"/>
      <c r="J49" s="202"/>
      <c r="K49" s="142">
        <v>0</v>
      </c>
      <c r="L49" s="203"/>
      <c r="M49" s="204" t="s">
        <v>52</v>
      </c>
      <c r="N49" s="205"/>
      <c r="O49" s="206"/>
    </row>
    <row r="50" spans="1:16" ht="15.75" thickTop="1" x14ac:dyDescent="0.25">
      <c r="A50" s="20"/>
      <c r="C50" s="20"/>
      <c r="E50" s="20"/>
      <c r="F50" s="20"/>
      <c r="J50" s="196"/>
      <c r="K50" s="26">
        <f>SUM(K44:K49)</f>
        <v>121969.5</v>
      </c>
      <c r="L50" s="26"/>
      <c r="M50" s="26"/>
      <c r="N50" s="26">
        <f>SUM(N44:N49)</f>
        <v>121969.5</v>
      </c>
      <c r="O50" s="200"/>
    </row>
    <row r="51" spans="1:16" ht="15.75" x14ac:dyDescent="0.25">
      <c r="A51" s="20"/>
      <c r="C51" s="20"/>
      <c r="E51" s="20"/>
      <c r="F51" s="20"/>
      <c r="J51" s="196"/>
      <c r="K51" s="26"/>
      <c r="L51" s="43"/>
      <c r="M51" s="198"/>
      <c r="N51" s="199"/>
      <c r="O51" s="200"/>
    </row>
    <row r="52" spans="1:16" ht="15.75" x14ac:dyDescent="0.25">
      <c r="A52" s="20"/>
      <c r="C52" s="20"/>
      <c r="E52" s="20"/>
      <c r="F52" s="20"/>
      <c r="J52" s="201"/>
      <c r="K52" s="26"/>
      <c r="L52" s="43"/>
      <c r="M52" s="198"/>
      <c r="N52" s="199"/>
      <c r="O52" s="200"/>
    </row>
    <row r="53" spans="1:16" ht="15.75" thickBot="1" x14ac:dyDescent="0.3">
      <c r="A53" s="20"/>
      <c r="C53" s="20"/>
      <c r="E53" s="20"/>
      <c r="F53" s="20"/>
      <c r="J53" s="92"/>
      <c r="K53" s="95"/>
      <c r="L53" s="92"/>
      <c r="M53" s="92"/>
      <c r="N53" s="95"/>
      <c r="O53" s="92"/>
    </row>
    <row r="54" spans="1:16" ht="19.5" thickBot="1" x14ac:dyDescent="0.35">
      <c r="A54" s="20"/>
      <c r="C54" s="20"/>
      <c r="E54" s="20"/>
      <c r="F54" s="20"/>
      <c r="G54"/>
      <c r="K54" s="146" t="s">
        <v>46</v>
      </c>
      <c r="L54" s="147"/>
      <c r="M54" s="148"/>
      <c r="N54" s="195">
        <v>42425</v>
      </c>
      <c r="O54" s="150"/>
    </row>
    <row r="55" spans="1:16" ht="15.75" x14ac:dyDescent="0.25">
      <c r="A55" s="20"/>
      <c r="C55" s="20"/>
      <c r="E55" s="20"/>
      <c r="F55" s="20"/>
      <c r="G55"/>
      <c r="J55" s="151"/>
      <c r="K55" s="152"/>
      <c r="L55" s="151"/>
      <c r="M55" s="153"/>
      <c r="N55" s="152"/>
      <c r="O55" s="154"/>
    </row>
    <row r="56" spans="1:16" ht="15.75" x14ac:dyDescent="0.25">
      <c r="J56" s="155" t="s">
        <v>47</v>
      </c>
      <c r="K56" s="152" t="s">
        <v>48</v>
      </c>
      <c r="L56" s="151"/>
      <c r="M56" s="153" t="s">
        <v>49</v>
      </c>
      <c r="N56" s="152" t="s">
        <v>50</v>
      </c>
      <c r="O56" s="154"/>
    </row>
    <row r="57" spans="1:16" ht="15.75" x14ac:dyDescent="0.25">
      <c r="J57" s="123" t="s">
        <v>128</v>
      </c>
      <c r="K57" s="21">
        <v>17748.02</v>
      </c>
      <c r="L57" s="156" t="s">
        <v>51</v>
      </c>
      <c r="M57" s="157" t="s">
        <v>52</v>
      </c>
      <c r="N57" s="158">
        <v>27231</v>
      </c>
      <c r="O57" s="159">
        <v>42411</v>
      </c>
      <c r="P57" s="14">
        <v>42410</v>
      </c>
    </row>
    <row r="58" spans="1:16" ht="15.75" x14ac:dyDescent="0.25">
      <c r="J58" s="123" t="s">
        <v>131</v>
      </c>
      <c r="K58" s="21">
        <v>123537.48</v>
      </c>
      <c r="L58" s="160" t="s">
        <v>60</v>
      </c>
      <c r="M58" s="157" t="s">
        <v>52</v>
      </c>
      <c r="N58" s="158">
        <v>57395</v>
      </c>
      <c r="O58" s="159">
        <v>42422</v>
      </c>
      <c r="P58" s="14">
        <v>42419</v>
      </c>
    </row>
    <row r="59" spans="1:16" ht="15.75" x14ac:dyDescent="0.25">
      <c r="J59" s="123"/>
      <c r="K59" s="21">
        <v>0</v>
      </c>
      <c r="L59" s="160" t="s">
        <v>20</v>
      </c>
      <c r="M59" s="157" t="s">
        <v>52</v>
      </c>
      <c r="N59" s="158">
        <v>34588</v>
      </c>
      <c r="O59" s="159">
        <v>42418</v>
      </c>
      <c r="P59" s="14">
        <v>42417</v>
      </c>
    </row>
    <row r="60" spans="1:16" ht="15.75" x14ac:dyDescent="0.25">
      <c r="J60" s="123"/>
      <c r="K60" s="21"/>
      <c r="L60" s="160"/>
      <c r="M60" s="157" t="s">
        <v>52</v>
      </c>
      <c r="N60" s="158">
        <v>11663.5</v>
      </c>
      <c r="O60" s="159">
        <v>42420</v>
      </c>
      <c r="P60" s="14">
        <v>42422</v>
      </c>
    </row>
    <row r="61" spans="1:16" ht="15.75" x14ac:dyDescent="0.25">
      <c r="J61" s="123"/>
      <c r="K61" s="21"/>
      <c r="L61" s="160"/>
      <c r="M61" s="157" t="s">
        <v>52</v>
      </c>
      <c r="N61" s="158">
        <v>1877</v>
      </c>
      <c r="O61" s="159">
        <v>42419</v>
      </c>
      <c r="P61" s="14">
        <v>42422</v>
      </c>
    </row>
    <row r="62" spans="1:16" ht="15.75" x14ac:dyDescent="0.25">
      <c r="J62" s="123"/>
      <c r="K62" s="21"/>
      <c r="L62" s="160"/>
      <c r="M62" s="157" t="s">
        <v>52</v>
      </c>
      <c r="N62" s="158">
        <v>5675</v>
      </c>
      <c r="O62" s="159">
        <v>42422</v>
      </c>
    </row>
    <row r="63" spans="1:16" ht="15.75" x14ac:dyDescent="0.25">
      <c r="J63" s="123"/>
      <c r="K63" s="21"/>
      <c r="L63" s="160"/>
      <c r="M63" s="157" t="s">
        <v>52</v>
      </c>
      <c r="N63" s="158">
        <v>2856</v>
      </c>
      <c r="O63" s="159">
        <v>42418</v>
      </c>
      <c r="P63" s="14">
        <v>42422</v>
      </c>
    </row>
    <row r="64" spans="1:16" ht="16.5" thickBot="1" x14ac:dyDescent="0.3">
      <c r="J64" s="202"/>
      <c r="K64" s="142">
        <v>0</v>
      </c>
      <c r="L64" s="203"/>
      <c r="M64" s="204" t="s">
        <v>52</v>
      </c>
      <c r="N64" s="205"/>
      <c r="O64" s="206"/>
    </row>
    <row r="65" spans="10:15" customFormat="1" ht="15.75" thickTop="1" x14ac:dyDescent="0.25">
      <c r="J65" s="196"/>
      <c r="K65" s="26">
        <f>SUM(K57:K64)</f>
        <v>141285.5</v>
      </c>
      <c r="L65" s="26"/>
      <c r="M65" s="26"/>
      <c r="N65" s="26">
        <f>SUM(N57:N64)</f>
        <v>141285.5</v>
      </c>
      <c r="O65" s="200"/>
    </row>
  </sheetData>
  <sortState ref="A17:F27">
    <sortCondition ref="B17:B27"/>
  </sortState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S57"/>
  <sheetViews>
    <sheetView topLeftCell="A11" workbookViewId="0">
      <selection activeCell="M30" sqref="M30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4" customWidth="1"/>
    <col min="6" max="6" width="17.85546875" style="3" customWidth="1"/>
    <col min="7" max="7" width="2.85546875" customWidth="1"/>
    <col min="9" max="9" width="12.140625" style="3" customWidth="1"/>
    <col min="10" max="10" width="6.42578125" style="3" customWidth="1"/>
    <col min="11" max="11" width="13.7109375" customWidth="1"/>
    <col min="12" max="12" width="11.28515625" customWidth="1"/>
    <col min="13" max="13" width="16.7109375" style="3" customWidth="1"/>
    <col min="14" max="14" width="11.42578125" style="3"/>
  </cols>
  <sheetData>
    <row r="1" spans="1:19" ht="23.25" x14ac:dyDescent="0.35">
      <c r="C1" s="267" t="s">
        <v>170</v>
      </c>
      <c r="D1" s="267"/>
      <c r="E1" s="267"/>
      <c r="F1" s="267"/>
      <c r="G1" s="267"/>
      <c r="H1" s="267"/>
      <c r="I1" s="267"/>
      <c r="J1" s="267"/>
      <c r="K1" s="267"/>
      <c r="L1" s="2" t="s">
        <v>0</v>
      </c>
    </row>
    <row r="2" spans="1:19" ht="15.75" thickBot="1" x14ac:dyDescent="0.3">
      <c r="E2" s="5"/>
      <c r="F2" s="6"/>
    </row>
    <row r="3" spans="1:19" ht="15.75" thickBot="1" x14ac:dyDescent="0.3">
      <c r="C3" s="7" t="s">
        <v>1</v>
      </c>
      <c r="D3" s="8"/>
    </row>
    <row r="4" spans="1:19" ht="20.25" thickTop="1" thickBot="1" x14ac:dyDescent="0.35">
      <c r="A4" s="9" t="s">
        <v>2</v>
      </c>
      <c r="B4" s="10"/>
      <c r="C4" s="11">
        <v>114962.92</v>
      </c>
      <c r="D4" s="12"/>
      <c r="E4" s="268" t="s">
        <v>3</v>
      </c>
      <c r="F4" s="269"/>
      <c r="I4" s="270" t="s">
        <v>4</v>
      </c>
      <c r="J4" s="271"/>
      <c r="K4" s="271"/>
      <c r="L4" s="271"/>
      <c r="M4" s="13" t="s">
        <v>5</v>
      </c>
    </row>
    <row r="5" spans="1:19" ht="15.75" thickTop="1" x14ac:dyDescent="0.25">
      <c r="A5" s="14"/>
      <c r="B5" s="15">
        <v>42430</v>
      </c>
      <c r="C5" s="16">
        <v>916</v>
      </c>
      <c r="D5" s="17" t="s">
        <v>120</v>
      </c>
      <c r="E5" s="18">
        <v>42430</v>
      </c>
      <c r="F5" s="19">
        <v>33613.129999999997</v>
      </c>
      <c r="G5" s="20"/>
      <c r="H5" s="186">
        <v>42430</v>
      </c>
      <c r="I5" s="187">
        <v>540</v>
      </c>
      <c r="J5" s="176"/>
      <c r="K5" s="188"/>
      <c r="L5" s="189"/>
      <c r="M5" s="190">
        <v>35516</v>
      </c>
      <c r="N5" s="21"/>
      <c r="O5" s="20"/>
      <c r="P5" s="20"/>
      <c r="Q5" s="20"/>
      <c r="R5" t="s">
        <v>6</v>
      </c>
      <c r="S5">
        <v>1600</v>
      </c>
    </row>
    <row r="6" spans="1:19" x14ac:dyDescent="0.25">
      <c r="A6" s="14"/>
      <c r="B6" s="15">
        <v>42431</v>
      </c>
      <c r="C6" s="16">
        <v>745</v>
      </c>
      <c r="D6" s="22" t="s">
        <v>180</v>
      </c>
      <c r="E6" s="18">
        <v>42431</v>
      </c>
      <c r="F6" s="19">
        <v>30666.99</v>
      </c>
      <c r="G6" s="23"/>
      <c r="H6" s="24">
        <v>42431</v>
      </c>
      <c r="I6" s="25">
        <v>559</v>
      </c>
      <c r="J6" s="26"/>
      <c r="K6" s="27" t="s">
        <v>7</v>
      </c>
      <c r="L6" s="28">
        <v>537</v>
      </c>
      <c r="M6" s="33">
        <v>29828</v>
      </c>
      <c r="N6" s="30"/>
      <c r="O6" s="20"/>
      <c r="P6" s="20"/>
      <c r="Q6" s="20"/>
    </row>
    <row r="7" spans="1:19" x14ac:dyDescent="0.25">
      <c r="A7" s="14"/>
      <c r="B7" s="15">
        <v>42432</v>
      </c>
      <c r="C7" s="16">
        <v>0</v>
      </c>
      <c r="D7" s="17"/>
      <c r="E7" s="18">
        <v>42432</v>
      </c>
      <c r="F7" s="19">
        <v>40703.06</v>
      </c>
      <c r="G7" s="20"/>
      <c r="H7" s="24">
        <v>42432</v>
      </c>
      <c r="I7" s="25">
        <v>100</v>
      </c>
      <c r="J7" s="26"/>
      <c r="K7" s="31" t="s">
        <v>8</v>
      </c>
      <c r="L7" s="28">
        <v>0</v>
      </c>
      <c r="M7" s="33">
        <v>39803</v>
      </c>
      <c r="N7" s="30"/>
      <c r="O7" s="20"/>
      <c r="P7" s="20"/>
      <c r="Q7" s="20"/>
      <c r="R7" t="s">
        <v>9</v>
      </c>
      <c r="S7">
        <v>2500</v>
      </c>
    </row>
    <row r="8" spans="1:19" x14ac:dyDescent="0.25">
      <c r="A8" s="14"/>
      <c r="B8" s="15">
        <v>42433</v>
      </c>
      <c r="C8" s="16">
        <v>548</v>
      </c>
      <c r="D8" s="17" t="s">
        <v>181</v>
      </c>
      <c r="E8" s="18">
        <v>42433</v>
      </c>
      <c r="F8" s="19">
        <v>70555.240000000005</v>
      </c>
      <c r="G8" s="20"/>
      <c r="H8" s="24">
        <v>42433</v>
      </c>
      <c r="I8" s="25">
        <v>370</v>
      </c>
      <c r="J8" s="26"/>
      <c r="K8" s="27" t="s">
        <v>10</v>
      </c>
      <c r="L8" s="32">
        <v>28750</v>
      </c>
      <c r="M8" s="33">
        <v>68477</v>
      </c>
      <c r="N8" s="21"/>
      <c r="O8" s="20"/>
      <c r="P8" s="20"/>
      <c r="Q8" s="20"/>
    </row>
    <row r="9" spans="1:19" x14ac:dyDescent="0.25">
      <c r="A9" s="14"/>
      <c r="B9" s="15">
        <v>42434</v>
      </c>
      <c r="C9" s="16">
        <v>66317.600000000006</v>
      </c>
      <c r="D9" s="17" t="s">
        <v>182</v>
      </c>
      <c r="E9" s="18">
        <v>42434</v>
      </c>
      <c r="F9" s="19">
        <v>69084.67</v>
      </c>
      <c r="G9" s="20"/>
      <c r="H9" s="24">
        <v>42434</v>
      </c>
      <c r="I9" s="25">
        <v>400</v>
      </c>
      <c r="J9" s="35"/>
      <c r="K9" s="27" t="s">
        <v>188</v>
      </c>
      <c r="L9" s="28">
        <v>9950</v>
      </c>
      <c r="M9" s="33">
        <f>10665.5+4059</f>
        <v>14724.5</v>
      </c>
      <c r="N9" s="21"/>
      <c r="O9" s="37"/>
      <c r="P9" s="20"/>
      <c r="Q9" s="20"/>
    </row>
    <row r="10" spans="1:19" x14ac:dyDescent="0.25">
      <c r="A10" s="14"/>
      <c r="B10" s="15">
        <v>42435</v>
      </c>
      <c r="C10" s="16">
        <v>55000</v>
      </c>
      <c r="D10" s="34" t="s">
        <v>184</v>
      </c>
      <c r="E10" s="18">
        <v>42435</v>
      </c>
      <c r="F10" s="19">
        <v>57899.69</v>
      </c>
      <c r="G10" s="20"/>
      <c r="H10" s="24">
        <v>42435</v>
      </c>
      <c r="I10" s="25">
        <v>92</v>
      </c>
      <c r="J10" s="35"/>
      <c r="K10" s="27" t="s">
        <v>189</v>
      </c>
      <c r="L10" s="19">
        <v>10350</v>
      </c>
      <c r="M10" s="33" t="s">
        <v>20</v>
      </c>
      <c r="N10" s="21"/>
      <c r="O10" s="20"/>
      <c r="P10" s="20"/>
      <c r="Q10" s="20"/>
    </row>
    <row r="11" spans="1:19" x14ac:dyDescent="0.25">
      <c r="A11" s="14"/>
      <c r="B11" s="15">
        <v>42436</v>
      </c>
      <c r="C11" s="16">
        <v>33342</v>
      </c>
      <c r="D11" s="34" t="s">
        <v>184</v>
      </c>
      <c r="E11" s="18">
        <v>42436</v>
      </c>
      <c r="F11" s="19">
        <v>32457.21</v>
      </c>
      <c r="G11" s="20"/>
      <c r="H11" s="24">
        <v>42436</v>
      </c>
      <c r="I11" s="25">
        <v>100</v>
      </c>
      <c r="J11" s="35"/>
      <c r="K11" s="27" t="s">
        <v>190</v>
      </c>
      <c r="L11" s="19">
        <v>10950</v>
      </c>
      <c r="M11" s="33">
        <v>615</v>
      </c>
      <c r="N11" s="36"/>
      <c r="O11" s="20"/>
      <c r="P11" s="20"/>
      <c r="Q11" s="20"/>
    </row>
    <row r="12" spans="1:19" x14ac:dyDescent="0.25">
      <c r="A12" s="14"/>
      <c r="B12" s="15">
        <v>42437</v>
      </c>
      <c r="C12" s="16">
        <v>42108.5</v>
      </c>
      <c r="D12" s="17" t="s">
        <v>185</v>
      </c>
      <c r="E12" s="18">
        <v>42437</v>
      </c>
      <c r="F12" s="19">
        <v>43690.22</v>
      </c>
      <c r="G12" s="20"/>
      <c r="H12" s="24">
        <v>42437</v>
      </c>
      <c r="I12" s="25">
        <v>531.5</v>
      </c>
      <c r="J12" s="35"/>
      <c r="K12" s="27" t="s">
        <v>191</v>
      </c>
      <c r="L12" s="19">
        <v>0</v>
      </c>
      <c r="M12" s="33">
        <v>1550</v>
      </c>
      <c r="N12" s="21"/>
      <c r="O12" s="37"/>
      <c r="P12" s="38"/>
      <c r="Q12" s="20"/>
    </row>
    <row r="13" spans="1:19" x14ac:dyDescent="0.25">
      <c r="A13" s="14"/>
      <c r="B13" s="15">
        <v>42438</v>
      </c>
      <c r="C13" s="16">
        <v>22000</v>
      </c>
      <c r="D13" s="34" t="s">
        <v>186</v>
      </c>
      <c r="E13" s="18">
        <v>42438</v>
      </c>
      <c r="F13" s="19">
        <v>22453.51</v>
      </c>
      <c r="G13" s="20"/>
      <c r="H13" s="24">
        <v>42438</v>
      </c>
      <c r="I13" s="25">
        <v>591</v>
      </c>
      <c r="J13" s="35"/>
      <c r="K13" s="27" t="s">
        <v>198</v>
      </c>
      <c r="L13" s="19">
        <v>0</v>
      </c>
      <c r="M13" s="33">
        <v>880</v>
      </c>
      <c r="N13" s="21"/>
      <c r="O13" s="20"/>
      <c r="P13" s="20"/>
      <c r="Q13" s="20"/>
    </row>
    <row r="14" spans="1:19" x14ac:dyDescent="0.25">
      <c r="A14" s="14"/>
      <c r="B14" s="15">
        <v>42439</v>
      </c>
      <c r="C14" s="16">
        <v>28025</v>
      </c>
      <c r="D14" s="17" t="s">
        <v>186</v>
      </c>
      <c r="E14" s="18">
        <v>42439</v>
      </c>
      <c r="F14" s="19">
        <v>28752.41</v>
      </c>
      <c r="G14" s="20"/>
      <c r="H14" s="24">
        <v>42439</v>
      </c>
      <c r="I14" s="25">
        <v>375</v>
      </c>
      <c r="J14" s="35"/>
      <c r="K14" s="40" t="s">
        <v>212</v>
      </c>
      <c r="L14" s="19">
        <v>1607.14</v>
      </c>
      <c r="M14" s="33">
        <v>352</v>
      </c>
      <c r="N14" s="21"/>
      <c r="O14" s="20"/>
      <c r="P14" s="20"/>
      <c r="Q14" s="20"/>
    </row>
    <row r="15" spans="1:19" ht="15.75" x14ac:dyDescent="0.25">
      <c r="A15" s="14"/>
      <c r="B15" s="15">
        <v>42440</v>
      </c>
      <c r="C15" s="16">
        <v>40621</v>
      </c>
      <c r="D15" s="17" t="s">
        <v>186</v>
      </c>
      <c r="E15" s="18">
        <v>42440</v>
      </c>
      <c r="F15" s="19">
        <v>53988.75</v>
      </c>
      <c r="G15" s="20"/>
      <c r="H15" s="24">
        <v>42440</v>
      </c>
      <c r="I15" s="25">
        <v>100</v>
      </c>
      <c r="J15" s="35"/>
      <c r="K15" s="227" t="s">
        <v>11</v>
      </c>
      <c r="L15" s="19">
        <v>11785.6</v>
      </c>
      <c r="M15" s="33">
        <v>1482</v>
      </c>
      <c r="N15" s="30"/>
      <c r="O15" s="20"/>
      <c r="P15" s="20"/>
      <c r="Q15" s="20"/>
    </row>
    <row r="16" spans="1:19" ht="15.75" x14ac:dyDescent="0.25">
      <c r="A16" s="14"/>
      <c r="B16" s="15">
        <v>42441</v>
      </c>
      <c r="C16" s="16">
        <v>61551</v>
      </c>
      <c r="D16" s="17" t="s">
        <v>187</v>
      </c>
      <c r="E16" s="18">
        <v>42441</v>
      </c>
      <c r="F16" s="19">
        <v>63234.9</v>
      </c>
      <c r="G16" s="20"/>
      <c r="H16" s="24">
        <v>42441</v>
      </c>
      <c r="I16" s="25">
        <v>150</v>
      </c>
      <c r="J16" s="35"/>
      <c r="K16" s="252">
        <v>42440</v>
      </c>
      <c r="L16" s="42">
        <v>0</v>
      </c>
      <c r="M16" s="33">
        <v>1534</v>
      </c>
      <c r="N16" s="30"/>
      <c r="O16" s="20"/>
      <c r="P16" s="20"/>
      <c r="Q16" s="20"/>
    </row>
    <row r="17" spans="1:18" x14ac:dyDescent="0.25">
      <c r="A17" s="14"/>
      <c r="B17" s="15">
        <v>42442</v>
      </c>
      <c r="C17" s="16">
        <v>52000</v>
      </c>
      <c r="D17" s="17" t="s">
        <v>192</v>
      </c>
      <c r="E17" s="18">
        <v>42442</v>
      </c>
      <c r="F17" s="19">
        <v>59427.88</v>
      </c>
      <c r="G17" s="20"/>
      <c r="H17" s="24">
        <v>42442</v>
      </c>
      <c r="I17" s="25">
        <v>900</v>
      </c>
      <c r="J17" s="35"/>
      <c r="K17" s="262" t="s">
        <v>209</v>
      </c>
      <c r="L17" s="19">
        <v>2500</v>
      </c>
      <c r="M17" s="231">
        <v>278</v>
      </c>
      <c r="N17" s="30"/>
      <c r="O17" s="20"/>
      <c r="P17" s="20"/>
      <c r="Q17" s="20"/>
    </row>
    <row r="18" spans="1:18" x14ac:dyDescent="0.25">
      <c r="A18" s="14"/>
      <c r="B18" s="15">
        <v>42443</v>
      </c>
      <c r="C18" s="16">
        <v>30410.39</v>
      </c>
      <c r="D18" s="17" t="s">
        <v>202</v>
      </c>
      <c r="E18" s="18">
        <v>42443</v>
      </c>
      <c r="F18" s="19">
        <v>30926.69</v>
      </c>
      <c r="G18" s="20"/>
      <c r="H18" s="24">
        <v>42443</v>
      </c>
      <c r="I18" s="25">
        <v>84</v>
      </c>
      <c r="J18" s="35"/>
      <c r="K18" s="41" t="s">
        <v>12</v>
      </c>
      <c r="L18" s="19">
        <v>0</v>
      </c>
      <c r="M18" s="33">
        <v>432</v>
      </c>
      <c r="N18" s="21"/>
      <c r="O18" s="37"/>
      <c r="P18" s="20"/>
      <c r="Q18" s="20"/>
    </row>
    <row r="19" spans="1:18" x14ac:dyDescent="0.25">
      <c r="A19" s="14"/>
      <c r="B19" s="15">
        <v>42444</v>
      </c>
      <c r="C19" s="16">
        <v>40000</v>
      </c>
      <c r="D19" s="34" t="s">
        <v>203</v>
      </c>
      <c r="E19" s="18">
        <v>42444</v>
      </c>
      <c r="F19" s="19">
        <v>39210.71</v>
      </c>
      <c r="G19" s="20"/>
      <c r="H19" s="24">
        <v>42444</v>
      </c>
      <c r="I19" s="25">
        <v>0</v>
      </c>
      <c r="J19" s="35"/>
      <c r="K19" s="43" t="s">
        <v>13</v>
      </c>
      <c r="L19" s="44">
        <v>0</v>
      </c>
      <c r="M19" s="33">
        <v>210</v>
      </c>
      <c r="N19" s="21"/>
      <c r="O19" s="20"/>
      <c r="P19" s="20"/>
      <c r="Q19" s="20"/>
    </row>
    <row r="20" spans="1:18" x14ac:dyDescent="0.25">
      <c r="A20" s="14"/>
      <c r="B20" s="15">
        <v>42445</v>
      </c>
      <c r="C20" s="16">
        <v>32217.35</v>
      </c>
      <c r="D20" s="22" t="s">
        <v>203</v>
      </c>
      <c r="E20" s="18">
        <v>42445</v>
      </c>
      <c r="F20" s="19">
        <f>27519.73+2335.98+3987.16</f>
        <v>33842.869999999995</v>
      </c>
      <c r="G20" s="20"/>
      <c r="H20" s="24">
        <v>42445</v>
      </c>
      <c r="I20" s="45">
        <v>0</v>
      </c>
      <c r="J20" s="35"/>
      <c r="K20" s="46" t="s">
        <v>14</v>
      </c>
      <c r="L20" s="42">
        <v>0</v>
      </c>
      <c r="M20" s="33">
        <f>F20-C20-0.02</f>
        <v>1625.4999999999968</v>
      </c>
      <c r="N20" s="30"/>
      <c r="O20" s="20"/>
      <c r="P20" s="20"/>
      <c r="Q20" s="20"/>
    </row>
    <row r="21" spans="1:18" x14ac:dyDescent="0.25">
      <c r="A21" s="14"/>
      <c r="B21" s="15">
        <v>42446</v>
      </c>
      <c r="C21" s="16">
        <f>605+43814.54</f>
        <v>44419.54</v>
      </c>
      <c r="D21" s="17" t="s">
        <v>204</v>
      </c>
      <c r="E21" s="18">
        <v>42446</v>
      </c>
      <c r="F21" s="19">
        <f>37556.44+589.47+7820.95</f>
        <v>45966.86</v>
      </c>
      <c r="G21" s="20"/>
      <c r="H21" s="24">
        <v>42446</v>
      </c>
      <c r="I21" s="45">
        <f>570.95+220</f>
        <v>790.95</v>
      </c>
      <c r="J21" s="35"/>
      <c r="K21" s="47" t="s">
        <v>15</v>
      </c>
      <c r="L21" s="42">
        <v>0</v>
      </c>
      <c r="M21" s="33">
        <v>769.5</v>
      </c>
      <c r="N21" s="30"/>
      <c r="O21" s="37"/>
      <c r="P21" s="37"/>
      <c r="Q21" s="37"/>
      <c r="R21" s="37"/>
    </row>
    <row r="22" spans="1:18" x14ac:dyDescent="0.25">
      <c r="A22" s="14"/>
      <c r="B22" s="15">
        <v>42447</v>
      </c>
      <c r="C22" s="16">
        <f>505+66155.2</f>
        <v>66660.2</v>
      </c>
      <c r="D22" s="17" t="s">
        <v>205</v>
      </c>
      <c r="E22" s="18">
        <v>42447</v>
      </c>
      <c r="F22" s="19">
        <f>54049.44+5336.3+8734.34</f>
        <v>68120.08</v>
      </c>
      <c r="G22" s="20"/>
      <c r="H22" s="24">
        <v>42447</v>
      </c>
      <c r="I22" s="45">
        <f>355.8+140+350</f>
        <v>845.8</v>
      </c>
      <c r="J22" s="48"/>
      <c r="K22" s="49" t="s">
        <v>29</v>
      </c>
      <c r="L22" s="42">
        <v>800</v>
      </c>
      <c r="M22" s="33">
        <v>614</v>
      </c>
      <c r="N22" s="30"/>
      <c r="O22" s="20"/>
      <c r="P22" s="20"/>
      <c r="Q22" s="20"/>
    </row>
    <row r="23" spans="1:18" x14ac:dyDescent="0.25">
      <c r="A23" s="14"/>
      <c r="B23" s="15">
        <v>42448</v>
      </c>
      <c r="C23" s="16">
        <f>331+61024.5</f>
        <v>61355.5</v>
      </c>
      <c r="D23" s="260" t="s">
        <v>207</v>
      </c>
      <c r="E23" s="18">
        <v>42448</v>
      </c>
      <c r="F23" s="19">
        <f>52683.79+6897.43+5570.36</f>
        <v>65151.58</v>
      </c>
      <c r="G23" s="20"/>
      <c r="H23" s="24">
        <v>42448</v>
      </c>
      <c r="I23" s="45">
        <v>400</v>
      </c>
      <c r="J23" s="26"/>
      <c r="K23" s="50">
        <v>42432</v>
      </c>
      <c r="L23" s="42">
        <v>0</v>
      </c>
      <c r="M23" s="33">
        <v>900</v>
      </c>
      <c r="N23" s="30"/>
      <c r="O23" s="20"/>
      <c r="P23" s="20"/>
      <c r="Q23" s="20"/>
    </row>
    <row r="24" spans="1:18" x14ac:dyDescent="0.25">
      <c r="A24" s="14"/>
      <c r="B24" s="15">
        <v>42449</v>
      </c>
      <c r="C24" s="16">
        <v>45579</v>
      </c>
      <c r="D24" s="34" t="s">
        <v>208</v>
      </c>
      <c r="E24" s="18">
        <v>42449</v>
      </c>
      <c r="F24" s="19">
        <f>46507.27+440.2+445.72</f>
        <v>47393.189999999995</v>
      </c>
      <c r="G24" s="20"/>
      <c r="H24" s="24">
        <v>42449</v>
      </c>
      <c r="I24" s="45">
        <v>0</v>
      </c>
      <c r="J24" s="35"/>
      <c r="K24" s="51" t="s">
        <v>206</v>
      </c>
      <c r="L24" s="42">
        <v>2500</v>
      </c>
      <c r="M24" s="33">
        <v>719</v>
      </c>
      <c r="N24" s="30"/>
      <c r="O24" s="20"/>
      <c r="P24" s="20"/>
      <c r="Q24" s="20"/>
    </row>
    <row r="25" spans="1:18" x14ac:dyDescent="0.25">
      <c r="A25" s="14"/>
      <c r="B25" s="15">
        <v>42450</v>
      </c>
      <c r="C25" s="16">
        <v>31605</v>
      </c>
      <c r="D25" s="260" t="s">
        <v>208</v>
      </c>
      <c r="E25" s="18">
        <v>42450</v>
      </c>
      <c r="F25" s="19">
        <v>35257.94</v>
      </c>
      <c r="G25" s="20"/>
      <c r="H25" s="24">
        <v>42450</v>
      </c>
      <c r="I25" s="45">
        <v>100</v>
      </c>
      <c r="J25" s="26"/>
      <c r="K25" s="51"/>
      <c r="L25" s="42">
        <v>0</v>
      </c>
      <c r="M25" s="33">
        <v>1053</v>
      </c>
      <c r="N25" s="21"/>
      <c r="O25" s="20"/>
      <c r="P25" s="20"/>
      <c r="Q25" s="20"/>
    </row>
    <row r="26" spans="1:18" x14ac:dyDescent="0.25">
      <c r="A26" s="14"/>
      <c r="B26" s="15">
        <v>42451</v>
      </c>
      <c r="C26" s="16">
        <v>32000</v>
      </c>
      <c r="D26" s="17" t="s">
        <v>210</v>
      </c>
      <c r="E26" s="18">
        <v>42451</v>
      </c>
      <c r="F26" s="19">
        <v>32625.79</v>
      </c>
      <c r="G26" s="20"/>
      <c r="H26" s="24">
        <v>42451</v>
      </c>
      <c r="I26" s="45">
        <v>31.6</v>
      </c>
      <c r="J26" s="52"/>
      <c r="K26" s="50"/>
      <c r="L26" s="42">
        <v>0</v>
      </c>
      <c r="M26" s="33">
        <v>594</v>
      </c>
      <c r="N26" s="21"/>
      <c r="O26" s="37"/>
      <c r="P26" s="38"/>
      <c r="Q26" s="20"/>
    </row>
    <row r="27" spans="1:18" x14ac:dyDescent="0.25">
      <c r="A27" s="14"/>
      <c r="B27" s="15">
        <v>42452</v>
      </c>
      <c r="C27" s="16">
        <v>26020</v>
      </c>
      <c r="D27" s="17" t="s">
        <v>211</v>
      </c>
      <c r="E27" s="18">
        <v>42452</v>
      </c>
      <c r="F27" s="19">
        <v>26638.31</v>
      </c>
      <c r="G27" s="20"/>
      <c r="H27" s="24">
        <v>42452</v>
      </c>
      <c r="I27" s="45">
        <v>100</v>
      </c>
      <c r="J27" s="26"/>
      <c r="K27" s="53"/>
      <c r="L27" s="42">
        <v>0</v>
      </c>
      <c r="M27" s="33">
        <v>518</v>
      </c>
      <c r="N27" s="21"/>
      <c r="O27" s="20"/>
      <c r="P27" s="20"/>
      <c r="Q27" s="20"/>
    </row>
    <row r="28" spans="1:18" x14ac:dyDescent="0.25">
      <c r="A28" s="14"/>
      <c r="B28" s="15">
        <v>42453</v>
      </c>
      <c r="C28" s="16">
        <v>34000</v>
      </c>
      <c r="D28" s="17" t="s">
        <v>210</v>
      </c>
      <c r="E28" s="18">
        <v>42453</v>
      </c>
      <c r="F28" s="19">
        <v>34822.19</v>
      </c>
      <c r="G28" s="20"/>
      <c r="H28" s="24">
        <v>42453</v>
      </c>
      <c r="I28" s="45">
        <v>0</v>
      </c>
      <c r="J28" s="26"/>
      <c r="K28" s="54"/>
      <c r="L28" s="42">
        <v>0</v>
      </c>
      <c r="M28" s="33">
        <v>822</v>
      </c>
      <c r="N28" s="30"/>
      <c r="O28" s="20"/>
      <c r="P28" s="20"/>
      <c r="Q28" s="20"/>
    </row>
    <row r="29" spans="1:18" x14ac:dyDescent="0.25">
      <c r="A29" s="14"/>
      <c r="B29" s="15">
        <v>42454</v>
      </c>
      <c r="C29" s="16">
        <v>12500</v>
      </c>
      <c r="D29" s="17" t="s">
        <v>210</v>
      </c>
      <c r="E29" s="18">
        <v>42454</v>
      </c>
      <c r="F29" s="19">
        <v>14400.3</v>
      </c>
      <c r="G29" s="20"/>
      <c r="H29" s="24">
        <v>42454</v>
      </c>
      <c r="I29" s="45">
        <v>0</v>
      </c>
      <c r="J29" s="26"/>
      <c r="K29" s="55"/>
      <c r="L29" s="56">
        <v>0</v>
      </c>
      <c r="M29" s="33">
        <v>293</v>
      </c>
      <c r="N29" s="30"/>
      <c r="O29" s="20"/>
      <c r="P29" s="20"/>
      <c r="Q29" s="20"/>
    </row>
    <row r="30" spans="1:18" ht="15.75" thickBot="1" x14ac:dyDescent="0.3">
      <c r="A30" s="14"/>
      <c r="B30" s="15">
        <v>42455</v>
      </c>
      <c r="C30" s="16">
        <v>0</v>
      </c>
      <c r="D30" s="17"/>
      <c r="E30" s="18">
        <v>42455</v>
      </c>
      <c r="F30" s="19"/>
      <c r="G30" s="20"/>
      <c r="H30" s="24">
        <v>42455</v>
      </c>
      <c r="I30" s="45"/>
      <c r="J30" s="52"/>
      <c r="K30" s="54"/>
      <c r="L30" s="56">
        <v>0</v>
      </c>
      <c r="M30" s="33"/>
      <c r="N30" s="30"/>
      <c r="O30" s="20"/>
      <c r="P30" s="20"/>
      <c r="Q30" s="20"/>
    </row>
    <row r="31" spans="1:18" x14ac:dyDescent="0.25">
      <c r="A31" s="14"/>
      <c r="B31" s="15">
        <v>42456</v>
      </c>
      <c r="C31" s="16">
        <v>0</v>
      </c>
      <c r="D31" s="17"/>
      <c r="E31" s="18">
        <v>42456</v>
      </c>
      <c r="F31" s="19"/>
      <c r="G31" s="20"/>
      <c r="H31" s="24">
        <v>42456</v>
      </c>
      <c r="I31" s="45"/>
      <c r="J31" s="35"/>
      <c r="K31" s="57"/>
      <c r="L31" s="292">
        <v>0</v>
      </c>
      <c r="M31" s="33"/>
      <c r="N31" s="21"/>
      <c r="O31" s="20"/>
      <c r="P31" s="20"/>
      <c r="Q31" s="20"/>
    </row>
    <row r="32" spans="1:18" ht="15.75" thickBot="1" x14ac:dyDescent="0.3">
      <c r="A32" s="14"/>
      <c r="B32" s="15">
        <v>42457</v>
      </c>
      <c r="C32" s="16">
        <v>0</v>
      </c>
      <c r="D32" s="17"/>
      <c r="E32" s="18">
        <v>42457</v>
      </c>
      <c r="F32" s="19"/>
      <c r="G32" s="20"/>
      <c r="H32" s="24">
        <v>42457</v>
      </c>
      <c r="I32" s="45"/>
      <c r="J32" s="26"/>
      <c r="K32" s="53"/>
      <c r="L32" s="293"/>
      <c r="M32" s="33"/>
      <c r="N32" s="30"/>
      <c r="O32" s="20"/>
      <c r="P32" s="20"/>
      <c r="Q32" s="20"/>
    </row>
    <row r="33" spans="1:17" x14ac:dyDescent="0.25">
      <c r="A33" s="14"/>
      <c r="B33" s="15">
        <v>42458</v>
      </c>
      <c r="C33" s="16">
        <v>0</v>
      </c>
      <c r="D33" s="34"/>
      <c r="E33" s="18">
        <v>42458</v>
      </c>
      <c r="F33" s="19"/>
      <c r="G33" s="20"/>
      <c r="H33" s="24">
        <v>42458</v>
      </c>
      <c r="I33" s="45"/>
      <c r="J33" s="26"/>
      <c r="K33" s="58"/>
      <c r="L33" s="294">
        <v>0</v>
      </c>
      <c r="M33" s="33"/>
      <c r="N33" s="21"/>
      <c r="O33" s="20"/>
      <c r="P33" s="20"/>
      <c r="Q33" s="20"/>
    </row>
    <row r="34" spans="1:17" ht="15.75" thickBot="1" x14ac:dyDescent="0.3">
      <c r="A34" s="14"/>
      <c r="B34" s="15">
        <v>42459</v>
      </c>
      <c r="C34" s="16">
        <v>0</v>
      </c>
      <c r="D34" s="17"/>
      <c r="E34" s="18">
        <v>42459</v>
      </c>
      <c r="F34" s="19"/>
      <c r="G34" s="20"/>
      <c r="H34" s="24">
        <v>42459</v>
      </c>
      <c r="I34" s="45"/>
      <c r="J34" s="26"/>
      <c r="K34" s="59"/>
      <c r="L34" s="295"/>
      <c r="M34" s="33"/>
      <c r="N34" s="21"/>
      <c r="O34" s="20"/>
    </row>
    <row r="35" spans="1:17" ht="15.75" thickBot="1" x14ac:dyDescent="0.3">
      <c r="A35" s="14"/>
      <c r="B35" s="15">
        <v>42460</v>
      </c>
      <c r="C35" s="16">
        <v>0</v>
      </c>
      <c r="D35" s="34"/>
      <c r="E35" s="18">
        <v>42460</v>
      </c>
      <c r="F35" s="19"/>
      <c r="G35" s="20"/>
      <c r="H35" s="24">
        <v>42460</v>
      </c>
      <c r="I35" s="45"/>
      <c r="J35" s="26"/>
      <c r="K35" s="60"/>
      <c r="L35" s="61">
        <v>0</v>
      </c>
      <c r="M35" s="33"/>
    </row>
    <row r="36" spans="1:17" ht="15.75" thickBot="1" x14ac:dyDescent="0.3">
      <c r="A36" s="62"/>
      <c r="B36" s="63"/>
      <c r="C36" s="64">
        <v>0</v>
      </c>
      <c r="D36" s="12"/>
      <c r="E36" s="18"/>
      <c r="F36" s="19">
        <v>0</v>
      </c>
      <c r="G36" s="20"/>
      <c r="H36" s="65"/>
      <c r="I36" s="66">
        <v>0</v>
      </c>
      <c r="J36" s="67"/>
      <c r="K36" s="68"/>
      <c r="L36" s="69"/>
      <c r="M36" s="218">
        <v>0</v>
      </c>
      <c r="P36" s="71"/>
      <c r="Q36" s="71"/>
    </row>
    <row r="37" spans="1:17" ht="16.5" thickBot="1" x14ac:dyDescent="0.3">
      <c r="A37" s="72"/>
      <c r="B37" s="73"/>
      <c r="C37" s="74">
        <v>0</v>
      </c>
      <c r="D37" s="12"/>
      <c r="E37" s="75"/>
      <c r="F37" s="76">
        <v>0</v>
      </c>
      <c r="H37" s="77"/>
      <c r="I37" s="78">
        <v>0</v>
      </c>
      <c r="J37" s="67"/>
      <c r="K37" s="79"/>
      <c r="L37" s="80"/>
      <c r="M37" s="81">
        <f>SUM(M5:M36)</f>
        <v>203589.5</v>
      </c>
    </row>
    <row r="38" spans="1:17" x14ac:dyDescent="0.25">
      <c r="B38" s="82" t="s">
        <v>16</v>
      </c>
      <c r="C38" s="83">
        <f>SUM(C5:C37)</f>
        <v>859941.08</v>
      </c>
      <c r="E38" s="228" t="s">
        <v>16</v>
      </c>
      <c r="F38" s="85">
        <f>SUM(F5:F37)</f>
        <v>1080884.1699999997</v>
      </c>
      <c r="H38" s="5" t="s">
        <v>16</v>
      </c>
      <c r="I38" s="86">
        <f>SUM(I5:I37)</f>
        <v>7160.85</v>
      </c>
      <c r="J38" s="86"/>
      <c r="K38" s="87" t="s">
        <v>16</v>
      </c>
      <c r="L38" s="88">
        <f>SUM(L5:L37)</f>
        <v>79729.740000000005</v>
      </c>
    </row>
    <row r="40" spans="1:17" ht="15.75" x14ac:dyDescent="0.25">
      <c r="A40" s="89"/>
      <c r="B40" s="90"/>
      <c r="C40" s="26"/>
      <c r="D40" s="91"/>
      <c r="E40" s="92"/>
      <c r="F40" s="67"/>
      <c r="H40" s="263" t="s">
        <v>17</v>
      </c>
      <c r="I40" s="264"/>
      <c r="J40" s="230"/>
      <c r="K40" s="265">
        <f>I38+L38</f>
        <v>86890.590000000011</v>
      </c>
      <c r="L40" s="266"/>
    </row>
    <row r="41" spans="1:17" ht="15.75" x14ac:dyDescent="0.25">
      <c r="B41" s="94"/>
      <c r="C41" s="67"/>
      <c r="D41" s="279" t="s">
        <v>18</v>
      </c>
      <c r="E41" s="279"/>
      <c r="F41" s="95">
        <f>F38-K40</f>
        <v>993993.57999999973</v>
      </c>
      <c r="I41" s="96"/>
      <c r="J41" s="96"/>
    </row>
    <row r="42" spans="1:17" ht="15.75" x14ac:dyDescent="0.25">
      <c r="D42" s="280" t="s">
        <v>193</v>
      </c>
      <c r="E42" s="280"/>
      <c r="F42" s="95">
        <f>-C38</f>
        <v>-859941.08</v>
      </c>
      <c r="I42" s="96"/>
      <c r="J42" s="96" t="s">
        <v>20</v>
      </c>
    </row>
    <row r="43" spans="1:17" ht="15.75" thickBot="1" x14ac:dyDescent="0.3">
      <c r="D43" s="97"/>
      <c r="E43" s="98"/>
      <c r="F43" s="99"/>
    </row>
    <row r="44" spans="1:17" ht="15.75" thickTop="1" x14ac:dyDescent="0.25">
      <c r="C44" s="3" t="s">
        <v>20</v>
      </c>
      <c r="E44" s="89" t="s">
        <v>21</v>
      </c>
      <c r="F44" s="86">
        <f>SUM(F41:F43)</f>
        <v>134052.49999999977</v>
      </c>
      <c r="I44" s="281" t="s">
        <v>22</v>
      </c>
      <c r="J44" s="282"/>
      <c r="K44" s="285">
        <f>F48+L46</f>
        <v>182590.04999999976</v>
      </c>
      <c r="L44" s="286"/>
    </row>
    <row r="45" spans="1:17" ht="15.75" thickBot="1" x14ac:dyDescent="0.3">
      <c r="D45" s="100" t="s">
        <v>23</v>
      </c>
      <c r="E45" s="89" t="s">
        <v>24</v>
      </c>
      <c r="F45" s="86">
        <v>48537.55</v>
      </c>
      <c r="I45" s="283"/>
      <c r="J45" s="284"/>
      <c r="K45" s="287"/>
      <c r="L45" s="288"/>
    </row>
    <row r="46" spans="1:17" ht="17.25" thickTop="1" thickBot="1" x14ac:dyDescent="0.3">
      <c r="C46" s="85"/>
      <c r="D46" s="289" t="s">
        <v>25</v>
      </c>
      <c r="E46" s="289"/>
      <c r="F46" s="101">
        <v>0</v>
      </c>
      <c r="I46" s="290"/>
      <c r="J46" s="290"/>
      <c r="K46" s="291"/>
      <c r="L46" s="102"/>
    </row>
    <row r="47" spans="1:17" ht="19.5" thickBot="1" x14ac:dyDescent="0.35">
      <c r="C47" s="85"/>
      <c r="D47" s="228"/>
      <c r="E47" s="228"/>
      <c r="F47" s="103"/>
      <c r="H47" s="104"/>
      <c r="I47" s="229" t="s">
        <v>26</v>
      </c>
      <c r="J47" s="229"/>
      <c r="K47" s="272">
        <v>-48130.1</v>
      </c>
      <c r="L47" s="273"/>
    </row>
    <row r="48" spans="1:17" ht="17.25" thickTop="1" thickBot="1" x14ac:dyDescent="0.3">
      <c r="E48" s="106" t="s">
        <v>27</v>
      </c>
      <c r="F48" s="107">
        <f>F44+F45+F46</f>
        <v>182590.04999999976</v>
      </c>
    </row>
    <row r="49" spans="2:14" ht="19.5" thickBot="1" x14ac:dyDescent="0.35">
      <c r="B49"/>
      <c r="C49"/>
      <c r="D49" s="274"/>
      <c r="E49" s="274"/>
      <c r="F49" s="67"/>
      <c r="I49" s="275" t="s">
        <v>28</v>
      </c>
      <c r="J49" s="276"/>
      <c r="K49" s="277">
        <f>K44+K47</f>
        <v>134459.94999999975</v>
      </c>
      <c r="L49" s="278"/>
      <c r="M49" s="108"/>
      <c r="N49"/>
    </row>
    <row r="50" spans="2:14" x14ac:dyDescent="0.25">
      <c r="B50"/>
      <c r="C50"/>
      <c r="M50" s="108"/>
      <c r="N50"/>
    </row>
    <row r="51" spans="2:14" x14ac:dyDescent="0.25">
      <c r="B51"/>
      <c r="C51"/>
      <c r="N51"/>
    </row>
    <row r="52" spans="2:14" x14ac:dyDescent="0.25">
      <c r="B52"/>
      <c r="C52"/>
      <c r="F52"/>
      <c r="I52"/>
      <c r="J52"/>
      <c r="M52"/>
      <c r="N52"/>
    </row>
    <row r="53" spans="2:14" x14ac:dyDescent="0.25">
      <c r="B53"/>
      <c r="C53"/>
      <c r="N53"/>
    </row>
    <row r="54" spans="2:14" x14ac:dyDescent="0.25">
      <c r="M54" s="67"/>
      <c r="N54"/>
    </row>
    <row r="55" spans="2:14" x14ac:dyDescent="0.25">
      <c r="M55" s="67"/>
      <c r="N55"/>
    </row>
    <row r="56" spans="2:14" x14ac:dyDescent="0.25">
      <c r="M56" s="67"/>
      <c r="N56"/>
    </row>
    <row r="57" spans="2:14" x14ac:dyDescent="0.25">
      <c r="M57" s="67"/>
      <c r="N57"/>
    </row>
  </sheetData>
  <mergeCells count="17"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  <mergeCell ref="H40:I40"/>
    <mergeCell ref="K40:L40"/>
    <mergeCell ref="C1:K1"/>
    <mergeCell ref="E4:F4"/>
    <mergeCell ref="I4:L4"/>
    <mergeCell ref="L31:L32"/>
    <mergeCell ref="L33:L34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58"/>
  <sheetViews>
    <sheetView tabSelected="1" topLeftCell="A13" workbookViewId="0">
      <selection activeCell="C31" sqref="C31"/>
    </sheetView>
  </sheetViews>
  <sheetFormatPr baseColWidth="10" defaultRowHeight="15" x14ac:dyDescent="0.25"/>
  <cols>
    <col min="1" max="1" width="12.5703125" style="37" bestFit="1" customWidth="1"/>
    <col min="2" max="2" width="12.85546875" style="20" bestFit="1" customWidth="1"/>
    <col min="3" max="3" width="15.85546875" style="30" bestFit="1" customWidth="1"/>
    <col min="4" max="4" width="12.42578125" style="20" bestFit="1" customWidth="1"/>
    <col min="5" max="5" width="15.140625" style="30" bestFit="1" customWidth="1"/>
    <col min="6" max="6" width="18.5703125" style="30" bestFit="1" customWidth="1"/>
    <col min="7" max="7" width="11.42578125" style="20"/>
    <col min="9" max="9" width="12.5703125" bestFit="1" customWidth="1"/>
    <col min="11" max="11" width="15.28515625" customWidth="1"/>
    <col min="14" max="14" width="20.140625" bestFit="1" customWidth="1"/>
    <col min="15" max="15" width="12.140625" bestFit="1" customWidth="1"/>
  </cols>
  <sheetData>
    <row r="1" spans="1:16" ht="19.5" thickBot="1" x14ac:dyDescent="0.35">
      <c r="B1" s="109" t="s">
        <v>155</v>
      </c>
      <c r="C1" s="110"/>
      <c r="D1" s="111"/>
      <c r="K1" s="146" t="s">
        <v>46</v>
      </c>
      <c r="L1" s="147"/>
      <c r="M1" s="148"/>
      <c r="N1" s="195">
        <v>42432</v>
      </c>
      <c r="O1" s="150"/>
    </row>
    <row r="2" spans="1:16" ht="16.5" thickBot="1" x14ac:dyDescent="0.3">
      <c r="A2" s="112"/>
      <c r="B2" s="113"/>
      <c r="C2" s="114"/>
      <c r="D2" s="113"/>
      <c r="E2" s="114"/>
      <c r="F2" s="114"/>
      <c r="J2" s="151"/>
      <c r="K2" s="152"/>
      <c r="L2" s="151"/>
      <c r="M2" s="153"/>
      <c r="N2" s="152"/>
      <c r="O2" s="154"/>
    </row>
    <row r="3" spans="1:16" ht="15.75" x14ac:dyDescent="0.25">
      <c r="A3" s="115">
        <v>42430</v>
      </c>
      <c r="B3" s="123" t="s">
        <v>156</v>
      </c>
      <c r="C3" s="21">
        <v>104197.73</v>
      </c>
      <c r="D3" s="117">
        <v>42432</v>
      </c>
      <c r="E3" s="21">
        <v>104197.73</v>
      </c>
      <c r="F3" s="118">
        <f t="shared" ref="F3:F36" si="0">C3-E3</f>
        <v>0</v>
      </c>
      <c r="J3" s="155" t="s">
        <v>47</v>
      </c>
      <c r="K3" s="152" t="s">
        <v>48</v>
      </c>
      <c r="L3" s="151"/>
      <c r="M3" s="153" t="s">
        <v>49</v>
      </c>
      <c r="N3" s="152" t="s">
        <v>50</v>
      </c>
      <c r="O3" s="154"/>
    </row>
    <row r="4" spans="1:16" ht="15.75" x14ac:dyDescent="0.25">
      <c r="A4" s="119">
        <v>42431</v>
      </c>
      <c r="B4" s="123" t="s">
        <v>157</v>
      </c>
      <c r="C4" s="21">
        <v>14129.04</v>
      </c>
      <c r="D4" s="259" t="s">
        <v>197</v>
      </c>
      <c r="E4" s="21">
        <f>12968.56+1160.48</f>
        <v>14129.039999999999</v>
      </c>
      <c r="F4" s="122">
        <f t="shared" si="0"/>
        <v>0</v>
      </c>
      <c r="J4" s="123" t="s">
        <v>158</v>
      </c>
      <c r="K4" s="21">
        <v>12618.76</v>
      </c>
      <c r="L4" s="156"/>
      <c r="M4" s="157" t="s">
        <v>52</v>
      </c>
      <c r="N4" s="158">
        <v>43287</v>
      </c>
      <c r="O4" s="159">
        <v>42426</v>
      </c>
      <c r="P4" s="14">
        <v>42381</v>
      </c>
    </row>
    <row r="5" spans="1:16" ht="15.75" x14ac:dyDescent="0.25">
      <c r="A5" s="119">
        <v>42432</v>
      </c>
      <c r="B5" s="123" t="s">
        <v>162</v>
      </c>
      <c r="C5" s="21">
        <v>16805.099999999999</v>
      </c>
      <c r="D5" s="117">
        <v>42446</v>
      </c>
      <c r="E5" s="21">
        <v>16805.099999999999</v>
      </c>
      <c r="F5" s="122">
        <f t="shared" si="0"/>
        <v>0</v>
      </c>
      <c r="J5" s="123" t="s">
        <v>159</v>
      </c>
      <c r="K5" s="21">
        <v>105.6</v>
      </c>
      <c r="L5" s="160"/>
      <c r="M5" s="157" t="s">
        <v>52</v>
      </c>
      <c r="N5" s="158">
        <v>72194</v>
      </c>
      <c r="O5" s="159">
        <v>42426</v>
      </c>
      <c r="P5" s="14">
        <v>42392</v>
      </c>
    </row>
    <row r="6" spans="1:16" ht="15.75" x14ac:dyDescent="0.25">
      <c r="A6" s="119">
        <v>42433</v>
      </c>
      <c r="B6" s="123" t="s">
        <v>163</v>
      </c>
      <c r="C6" s="21">
        <v>72260.649999999994</v>
      </c>
      <c r="D6" s="117">
        <v>42446</v>
      </c>
      <c r="E6" s="21">
        <v>72260.649999999994</v>
      </c>
      <c r="F6" s="122">
        <f t="shared" si="0"/>
        <v>0</v>
      </c>
      <c r="J6" s="123" t="s">
        <v>160</v>
      </c>
      <c r="K6" s="21">
        <v>119002.3</v>
      </c>
      <c r="L6" s="160" t="s">
        <v>119</v>
      </c>
      <c r="M6" s="157" t="s">
        <v>52</v>
      </c>
      <c r="N6" s="158">
        <v>41350</v>
      </c>
      <c r="O6" s="159">
        <v>42426</v>
      </c>
      <c r="P6" s="14">
        <v>42393</v>
      </c>
    </row>
    <row r="7" spans="1:16" ht="15.75" x14ac:dyDescent="0.25">
      <c r="A7" s="119">
        <v>42433</v>
      </c>
      <c r="B7" s="123" t="s">
        <v>164</v>
      </c>
      <c r="C7" s="21">
        <v>370.5</v>
      </c>
      <c r="D7" s="117">
        <v>42446</v>
      </c>
      <c r="E7" s="21">
        <v>370.5</v>
      </c>
      <c r="F7" s="122">
        <f t="shared" si="0"/>
        <v>0</v>
      </c>
      <c r="J7" s="123" t="s">
        <v>131</v>
      </c>
      <c r="K7" s="21">
        <v>10528.01</v>
      </c>
      <c r="L7" s="161" t="s">
        <v>51</v>
      </c>
      <c r="M7" s="157" t="s">
        <v>52</v>
      </c>
      <c r="N7" s="158">
        <v>39632.5</v>
      </c>
      <c r="O7" s="159">
        <v>42426</v>
      </c>
      <c r="P7" s="14">
        <v>42395</v>
      </c>
    </row>
    <row r="8" spans="1:16" ht="15.75" x14ac:dyDescent="0.25">
      <c r="A8" s="119">
        <v>42434</v>
      </c>
      <c r="B8" s="123" t="s">
        <v>165</v>
      </c>
      <c r="C8" s="26">
        <v>74846.350000000006</v>
      </c>
      <c r="D8" s="117">
        <v>42446</v>
      </c>
      <c r="E8" s="26">
        <v>74846.350000000006</v>
      </c>
      <c r="F8" s="122">
        <f t="shared" si="0"/>
        <v>0</v>
      </c>
      <c r="J8" s="123" t="s">
        <v>132</v>
      </c>
      <c r="K8" s="21">
        <v>65431.35</v>
      </c>
      <c r="L8" s="160"/>
      <c r="M8" s="157" t="s">
        <v>52</v>
      </c>
      <c r="N8" s="162">
        <v>63000</v>
      </c>
      <c r="O8" s="163">
        <v>42426</v>
      </c>
      <c r="P8" s="14">
        <v>42406</v>
      </c>
    </row>
    <row r="9" spans="1:16" ht="15.75" x14ac:dyDescent="0.25">
      <c r="A9" s="119">
        <v>42436</v>
      </c>
      <c r="B9" s="123" t="s">
        <v>166</v>
      </c>
      <c r="C9" s="26">
        <v>121560.08</v>
      </c>
      <c r="D9" s="117">
        <v>42446</v>
      </c>
      <c r="E9" s="26">
        <v>121560.08</v>
      </c>
      <c r="F9" s="122">
        <f t="shared" si="0"/>
        <v>0</v>
      </c>
      <c r="J9" s="123" t="s">
        <v>149</v>
      </c>
      <c r="K9" s="21">
        <v>12741.8</v>
      </c>
      <c r="L9" s="160"/>
      <c r="M9" s="157" t="s">
        <v>52</v>
      </c>
      <c r="N9" s="162">
        <v>28882.5</v>
      </c>
      <c r="O9" s="163">
        <v>42409</v>
      </c>
      <c r="P9" s="14">
        <v>42406</v>
      </c>
    </row>
    <row r="10" spans="1:16" ht="15.75" x14ac:dyDescent="0.25">
      <c r="A10" s="124">
        <v>42437</v>
      </c>
      <c r="B10" s="123" t="s">
        <v>167</v>
      </c>
      <c r="C10" s="26">
        <v>17858</v>
      </c>
      <c r="D10" s="117">
        <v>42446</v>
      </c>
      <c r="E10" s="26">
        <v>17858</v>
      </c>
      <c r="F10" s="122">
        <f t="shared" si="0"/>
        <v>0</v>
      </c>
      <c r="J10" s="123" t="s">
        <v>150</v>
      </c>
      <c r="K10" s="21">
        <v>64164.800000000003</v>
      </c>
      <c r="L10" s="160"/>
      <c r="M10" s="157" t="s">
        <v>52</v>
      </c>
      <c r="N10" s="162">
        <v>52845</v>
      </c>
      <c r="O10" s="163">
        <v>42426</v>
      </c>
      <c r="P10" s="14">
        <v>42407</v>
      </c>
    </row>
    <row r="11" spans="1:16" ht="15.75" x14ac:dyDescent="0.25">
      <c r="A11" s="119">
        <v>42439</v>
      </c>
      <c r="B11" s="125" t="s">
        <v>168</v>
      </c>
      <c r="C11" s="26">
        <v>21775.72</v>
      </c>
      <c r="D11" s="117">
        <v>42446</v>
      </c>
      <c r="E11" s="26">
        <v>21775.72</v>
      </c>
      <c r="F11" s="127">
        <f t="shared" si="0"/>
        <v>0</v>
      </c>
      <c r="J11" s="123" t="s">
        <v>151</v>
      </c>
      <c r="K11" s="21">
        <v>14097.5</v>
      </c>
      <c r="L11" s="160"/>
      <c r="M11" s="157" t="s">
        <v>52</v>
      </c>
      <c r="N11" s="162">
        <v>64695</v>
      </c>
      <c r="O11" s="163">
        <v>42426</v>
      </c>
      <c r="P11" s="14">
        <v>42413</v>
      </c>
    </row>
    <row r="12" spans="1:16" ht="15.75" x14ac:dyDescent="0.25">
      <c r="A12" s="119">
        <v>42440</v>
      </c>
      <c r="B12" s="125" t="s">
        <v>169</v>
      </c>
      <c r="C12" s="26">
        <v>84477.81</v>
      </c>
      <c r="D12" s="117">
        <v>42446</v>
      </c>
      <c r="E12" s="26">
        <v>84477.81</v>
      </c>
      <c r="F12" s="127">
        <f t="shared" si="0"/>
        <v>0</v>
      </c>
      <c r="J12" s="123" t="s">
        <v>152</v>
      </c>
      <c r="K12" s="21">
        <v>96805.29</v>
      </c>
      <c r="L12" s="160"/>
      <c r="M12" s="157" t="s">
        <v>52</v>
      </c>
      <c r="N12" s="162">
        <v>63724.5</v>
      </c>
      <c r="O12" s="163">
        <v>42426</v>
      </c>
      <c r="P12" s="14">
        <v>42420</v>
      </c>
    </row>
    <row r="13" spans="1:16" ht="15.75" x14ac:dyDescent="0.25">
      <c r="A13" s="119">
        <v>42441</v>
      </c>
      <c r="B13" s="125" t="s">
        <v>171</v>
      </c>
      <c r="C13" s="26">
        <v>22814.54</v>
      </c>
      <c r="D13" s="117">
        <v>42455</v>
      </c>
      <c r="E13" s="26">
        <v>22814.54</v>
      </c>
      <c r="F13" s="127">
        <f t="shared" si="0"/>
        <v>0</v>
      </c>
      <c r="J13" s="123" t="s">
        <v>153</v>
      </c>
      <c r="K13" s="21">
        <v>6537.6</v>
      </c>
      <c r="L13" s="160"/>
      <c r="M13" s="157" t="s">
        <v>52</v>
      </c>
      <c r="N13" s="162">
        <v>43000</v>
      </c>
      <c r="O13" s="163">
        <v>42426</v>
      </c>
      <c r="P13" s="14">
        <v>42421</v>
      </c>
    </row>
    <row r="14" spans="1:16" ht="15.75" x14ac:dyDescent="0.25">
      <c r="A14" s="119">
        <v>42442</v>
      </c>
      <c r="B14" s="125" t="s">
        <v>172</v>
      </c>
      <c r="C14" s="26">
        <v>1061.58</v>
      </c>
      <c r="D14" s="117">
        <v>42446</v>
      </c>
      <c r="E14" s="26">
        <v>1061.58</v>
      </c>
      <c r="F14" s="127">
        <f t="shared" si="0"/>
        <v>0</v>
      </c>
      <c r="J14" s="123" t="s">
        <v>154</v>
      </c>
      <c r="K14" s="21">
        <v>4462.2</v>
      </c>
      <c r="L14" s="160"/>
      <c r="M14" s="157" t="s">
        <v>52</v>
      </c>
      <c r="N14" s="162">
        <v>11051</v>
      </c>
      <c r="O14" s="163">
        <v>42411</v>
      </c>
      <c r="P14" s="14">
        <v>42422</v>
      </c>
    </row>
    <row r="15" spans="1:16" ht="15.75" x14ac:dyDescent="0.25">
      <c r="A15" s="119">
        <v>42443</v>
      </c>
      <c r="B15" s="125" t="s">
        <v>173</v>
      </c>
      <c r="C15" s="26">
        <v>88217.35</v>
      </c>
      <c r="D15" s="121" t="s">
        <v>213</v>
      </c>
      <c r="E15" s="26">
        <f>55998.23+32219.12</f>
        <v>88217.35</v>
      </c>
      <c r="F15" s="127">
        <f t="shared" si="0"/>
        <v>0</v>
      </c>
      <c r="J15" s="123" t="s">
        <v>156</v>
      </c>
      <c r="K15" s="21">
        <v>104197.73</v>
      </c>
      <c r="L15" s="160"/>
      <c r="M15" s="157" t="s">
        <v>52</v>
      </c>
      <c r="N15" s="162">
        <v>0</v>
      </c>
      <c r="O15" s="163"/>
      <c r="P15" s="14"/>
    </row>
    <row r="16" spans="1:16" ht="15.75" x14ac:dyDescent="0.25">
      <c r="A16" s="124">
        <v>42445</v>
      </c>
      <c r="B16" s="123" t="s">
        <v>195</v>
      </c>
      <c r="C16" s="21">
        <v>22155.200000000001</v>
      </c>
      <c r="D16" s="117">
        <v>42455</v>
      </c>
      <c r="E16" s="21">
        <v>22155.200000000001</v>
      </c>
      <c r="F16" s="127">
        <f t="shared" si="0"/>
        <v>0</v>
      </c>
      <c r="J16" s="123" t="s">
        <v>157</v>
      </c>
      <c r="K16" s="21">
        <v>12968.56</v>
      </c>
      <c r="L16" s="164" t="s">
        <v>91</v>
      </c>
      <c r="M16" s="157"/>
      <c r="N16" s="158">
        <v>0</v>
      </c>
      <c r="O16" s="159"/>
    </row>
    <row r="17" spans="1:17" x14ac:dyDescent="0.25">
      <c r="A17" s="124">
        <v>42446</v>
      </c>
      <c r="B17" s="123" t="s">
        <v>196</v>
      </c>
      <c r="C17" s="21">
        <v>82543.360000000001</v>
      </c>
      <c r="D17" s="117">
        <v>42455</v>
      </c>
      <c r="E17" s="21">
        <v>82543.360000000001</v>
      </c>
      <c r="F17" s="127">
        <f t="shared" si="0"/>
        <v>0</v>
      </c>
      <c r="J17" s="165"/>
      <c r="K17" s="166">
        <f>SUM(K4:K16)</f>
        <v>523661.49999999994</v>
      </c>
      <c r="L17" s="165"/>
      <c r="M17" s="165"/>
      <c r="N17" s="166">
        <f>SUM(N4:N16)</f>
        <v>523661.5</v>
      </c>
      <c r="O17" s="165"/>
    </row>
    <row r="18" spans="1:17" x14ac:dyDescent="0.25">
      <c r="A18" s="124">
        <v>42447</v>
      </c>
      <c r="B18" s="123" t="s">
        <v>199</v>
      </c>
      <c r="C18" s="21">
        <v>3481.2</v>
      </c>
      <c r="D18" s="117">
        <v>42455</v>
      </c>
      <c r="E18" s="21">
        <v>3481.2</v>
      </c>
      <c r="F18" s="127">
        <f t="shared" si="0"/>
        <v>0</v>
      </c>
    </row>
    <row r="19" spans="1:17" x14ac:dyDescent="0.25">
      <c r="A19" s="124">
        <v>42448</v>
      </c>
      <c r="B19" s="123" t="s">
        <v>200</v>
      </c>
      <c r="C19" s="21">
        <v>116579.19</v>
      </c>
      <c r="D19" s="117">
        <v>42455</v>
      </c>
      <c r="E19" s="21">
        <v>116579.19</v>
      </c>
      <c r="F19" s="127">
        <f t="shared" si="0"/>
        <v>0</v>
      </c>
    </row>
    <row r="20" spans="1:17" ht="15.75" thickBot="1" x14ac:dyDescent="0.3">
      <c r="A20" s="124">
        <v>42450</v>
      </c>
      <c r="B20" s="123" t="s">
        <v>201</v>
      </c>
      <c r="C20" s="21">
        <v>138210.68</v>
      </c>
      <c r="D20" s="117"/>
      <c r="E20" s="21"/>
      <c r="F20" s="127">
        <f t="shared" si="0"/>
        <v>138210.68</v>
      </c>
      <c r="J20" s="27"/>
      <c r="K20" s="27"/>
      <c r="L20" s="27"/>
      <c r="M20" s="27"/>
      <c r="N20" s="27"/>
      <c r="O20" s="27"/>
      <c r="P20" s="27"/>
      <c r="Q20" s="27"/>
    </row>
    <row r="21" spans="1:17" ht="19.5" thickBot="1" x14ac:dyDescent="0.35">
      <c r="A21" s="124">
        <v>42452</v>
      </c>
      <c r="B21" s="123" t="s">
        <v>215</v>
      </c>
      <c r="C21" s="21">
        <v>40510.6</v>
      </c>
      <c r="D21" s="117"/>
      <c r="E21" s="21"/>
      <c r="F21" s="127">
        <f t="shared" si="0"/>
        <v>40510.6</v>
      </c>
      <c r="K21" s="146" t="s">
        <v>46</v>
      </c>
      <c r="L21" s="147"/>
      <c r="M21" s="148"/>
      <c r="N21" s="232">
        <v>42446</v>
      </c>
      <c r="O21" s="150"/>
      <c r="P21" s="27"/>
      <c r="Q21" s="27"/>
    </row>
    <row r="22" spans="1:17" ht="15.75" x14ac:dyDescent="0.25">
      <c r="A22" s="124">
        <v>42454</v>
      </c>
      <c r="B22" s="123" t="s">
        <v>214</v>
      </c>
      <c r="C22" s="21">
        <v>22400.6</v>
      </c>
      <c r="D22" s="117"/>
      <c r="E22" s="21"/>
      <c r="F22" s="127">
        <f t="shared" si="0"/>
        <v>22400.6</v>
      </c>
      <c r="J22" s="151"/>
      <c r="K22" s="152"/>
      <c r="L22" s="151"/>
      <c r="M22" s="153"/>
      <c r="N22" s="152"/>
      <c r="O22" s="154"/>
      <c r="P22" s="27"/>
      <c r="Q22" s="27"/>
    </row>
    <row r="23" spans="1:17" ht="15.75" x14ac:dyDescent="0.25">
      <c r="A23" s="124">
        <v>42454</v>
      </c>
      <c r="B23" s="123" t="s">
        <v>216</v>
      </c>
      <c r="C23" s="21">
        <v>3285</v>
      </c>
      <c r="D23" s="121"/>
      <c r="E23" s="36"/>
      <c r="F23" s="127">
        <f t="shared" si="0"/>
        <v>3285</v>
      </c>
      <c r="J23" s="155" t="s">
        <v>47</v>
      </c>
      <c r="K23" s="152" t="s">
        <v>48</v>
      </c>
      <c r="L23" s="151"/>
      <c r="M23" s="153" t="s">
        <v>49</v>
      </c>
      <c r="N23" s="152" t="s">
        <v>50</v>
      </c>
      <c r="O23" s="154"/>
      <c r="P23" s="27"/>
      <c r="Q23" s="27"/>
    </row>
    <row r="24" spans="1:17" ht="15.75" x14ac:dyDescent="0.25">
      <c r="A24" s="124">
        <v>42455</v>
      </c>
      <c r="B24" s="123" t="s">
        <v>217</v>
      </c>
      <c r="C24" s="21">
        <v>56627</v>
      </c>
      <c r="D24" s="129"/>
      <c r="E24" s="36"/>
      <c r="F24" s="127">
        <f t="shared" si="0"/>
        <v>56627</v>
      </c>
      <c r="I24" s="3">
        <v>1160.48</v>
      </c>
      <c r="J24" s="123" t="s">
        <v>157</v>
      </c>
      <c r="K24" s="21">
        <v>1160.48</v>
      </c>
      <c r="L24" s="156" t="s">
        <v>111</v>
      </c>
      <c r="M24" s="157" t="s">
        <v>52</v>
      </c>
      <c r="N24" s="158">
        <v>1160.5</v>
      </c>
      <c r="O24" s="159">
        <v>42434</v>
      </c>
      <c r="P24" s="27"/>
      <c r="Q24" s="27"/>
    </row>
    <row r="25" spans="1:17" ht="15.75" x14ac:dyDescent="0.25">
      <c r="A25" s="124">
        <v>42456</v>
      </c>
      <c r="B25" s="123" t="s">
        <v>218</v>
      </c>
      <c r="C25" s="26">
        <v>3210</v>
      </c>
      <c r="D25" s="130"/>
      <c r="E25" s="131"/>
      <c r="F25" s="127">
        <f t="shared" si="0"/>
        <v>3210</v>
      </c>
      <c r="I25" s="3">
        <v>16805</v>
      </c>
      <c r="J25" s="123" t="s">
        <v>162</v>
      </c>
      <c r="K25" s="21">
        <v>16805.099999999999</v>
      </c>
      <c r="L25" s="160"/>
      <c r="M25" s="157" t="s">
        <v>52</v>
      </c>
      <c r="N25" s="158">
        <v>65065</v>
      </c>
      <c r="O25" s="159">
        <v>42436</v>
      </c>
      <c r="P25" s="180"/>
      <c r="Q25" s="27"/>
    </row>
    <row r="26" spans="1:17" ht="15.75" x14ac:dyDescent="0.25">
      <c r="A26" s="132">
        <v>42457</v>
      </c>
      <c r="B26" s="123" t="s">
        <v>219</v>
      </c>
      <c r="C26" s="26">
        <v>8003.04</v>
      </c>
      <c r="D26" s="130"/>
      <c r="E26" s="131"/>
      <c r="F26" s="127">
        <f>C26-E26</f>
        <v>8003.04</v>
      </c>
      <c r="I26" s="3">
        <f>48260.6+24000</f>
        <v>72260.600000000006</v>
      </c>
      <c r="J26" s="123" t="s">
        <v>163</v>
      </c>
      <c r="K26" s="21">
        <v>72260.649999999994</v>
      </c>
      <c r="L26" s="160"/>
      <c r="M26" s="157" t="s">
        <v>52</v>
      </c>
      <c r="N26" s="158">
        <v>55000</v>
      </c>
      <c r="O26" s="159">
        <v>42436</v>
      </c>
      <c r="P26" s="180"/>
      <c r="Q26" s="27"/>
    </row>
    <row r="27" spans="1:17" ht="15.75" x14ac:dyDescent="0.25">
      <c r="A27" s="124">
        <v>42458</v>
      </c>
      <c r="B27" s="123" t="s">
        <v>220</v>
      </c>
      <c r="C27" s="26">
        <v>13509.92</v>
      </c>
      <c r="D27" s="133"/>
      <c r="E27" s="134"/>
      <c r="F27" s="127">
        <f>C27-E27</f>
        <v>13509.92</v>
      </c>
      <c r="I27" s="3">
        <v>370.5</v>
      </c>
      <c r="J27" s="123" t="s">
        <v>164</v>
      </c>
      <c r="K27" s="21">
        <v>370.5</v>
      </c>
      <c r="L27" s="161"/>
      <c r="M27" s="157">
        <v>3237303</v>
      </c>
      <c r="N27" s="158">
        <v>33000</v>
      </c>
      <c r="O27" s="159">
        <v>42436</v>
      </c>
      <c r="P27" s="180"/>
      <c r="Q27" s="27"/>
    </row>
    <row r="28" spans="1:17" ht="15.75" x14ac:dyDescent="0.25">
      <c r="A28" s="124">
        <v>42459</v>
      </c>
      <c r="B28" s="123" t="s">
        <v>221</v>
      </c>
      <c r="C28" s="26">
        <v>125517</v>
      </c>
      <c r="D28" s="133"/>
      <c r="E28" s="134"/>
      <c r="F28" s="127">
        <f>C28-E28</f>
        <v>125517</v>
      </c>
      <c r="I28" s="3">
        <f>31000+33000+10846</f>
        <v>74846</v>
      </c>
      <c r="J28" s="123" t="s">
        <v>165</v>
      </c>
      <c r="K28" s="26">
        <v>74846.350000000006</v>
      </c>
      <c r="L28" s="160"/>
      <c r="M28" s="157">
        <v>3237294</v>
      </c>
      <c r="N28" s="162">
        <v>41634.5</v>
      </c>
      <c r="O28" s="163">
        <v>42437</v>
      </c>
      <c r="P28" s="27"/>
      <c r="Q28" s="27"/>
    </row>
    <row r="29" spans="1:17" ht="15.75" x14ac:dyDescent="0.25">
      <c r="A29" s="124">
        <v>42460</v>
      </c>
      <c r="B29" s="123" t="s">
        <v>222</v>
      </c>
      <c r="C29" s="26">
        <v>3400.19</v>
      </c>
      <c r="D29" s="121"/>
      <c r="E29" s="21"/>
      <c r="F29" s="127">
        <f>C29-E29</f>
        <v>3400.19</v>
      </c>
      <c r="I29" s="3">
        <f>12560+22000+28000+40000+19000</f>
        <v>121560</v>
      </c>
      <c r="J29" s="123" t="s">
        <v>166</v>
      </c>
      <c r="K29" s="26">
        <v>121560.08</v>
      </c>
      <c r="L29" s="160"/>
      <c r="M29" s="157">
        <v>3237370</v>
      </c>
      <c r="N29" s="162">
        <v>22000</v>
      </c>
      <c r="O29" s="163">
        <v>42438</v>
      </c>
      <c r="P29" s="27"/>
      <c r="Q29" s="27"/>
    </row>
    <row r="30" spans="1:17" ht="15.75" x14ac:dyDescent="0.25">
      <c r="A30" s="135">
        <v>42460</v>
      </c>
      <c r="B30" s="126" t="s">
        <v>223</v>
      </c>
      <c r="C30" s="21">
        <v>25757.200000000001</v>
      </c>
      <c r="D30" s="133"/>
      <c r="E30" s="134"/>
      <c r="F30" s="136">
        <f>C30-E30</f>
        <v>25757.200000000001</v>
      </c>
      <c r="I30" s="3">
        <v>17858</v>
      </c>
      <c r="J30" s="123" t="s">
        <v>167</v>
      </c>
      <c r="K30" s="26">
        <v>17858</v>
      </c>
      <c r="L30" s="160"/>
      <c r="M30" s="157" t="s">
        <v>52</v>
      </c>
      <c r="N30" s="162">
        <v>28000</v>
      </c>
      <c r="O30" s="163">
        <v>42440</v>
      </c>
      <c r="P30" s="27"/>
      <c r="Q30" s="27"/>
    </row>
    <row r="31" spans="1:17" ht="15.75" x14ac:dyDescent="0.25">
      <c r="A31" s="137"/>
      <c r="B31" s="128"/>
      <c r="C31" s="26"/>
      <c r="D31" s="138"/>
      <c r="E31" s="26"/>
      <c r="F31" s="136">
        <f t="shared" si="0"/>
        <v>0</v>
      </c>
      <c r="I31" s="3">
        <v>21775.72</v>
      </c>
      <c r="J31" s="125" t="s">
        <v>168</v>
      </c>
      <c r="K31" s="26">
        <v>21775.72</v>
      </c>
      <c r="L31" s="160"/>
      <c r="M31" s="157" t="s">
        <v>52</v>
      </c>
      <c r="N31" s="162">
        <v>40000</v>
      </c>
      <c r="O31" s="163">
        <v>42443</v>
      </c>
      <c r="P31" s="27"/>
      <c r="Q31" s="27"/>
    </row>
    <row r="32" spans="1:17" ht="15.75" x14ac:dyDescent="0.25">
      <c r="A32" s="137"/>
      <c r="B32" s="128"/>
      <c r="C32" s="26"/>
      <c r="D32" s="138"/>
      <c r="E32" s="26"/>
      <c r="F32" s="136">
        <f t="shared" si="0"/>
        <v>0</v>
      </c>
      <c r="I32" s="3">
        <f>20000+40521+680+10798.6+12478</f>
        <v>84477.6</v>
      </c>
      <c r="J32" s="125" t="s">
        <v>169</v>
      </c>
      <c r="K32" s="26">
        <v>84477.81</v>
      </c>
      <c r="L32" s="160"/>
      <c r="M32" s="157" t="s">
        <v>52</v>
      </c>
      <c r="N32" s="162">
        <v>60776</v>
      </c>
      <c r="O32" s="163">
        <v>42443</v>
      </c>
      <c r="P32" s="27"/>
      <c r="Q32" s="27"/>
    </row>
    <row r="33" spans="1:17" ht="15.75" x14ac:dyDescent="0.25">
      <c r="A33" s="119"/>
      <c r="B33" s="139"/>
      <c r="C33" s="26"/>
      <c r="D33" s="138"/>
      <c r="E33" s="26"/>
      <c r="F33" s="136">
        <f t="shared" si="0"/>
        <v>0</v>
      </c>
      <c r="I33" s="3"/>
      <c r="J33" s="123"/>
      <c r="K33" s="21">
        <v>0</v>
      </c>
      <c r="L33" s="160"/>
      <c r="M33" s="157" t="s">
        <v>52</v>
      </c>
      <c r="N33" s="162">
        <v>40521</v>
      </c>
      <c r="O33" s="163">
        <v>42443</v>
      </c>
      <c r="P33" s="27"/>
      <c r="Q33" s="27"/>
    </row>
    <row r="34" spans="1:17" ht="15.75" x14ac:dyDescent="0.25">
      <c r="A34" s="119"/>
      <c r="B34" s="140"/>
      <c r="C34" s="26"/>
      <c r="D34" s="43"/>
      <c r="E34" s="26"/>
      <c r="F34" s="136">
        <f t="shared" si="0"/>
        <v>0</v>
      </c>
      <c r="I34" s="3">
        <v>1061.5</v>
      </c>
      <c r="J34" s="123" t="s">
        <v>172</v>
      </c>
      <c r="K34" s="21">
        <v>1061.58</v>
      </c>
      <c r="L34" s="160"/>
      <c r="M34" s="157" t="s">
        <v>52</v>
      </c>
      <c r="N34" s="162">
        <v>10798.6</v>
      </c>
      <c r="O34" s="163">
        <v>42440</v>
      </c>
      <c r="P34" s="27"/>
      <c r="Q34" s="27"/>
    </row>
    <row r="35" spans="1:17" ht="15.75" x14ac:dyDescent="0.25">
      <c r="A35" s="119"/>
      <c r="B35" s="140"/>
      <c r="C35" s="26"/>
      <c r="D35" s="43"/>
      <c r="E35" s="26"/>
      <c r="F35" s="136">
        <f t="shared" si="0"/>
        <v>0</v>
      </c>
      <c r="I35" s="3">
        <f>40000+16000</f>
        <v>56000</v>
      </c>
      <c r="J35" s="126" t="s">
        <v>173</v>
      </c>
      <c r="K35" s="21">
        <v>55998.83</v>
      </c>
      <c r="L35" s="233" t="s">
        <v>91</v>
      </c>
      <c r="M35" s="234" t="s">
        <v>52</v>
      </c>
      <c r="N35" s="235">
        <v>680</v>
      </c>
      <c r="O35" s="236">
        <v>42441</v>
      </c>
      <c r="P35" s="27"/>
      <c r="Q35" s="27"/>
    </row>
    <row r="36" spans="1:17" ht="16.5" thickBot="1" x14ac:dyDescent="0.3">
      <c r="B36" s="141"/>
      <c r="C36" s="142">
        <v>0</v>
      </c>
      <c r="D36" s="143"/>
      <c r="E36" s="144">
        <v>0</v>
      </c>
      <c r="F36" s="136">
        <f t="shared" si="0"/>
        <v>0</v>
      </c>
      <c r="I36" s="3">
        <v>0</v>
      </c>
      <c r="J36" s="123" t="s">
        <v>20</v>
      </c>
      <c r="K36" s="237" t="s">
        <v>20</v>
      </c>
      <c r="L36" s="164"/>
      <c r="M36" s="157" t="s">
        <v>52</v>
      </c>
      <c r="N36" s="158">
        <v>40000</v>
      </c>
      <c r="O36" s="159">
        <v>42445</v>
      </c>
      <c r="P36" s="27"/>
      <c r="Q36" s="27"/>
    </row>
    <row r="37" spans="1:17" ht="16.5" thickTop="1" x14ac:dyDescent="0.25">
      <c r="B37" s="37"/>
      <c r="C37" s="21">
        <f>SUM(C3:C36)</f>
        <v>1305564.6299999997</v>
      </c>
      <c r="D37" s="145"/>
      <c r="E37" s="30">
        <f>SUM(E3:E36)</f>
        <v>865133.39999999991</v>
      </c>
      <c r="F37" s="30">
        <f>SUM(F3:F36)</f>
        <v>440431.23</v>
      </c>
      <c r="I37" s="242">
        <f>SUM(I24:I36)</f>
        <v>468175.4</v>
      </c>
      <c r="J37" s="165"/>
      <c r="K37" s="166">
        <v>0</v>
      </c>
      <c r="L37" s="165"/>
      <c r="M37" s="241" t="s">
        <v>52</v>
      </c>
      <c r="N37" s="215">
        <v>16000</v>
      </c>
      <c r="O37" s="163">
        <v>42444</v>
      </c>
      <c r="P37" s="27"/>
      <c r="Q37" s="27"/>
    </row>
    <row r="38" spans="1:17" ht="15.75" x14ac:dyDescent="0.25">
      <c r="A38" s="20"/>
      <c r="J38" s="123"/>
      <c r="K38" s="237">
        <v>0</v>
      </c>
      <c r="L38" s="160"/>
      <c r="M38" s="238" t="s">
        <v>52</v>
      </c>
      <c r="N38" s="239">
        <v>12478</v>
      </c>
      <c r="O38" s="240">
        <v>42444</v>
      </c>
      <c r="P38" s="27"/>
      <c r="Q38" s="27"/>
    </row>
    <row r="39" spans="1:17" ht="15.75" thickBot="1" x14ac:dyDescent="0.3">
      <c r="A39" s="20"/>
      <c r="C39" s="20"/>
      <c r="E39" s="20"/>
      <c r="F39" s="20"/>
      <c r="J39" s="243"/>
      <c r="K39" s="244">
        <v>0</v>
      </c>
      <c r="L39" s="244"/>
      <c r="M39" s="244" t="s">
        <v>52</v>
      </c>
      <c r="N39" s="244">
        <v>1061.5</v>
      </c>
      <c r="O39" s="245">
        <v>42444</v>
      </c>
      <c r="P39" s="27"/>
      <c r="Q39" s="27"/>
    </row>
    <row r="40" spans="1:17" ht="15.75" x14ac:dyDescent="0.25">
      <c r="A40" s="20"/>
      <c r="C40" s="20"/>
      <c r="E40" s="20"/>
      <c r="F40" s="20"/>
      <c r="J40" s="196"/>
      <c r="K40" s="26">
        <f>SUM(K24:K39)</f>
        <v>468175.10000000003</v>
      </c>
      <c r="L40" s="43"/>
      <c r="M40" s="220"/>
      <c r="N40" s="221">
        <f>SUM(N24:N39)</f>
        <v>468175.1</v>
      </c>
      <c r="O40" s="219"/>
      <c r="P40" s="27"/>
      <c r="Q40" s="27"/>
    </row>
    <row r="41" spans="1:17" ht="15.75" x14ac:dyDescent="0.25">
      <c r="A41" s="20"/>
      <c r="C41" s="20"/>
      <c r="E41" s="20"/>
      <c r="F41" s="20"/>
      <c r="J41" s="201"/>
      <c r="K41" s="26"/>
      <c r="L41" s="43"/>
      <c r="M41" s="220"/>
      <c r="N41" s="221"/>
      <c r="O41" s="219"/>
      <c r="P41" s="27"/>
      <c r="Q41" s="27"/>
    </row>
    <row r="42" spans="1:17" x14ac:dyDescent="0.25">
      <c r="A42" s="20"/>
      <c r="C42" s="20"/>
      <c r="E42" s="20"/>
      <c r="F42" s="20"/>
      <c r="J42" s="27"/>
      <c r="K42" s="26"/>
      <c r="L42" s="27"/>
      <c r="M42" s="27"/>
      <c r="N42" s="26"/>
      <c r="O42" s="27"/>
      <c r="P42" s="27"/>
      <c r="Q42" s="27"/>
    </row>
    <row r="43" spans="1:17" ht="19.5" thickBot="1" x14ac:dyDescent="0.35">
      <c r="A43" s="20"/>
      <c r="C43" s="20"/>
      <c r="E43" s="20"/>
      <c r="F43" s="20"/>
      <c r="G43"/>
      <c r="J43" s="27"/>
      <c r="K43" s="222"/>
      <c r="L43" s="223"/>
      <c r="M43" s="224"/>
      <c r="N43" s="225"/>
      <c r="O43" s="226"/>
      <c r="P43" s="27"/>
      <c r="Q43" s="27"/>
    </row>
    <row r="44" spans="1:17" ht="19.5" thickBot="1" x14ac:dyDescent="0.35">
      <c r="A44" s="20"/>
      <c r="C44" s="20"/>
      <c r="E44" s="20"/>
      <c r="F44" s="20"/>
      <c r="G44"/>
      <c r="K44" s="146" t="s">
        <v>46</v>
      </c>
      <c r="L44" s="147"/>
      <c r="M44" s="148"/>
      <c r="N44" s="261">
        <v>42455</v>
      </c>
      <c r="O44" s="150"/>
      <c r="P44" s="27"/>
      <c r="Q44" s="27"/>
    </row>
    <row r="45" spans="1:17" ht="15.75" x14ac:dyDescent="0.25">
      <c r="J45" s="151"/>
      <c r="K45" s="152"/>
      <c r="L45" s="151"/>
      <c r="M45" s="153"/>
      <c r="N45" s="152"/>
      <c r="O45" s="154"/>
      <c r="P45" s="27"/>
      <c r="Q45" s="27"/>
    </row>
    <row r="46" spans="1:17" ht="15.75" x14ac:dyDescent="0.25">
      <c r="I46" s="3"/>
      <c r="J46" s="155" t="s">
        <v>47</v>
      </c>
      <c r="K46" s="152" t="s">
        <v>48</v>
      </c>
      <c r="L46" s="151"/>
      <c r="M46" s="153" t="s">
        <v>49</v>
      </c>
      <c r="N46" s="152" t="s">
        <v>50</v>
      </c>
      <c r="O46" s="154"/>
      <c r="P46" s="180"/>
      <c r="Q46" s="27"/>
    </row>
    <row r="47" spans="1:17" ht="15.75" x14ac:dyDescent="0.25">
      <c r="I47" s="3">
        <v>22814.5</v>
      </c>
      <c r="J47" s="125" t="s">
        <v>171</v>
      </c>
      <c r="K47" s="26">
        <v>22814.54</v>
      </c>
      <c r="L47" s="156"/>
      <c r="M47" s="157" t="s">
        <v>52</v>
      </c>
      <c r="N47" s="158">
        <v>30217.5</v>
      </c>
      <c r="O47" s="159">
        <v>42446</v>
      </c>
      <c r="P47" s="180">
        <v>42445</v>
      </c>
      <c r="Q47" s="27"/>
    </row>
    <row r="48" spans="1:17" ht="15.75" x14ac:dyDescent="0.25">
      <c r="I48" s="3">
        <f>30217.5+2000</f>
        <v>32217.5</v>
      </c>
      <c r="J48" s="125" t="s">
        <v>173</v>
      </c>
      <c r="K48" s="26">
        <v>32219.119999999999</v>
      </c>
      <c r="L48" s="160" t="s">
        <v>51</v>
      </c>
      <c r="M48" s="157" t="s">
        <v>52</v>
      </c>
      <c r="N48" s="158">
        <v>2000</v>
      </c>
      <c r="O48" s="159">
        <v>42447</v>
      </c>
      <c r="P48" s="180">
        <v>42445</v>
      </c>
      <c r="Q48" s="27"/>
    </row>
    <row r="49" spans="1:17" ht="15.75" x14ac:dyDescent="0.25">
      <c r="I49" s="3">
        <f>21000+1155.2</f>
        <v>22155.200000000001</v>
      </c>
      <c r="J49" s="123" t="s">
        <v>195</v>
      </c>
      <c r="K49" s="21">
        <v>22155.200000000001</v>
      </c>
      <c r="L49" s="160"/>
      <c r="M49" s="157" t="s">
        <v>52</v>
      </c>
      <c r="N49" s="158">
        <v>22814.5</v>
      </c>
      <c r="O49" s="159">
        <v>42447</v>
      </c>
      <c r="P49" s="180">
        <v>42446</v>
      </c>
      <c r="Q49" s="27"/>
    </row>
    <row r="50" spans="1:17" ht="15.75" x14ac:dyDescent="0.25">
      <c r="I50" s="3">
        <f>57421+7579.3+17543.36</f>
        <v>82543.66</v>
      </c>
      <c r="J50" s="123" t="s">
        <v>196</v>
      </c>
      <c r="K50" s="21">
        <v>82543.360000000001</v>
      </c>
      <c r="L50" s="161"/>
      <c r="M50" s="157" t="s">
        <v>52</v>
      </c>
      <c r="N50" s="158">
        <v>21000</v>
      </c>
      <c r="O50" s="159">
        <v>42451</v>
      </c>
      <c r="P50" s="180">
        <v>42446</v>
      </c>
      <c r="Q50" s="27"/>
    </row>
    <row r="51" spans="1:17" ht="15.75" x14ac:dyDescent="0.25">
      <c r="I51" s="3">
        <v>3481.2</v>
      </c>
      <c r="J51" s="123" t="s">
        <v>199</v>
      </c>
      <c r="K51" s="21">
        <v>3481.2</v>
      </c>
      <c r="L51" s="160"/>
      <c r="M51" s="157" t="s">
        <v>52</v>
      </c>
      <c r="N51" s="162">
        <v>57421</v>
      </c>
      <c r="O51" s="163">
        <v>42448</v>
      </c>
      <c r="P51" s="180">
        <v>42447</v>
      </c>
      <c r="Q51" s="27"/>
    </row>
    <row r="52" spans="1:17" ht="15.75" x14ac:dyDescent="0.25">
      <c r="I52" s="3">
        <f>40000+45579+31000</f>
        <v>116579</v>
      </c>
      <c r="J52" s="123" t="s">
        <v>200</v>
      </c>
      <c r="K52" s="21">
        <v>116579.19</v>
      </c>
      <c r="L52" s="160"/>
      <c r="M52" s="157" t="s">
        <v>52</v>
      </c>
      <c r="N52" s="162">
        <v>8734.5</v>
      </c>
      <c r="O52" s="163">
        <v>42444</v>
      </c>
      <c r="P52" s="180">
        <v>42447</v>
      </c>
      <c r="Q52" s="27"/>
    </row>
    <row r="53" spans="1:17" ht="15.75" x14ac:dyDescent="0.25">
      <c r="I53" s="3">
        <v>0</v>
      </c>
      <c r="J53" s="123"/>
      <c r="K53" s="21"/>
      <c r="L53" s="160"/>
      <c r="M53" s="157">
        <v>3237367</v>
      </c>
      <c r="N53" s="162">
        <v>61024</v>
      </c>
      <c r="O53" s="163">
        <v>42450</v>
      </c>
      <c r="P53" s="27"/>
      <c r="Q53" s="27"/>
    </row>
    <row r="54" spans="1:17" ht="15.75" x14ac:dyDescent="0.25">
      <c r="A54"/>
      <c r="B54"/>
      <c r="C54"/>
      <c r="D54"/>
      <c r="E54" s="20"/>
      <c r="F54" s="20"/>
      <c r="G54"/>
      <c r="I54" s="3">
        <f>SUM(I47:I53)</f>
        <v>279791.06</v>
      </c>
      <c r="J54" s="125"/>
      <c r="K54" s="26"/>
      <c r="L54" s="160"/>
      <c r="M54" s="157">
        <v>3237374</v>
      </c>
      <c r="N54" s="162">
        <v>45579</v>
      </c>
      <c r="O54" s="163">
        <v>42449</v>
      </c>
      <c r="P54" s="27"/>
      <c r="Q54" s="27"/>
    </row>
    <row r="55" spans="1:17" ht="15.75" x14ac:dyDescent="0.25">
      <c r="I55" s="3"/>
      <c r="J55" s="125"/>
      <c r="K55" s="26"/>
      <c r="L55" s="160"/>
      <c r="M55" s="157" t="s">
        <v>52</v>
      </c>
      <c r="N55" s="162">
        <v>31000</v>
      </c>
      <c r="O55" s="163">
        <v>42451</v>
      </c>
      <c r="P55" s="180">
        <v>42450</v>
      </c>
      <c r="Q55" s="27"/>
    </row>
    <row r="56" spans="1:17" ht="15.75" thickBot="1" x14ac:dyDescent="0.3">
      <c r="I56" s="3"/>
      <c r="J56" s="243"/>
      <c r="K56" s="244">
        <v>0</v>
      </c>
      <c r="L56" s="244"/>
      <c r="M56" s="244" t="s">
        <v>52</v>
      </c>
      <c r="N56" s="244">
        <v>2</v>
      </c>
      <c r="O56" s="245"/>
    </row>
    <row r="57" spans="1:17" ht="15.75" x14ac:dyDescent="0.25">
      <c r="I57" s="3"/>
      <c r="J57" s="196"/>
      <c r="K57" s="26">
        <f>SUM(K47:K56)</f>
        <v>279792.61</v>
      </c>
      <c r="L57" s="43"/>
      <c r="M57" s="220"/>
      <c r="N57" s="221">
        <f>SUM(N47:N56)</f>
        <v>279792.5</v>
      </c>
      <c r="O57" s="219"/>
    </row>
    <row r="58" spans="1:17" x14ac:dyDescent="0.25">
      <c r="I58" s="3"/>
    </row>
  </sheetData>
  <sortState ref="J4:K16">
    <sortCondition ref="J4:J16"/>
  </sortState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3:M28"/>
  <sheetViews>
    <sheetView workbookViewId="0">
      <selection activeCell="J17" sqref="J17"/>
    </sheetView>
  </sheetViews>
  <sheetFormatPr baseColWidth="10" defaultRowHeight="15" x14ac:dyDescent="0.25"/>
  <cols>
    <col min="2" max="2" width="12.42578125" bestFit="1" customWidth="1"/>
    <col min="4" max="4" width="3.85546875" customWidth="1"/>
    <col min="5" max="5" width="11.42578125" style="3"/>
    <col min="9" max="9" width="12.42578125" bestFit="1" customWidth="1"/>
    <col min="11" max="11" width="3.85546875" customWidth="1"/>
    <col min="12" max="12" width="11.42578125" style="3"/>
  </cols>
  <sheetData>
    <row r="3" spans="1:13" ht="18.75" x14ac:dyDescent="0.3">
      <c r="B3" s="209">
        <v>42407</v>
      </c>
      <c r="I3" s="209"/>
    </row>
    <row r="4" spans="1:13" ht="18.75" x14ac:dyDescent="0.3">
      <c r="B4" s="256" t="s">
        <v>135</v>
      </c>
      <c r="C4" s="257"/>
      <c r="D4" s="165"/>
      <c r="E4" s="211" t="s">
        <v>137</v>
      </c>
      <c r="F4" s="212" t="s">
        <v>138</v>
      </c>
      <c r="I4" s="216" t="s">
        <v>144</v>
      </c>
      <c r="J4" s="253">
        <v>42393</v>
      </c>
      <c r="K4" s="165"/>
      <c r="L4" s="211" t="s">
        <v>137</v>
      </c>
      <c r="M4" s="212" t="s">
        <v>138</v>
      </c>
    </row>
    <row r="5" spans="1:13" ht="15.75" x14ac:dyDescent="0.25">
      <c r="B5" s="165" t="s">
        <v>136</v>
      </c>
      <c r="C5" s="213">
        <v>3000</v>
      </c>
      <c r="D5" s="165"/>
      <c r="E5" s="214">
        <v>0</v>
      </c>
      <c r="F5" s="255">
        <f>C5-E5</f>
        <v>3000</v>
      </c>
      <c r="I5" s="165" t="s">
        <v>136</v>
      </c>
      <c r="J5" s="213">
        <v>1500</v>
      </c>
      <c r="K5" s="165"/>
      <c r="L5" s="214">
        <v>0</v>
      </c>
      <c r="M5" s="255">
        <f>J5-L5</f>
        <v>1500</v>
      </c>
    </row>
    <row r="6" spans="1:13" ht="15.75" x14ac:dyDescent="0.25">
      <c r="B6" s="165"/>
      <c r="C6" s="215"/>
      <c r="D6" s="165"/>
      <c r="E6" s="214"/>
      <c r="F6" s="255">
        <f>F5-E6</f>
        <v>3000</v>
      </c>
      <c r="I6" s="165"/>
      <c r="J6" s="215"/>
      <c r="K6" s="165"/>
      <c r="L6" s="214"/>
      <c r="M6" s="255">
        <f>M5+J6-L6</f>
        <v>1500</v>
      </c>
    </row>
    <row r="7" spans="1:13" ht="15.75" x14ac:dyDescent="0.25">
      <c r="A7" s="89" t="s">
        <v>194</v>
      </c>
      <c r="B7" s="258">
        <v>42414</v>
      </c>
      <c r="C7" s="215">
        <v>0</v>
      </c>
      <c r="D7" s="165"/>
      <c r="E7" s="214"/>
      <c r="F7" s="255">
        <f t="shared" ref="F7:F25" si="0">F6-E7</f>
        <v>3000</v>
      </c>
      <c r="I7" s="165"/>
      <c r="J7" s="215"/>
      <c r="K7" s="165"/>
      <c r="L7" s="214"/>
      <c r="M7" s="255">
        <f t="shared" ref="M7:M28" si="1">M6+J7-L7</f>
        <v>1500</v>
      </c>
    </row>
    <row r="8" spans="1:13" ht="15.75" x14ac:dyDescent="0.25">
      <c r="A8" s="89" t="s">
        <v>194</v>
      </c>
      <c r="B8" s="258">
        <v>42421</v>
      </c>
      <c r="C8" s="215">
        <v>0</v>
      </c>
      <c r="D8" s="165"/>
      <c r="E8" s="214"/>
      <c r="F8" s="255">
        <f t="shared" si="0"/>
        <v>3000</v>
      </c>
      <c r="I8" s="254">
        <v>42407</v>
      </c>
      <c r="J8" s="215"/>
      <c r="K8" s="165"/>
      <c r="L8" s="214">
        <v>300</v>
      </c>
      <c r="M8" s="255">
        <f t="shared" si="1"/>
        <v>1200</v>
      </c>
    </row>
    <row r="9" spans="1:13" ht="15.75" x14ac:dyDescent="0.25">
      <c r="A9" s="89" t="s">
        <v>194</v>
      </c>
      <c r="B9" s="258">
        <v>42428</v>
      </c>
      <c r="C9" s="215">
        <v>0</v>
      </c>
      <c r="D9" s="165"/>
      <c r="E9" s="214"/>
      <c r="F9" s="255">
        <f t="shared" si="0"/>
        <v>3000</v>
      </c>
      <c r="I9" s="254">
        <v>42414</v>
      </c>
      <c r="J9" s="215"/>
      <c r="K9" s="165"/>
      <c r="L9" s="214">
        <v>300</v>
      </c>
      <c r="M9" s="255">
        <f t="shared" si="1"/>
        <v>900</v>
      </c>
    </row>
    <row r="10" spans="1:13" ht="15.75" x14ac:dyDescent="0.25">
      <c r="A10" s="89" t="s">
        <v>194</v>
      </c>
      <c r="B10" s="258">
        <v>42435</v>
      </c>
      <c r="C10" s="215">
        <v>0</v>
      </c>
      <c r="D10" s="165"/>
      <c r="E10" s="214"/>
      <c r="F10" s="255">
        <f t="shared" si="0"/>
        <v>3000</v>
      </c>
      <c r="I10" s="254">
        <v>42421</v>
      </c>
      <c r="J10" s="215"/>
      <c r="K10" s="165"/>
      <c r="L10" s="214">
        <v>300</v>
      </c>
      <c r="M10" s="255">
        <f t="shared" si="1"/>
        <v>600</v>
      </c>
    </row>
    <row r="11" spans="1:13" ht="15.75" x14ac:dyDescent="0.25">
      <c r="A11" s="89" t="s">
        <v>194</v>
      </c>
      <c r="B11" s="258">
        <v>42442</v>
      </c>
      <c r="C11" s="215">
        <v>0</v>
      </c>
      <c r="D11" s="165"/>
      <c r="E11" s="214"/>
      <c r="F11" s="255">
        <f t="shared" si="0"/>
        <v>3000</v>
      </c>
      <c r="I11" s="254">
        <v>42448</v>
      </c>
      <c r="J11" s="215"/>
      <c r="K11" s="165"/>
      <c r="L11" s="214">
        <v>300</v>
      </c>
      <c r="M11" s="255">
        <f t="shared" si="1"/>
        <v>300</v>
      </c>
    </row>
    <row r="12" spans="1:13" ht="15.75" x14ac:dyDescent="0.25">
      <c r="B12" s="258"/>
      <c r="C12" s="215"/>
      <c r="D12" s="165"/>
      <c r="E12" s="214"/>
      <c r="F12" s="255">
        <f t="shared" si="0"/>
        <v>3000</v>
      </c>
      <c r="I12" s="254">
        <v>42451</v>
      </c>
      <c r="J12" s="215"/>
      <c r="K12" s="165"/>
      <c r="L12" s="214">
        <v>300</v>
      </c>
      <c r="M12" s="255">
        <f t="shared" si="1"/>
        <v>0</v>
      </c>
    </row>
    <row r="13" spans="1:13" ht="15.75" x14ac:dyDescent="0.25">
      <c r="B13" s="258">
        <v>42451</v>
      </c>
      <c r="C13" s="215"/>
      <c r="D13" s="165"/>
      <c r="E13" s="214">
        <v>3000</v>
      </c>
      <c r="F13" s="255">
        <f t="shared" si="0"/>
        <v>0</v>
      </c>
      <c r="I13" s="254"/>
      <c r="J13" s="215"/>
      <c r="K13" s="165"/>
      <c r="L13" s="214"/>
      <c r="M13" s="255">
        <f t="shared" si="1"/>
        <v>0</v>
      </c>
    </row>
    <row r="14" spans="1:13" ht="15.75" x14ac:dyDescent="0.25">
      <c r="B14" s="258"/>
      <c r="C14" s="215"/>
      <c r="D14" s="165"/>
      <c r="E14" s="214"/>
      <c r="F14" s="255">
        <f t="shared" si="0"/>
        <v>0</v>
      </c>
      <c r="I14" s="254">
        <v>42450</v>
      </c>
      <c r="J14" s="215">
        <v>2500</v>
      </c>
      <c r="K14" s="165"/>
      <c r="L14" s="214"/>
      <c r="M14" s="255">
        <f t="shared" si="1"/>
        <v>2500</v>
      </c>
    </row>
    <row r="15" spans="1:13" ht="15.75" x14ac:dyDescent="0.25">
      <c r="B15" s="258"/>
      <c r="C15" s="215"/>
      <c r="D15" s="165"/>
      <c r="E15" s="214"/>
      <c r="F15" s="255">
        <f t="shared" si="0"/>
        <v>0</v>
      </c>
      <c r="I15" s="254"/>
      <c r="J15" s="215"/>
      <c r="K15" s="165"/>
      <c r="L15" s="214"/>
      <c r="M15" s="255">
        <f t="shared" si="1"/>
        <v>2500</v>
      </c>
    </row>
    <row r="16" spans="1:13" ht="15.75" x14ac:dyDescent="0.25">
      <c r="B16" s="258"/>
      <c r="C16" s="215"/>
      <c r="D16" s="165"/>
      <c r="E16" s="214"/>
      <c r="F16" s="255">
        <f t="shared" si="0"/>
        <v>0</v>
      </c>
      <c r="I16" s="254"/>
      <c r="J16" s="215"/>
      <c r="K16" s="165"/>
      <c r="L16" s="214"/>
      <c r="M16" s="255">
        <f t="shared" si="1"/>
        <v>2500</v>
      </c>
    </row>
    <row r="17" spans="2:13" ht="15.75" x14ac:dyDescent="0.25">
      <c r="B17" s="258"/>
      <c r="C17" s="215"/>
      <c r="D17" s="165"/>
      <c r="E17" s="214"/>
      <c r="F17" s="255">
        <f t="shared" si="0"/>
        <v>0</v>
      </c>
      <c r="I17" s="254"/>
      <c r="J17" s="215"/>
      <c r="K17" s="165"/>
      <c r="L17" s="214"/>
      <c r="M17" s="255">
        <f t="shared" si="1"/>
        <v>2500</v>
      </c>
    </row>
    <row r="18" spans="2:13" ht="15.75" x14ac:dyDescent="0.25">
      <c r="B18" s="258"/>
      <c r="C18" s="215"/>
      <c r="D18" s="165"/>
      <c r="E18" s="214"/>
      <c r="F18" s="255">
        <f t="shared" si="0"/>
        <v>0</v>
      </c>
      <c r="I18" s="254"/>
      <c r="J18" s="215"/>
      <c r="K18" s="165"/>
      <c r="L18" s="214"/>
      <c r="M18" s="255">
        <f t="shared" si="1"/>
        <v>2500</v>
      </c>
    </row>
    <row r="19" spans="2:13" ht="15.75" x14ac:dyDescent="0.25">
      <c r="B19" s="258"/>
      <c r="C19" s="215"/>
      <c r="D19" s="165"/>
      <c r="E19" s="214"/>
      <c r="F19" s="255">
        <f t="shared" si="0"/>
        <v>0</v>
      </c>
      <c r="I19" s="254"/>
      <c r="J19" s="215"/>
      <c r="K19" s="165"/>
      <c r="L19" s="214"/>
      <c r="M19" s="255">
        <f t="shared" si="1"/>
        <v>2500</v>
      </c>
    </row>
    <row r="20" spans="2:13" ht="15.75" x14ac:dyDescent="0.25">
      <c r="B20" s="258"/>
      <c r="C20" s="215"/>
      <c r="D20" s="165"/>
      <c r="E20" s="214"/>
      <c r="F20" s="255">
        <f t="shared" si="0"/>
        <v>0</v>
      </c>
      <c r="I20" s="254"/>
      <c r="J20" s="215"/>
      <c r="K20" s="165"/>
      <c r="L20" s="214"/>
      <c r="M20" s="255">
        <f t="shared" si="1"/>
        <v>2500</v>
      </c>
    </row>
    <row r="21" spans="2:13" ht="15.75" x14ac:dyDescent="0.25">
      <c r="B21" s="258"/>
      <c r="C21" s="215"/>
      <c r="D21" s="165"/>
      <c r="E21" s="214"/>
      <c r="F21" s="255">
        <f t="shared" si="0"/>
        <v>0</v>
      </c>
      <c r="I21" s="254"/>
      <c r="J21" s="215"/>
      <c r="K21" s="165"/>
      <c r="L21" s="214"/>
      <c r="M21" s="255">
        <f t="shared" si="1"/>
        <v>2500</v>
      </c>
    </row>
    <row r="22" spans="2:13" ht="15.75" x14ac:dyDescent="0.25">
      <c r="B22" s="258"/>
      <c r="C22" s="215"/>
      <c r="D22" s="165"/>
      <c r="E22" s="214"/>
      <c r="F22" s="255">
        <f t="shared" si="0"/>
        <v>0</v>
      </c>
      <c r="I22" s="254"/>
      <c r="J22" s="215"/>
      <c r="K22" s="165"/>
      <c r="L22" s="214"/>
      <c r="M22" s="255">
        <f t="shared" si="1"/>
        <v>2500</v>
      </c>
    </row>
    <row r="23" spans="2:13" ht="15.75" x14ac:dyDescent="0.25">
      <c r="B23" s="258"/>
      <c r="C23" s="215"/>
      <c r="D23" s="165"/>
      <c r="E23" s="214"/>
      <c r="F23" s="255">
        <f t="shared" si="0"/>
        <v>0</v>
      </c>
      <c r="I23" s="254"/>
      <c r="J23" s="215"/>
      <c r="K23" s="165"/>
      <c r="L23" s="214"/>
      <c r="M23" s="255">
        <f t="shared" si="1"/>
        <v>2500</v>
      </c>
    </row>
    <row r="24" spans="2:13" ht="15.75" x14ac:dyDescent="0.25">
      <c r="B24" s="258"/>
      <c r="C24" s="215"/>
      <c r="D24" s="165"/>
      <c r="E24" s="214"/>
      <c r="F24" s="255">
        <f t="shared" si="0"/>
        <v>0</v>
      </c>
      <c r="I24" s="254"/>
      <c r="J24" s="215"/>
      <c r="K24" s="165"/>
      <c r="L24" s="214"/>
      <c r="M24" s="255">
        <f t="shared" si="1"/>
        <v>2500</v>
      </c>
    </row>
    <row r="25" spans="2:13" x14ac:dyDescent="0.25">
      <c r="B25" s="258"/>
      <c r="C25" s="165"/>
      <c r="D25" s="165"/>
      <c r="E25" s="214"/>
      <c r="F25" s="255">
        <f t="shared" si="0"/>
        <v>0</v>
      </c>
      <c r="I25" s="254"/>
      <c r="J25" s="165"/>
      <c r="K25" s="165"/>
      <c r="L25" s="214"/>
      <c r="M25" s="255">
        <f t="shared" si="1"/>
        <v>2500</v>
      </c>
    </row>
    <row r="26" spans="2:13" x14ac:dyDescent="0.25">
      <c r="B26" s="258"/>
      <c r="C26" s="165"/>
      <c r="D26" s="165"/>
      <c r="E26" s="214"/>
      <c r="F26" s="165"/>
      <c r="I26" s="254"/>
      <c r="J26" s="165"/>
      <c r="K26" s="165"/>
      <c r="L26" s="214"/>
      <c r="M26" s="255">
        <f t="shared" si="1"/>
        <v>2500</v>
      </c>
    </row>
    <row r="27" spans="2:13" x14ac:dyDescent="0.25">
      <c r="B27" s="165"/>
      <c r="C27" s="165"/>
      <c r="D27" s="165"/>
      <c r="E27" s="214"/>
      <c r="F27" s="165"/>
      <c r="I27" s="254"/>
      <c r="J27" s="165"/>
      <c r="K27" s="165"/>
      <c r="L27" s="214"/>
      <c r="M27" s="255">
        <f t="shared" si="1"/>
        <v>2500</v>
      </c>
    </row>
    <row r="28" spans="2:13" x14ac:dyDescent="0.25">
      <c r="B28" s="165"/>
      <c r="C28" s="165"/>
      <c r="D28" s="165"/>
      <c r="E28" s="214"/>
      <c r="F28" s="165"/>
      <c r="I28" s="165"/>
      <c r="J28" s="165"/>
      <c r="K28" s="165"/>
      <c r="L28" s="214"/>
      <c r="M28" s="255">
        <f t="shared" si="1"/>
        <v>2500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ENERO 2016</vt:lpstr>
      <vt:lpstr>REMISIONES ENERO 2016</vt:lpstr>
      <vt:lpstr>FEBRERO 2016</vt:lpstr>
      <vt:lpstr>Remisiones  Febrero 2016</vt:lpstr>
      <vt:lpstr>MARZO 2016</vt:lpstr>
      <vt:lpstr>REMISIONES MARZO 2016</vt:lpstr>
      <vt:lpstr>Hoja7</vt:lpstr>
      <vt:lpstr>Hoja8</vt:lpstr>
      <vt:lpstr>PRESTAMOS</vt:lpstr>
      <vt:lpstr>Hoja10</vt:lpstr>
      <vt:lpstr>Hoja11</vt:lpstr>
      <vt:lpstr>Hoja12</vt:lpstr>
      <vt:lpstr>Hoja13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2016-03-26T20:41:25Z</cp:lastPrinted>
  <dcterms:created xsi:type="dcterms:W3CDTF">2016-01-05T21:47:31Z</dcterms:created>
  <dcterms:modified xsi:type="dcterms:W3CDTF">2016-04-01T21:41:51Z</dcterms:modified>
</cp:coreProperties>
</file>