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firstSheet="5" activeTab="15"/>
  </bookViews>
  <sheets>
    <sheet name="E N E R O    2016  " sheetId="1" r:id="rId1"/>
    <sheet name="REMISIONES  ENERO  2 0 1 6 " sheetId="2" r:id="rId2"/>
    <sheet name="FEBRERO  2016" sheetId="3" r:id="rId3"/>
    <sheet name="REMISONES FEBRERO 2016" sheetId="4" r:id="rId4"/>
    <sheet name="MARZO 2016" sheetId="5" r:id="rId5"/>
    <sheet name="REMISIONES MARZO 2016" sheetId="6" r:id="rId6"/>
    <sheet name="Hoja5" sheetId="7" r:id="rId7"/>
    <sheet name="Hoja6" sheetId="8" r:id="rId8"/>
    <sheet name="Hoja7" sheetId="9" r:id="rId9"/>
    <sheet name="Hoja1" sheetId="10" r:id="rId10"/>
    <sheet name="Hoja2" sheetId="11" r:id="rId11"/>
    <sheet name="Hoja3" sheetId="12" r:id="rId12"/>
    <sheet name="Hoja4" sheetId="13" r:id="rId13"/>
    <sheet name="Hoja8" sheetId="14" r:id="rId14"/>
    <sheet name="Hoja9" sheetId="15" r:id="rId15"/>
    <sheet name="CORTES DE CIC " sheetId="16" r:id="rId16"/>
    <sheet name="Hoja11" sheetId="17" r:id="rId17"/>
    <sheet name="Hoja12" sheetId="18" r:id="rId18"/>
  </sheets>
  <calcPr calcId="144525"/>
</workbook>
</file>

<file path=xl/calcChain.xml><?xml version="1.0" encoding="utf-8"?>
<calcChain xmlns="http://schemas.openxmlformats.org/spreadsheetml/2006/main">
  <c r="I21" i="16" l="1"/>
  <c r="F12" i="6" l="1"/>
  <c r="T12" i="6"/>
  <c r="T9" i="6"/>
  <c r="Y23" i="6"/>
  <c r="V23" i="6"/>
  <c r="T8" i="6"/>
  <c r="T6" i="6"/>
  <c r="T4" i="6"/>
  <c r="T18" i="6"/>
  <c r="K44" i="5" l="1"/>
  <c r="K37" i="5"/>
  <c r="I37" i="5"/>
  <c r="J39" i="5" s="1"/>
  <c r="F37" i="5"/>
  <c r="C15" i="5"/>
  <c r="C13" i="5"/>
  <c r="C12" i="5"/>
  <c r="L9" i="5"/>
  <c r="L8" i="5"/>
  <c r="L7" i="5"/>
  <c r="C7" i="5"/>
  <c r="C37" i="5" s="1"/>
  <c r="L6" i="5"/>
  <c r="L4" i="5"/>
  <c r="L37" i="5" s="1"/>
  <c r="F40" i="5" l="1"/>
  <c r="F43" i="5" s="1"/>
  <c r="F45" i="5" s="1"/>
  <c r="K43" i="5" s="1"/>
  <c r="K45" i="5" s="1"/>
  <c r="I46" i="6"/>
  <c r="N46" i="6"/>
  <c r="K46" i="6"/>
  <c r="I38" i="6"/>
  <c r="I36" i="6"/>
  <c r="I35" i="6"/>
  <c r="Q15" i="5" l="1"/>
  <c r="Q13" i="5"/>
  <c r="Q12" i="5"/>
  <c r="Q7" i="5"/>
  <c r="AE7" i="5"/>
  <c r="AR35" i="5" l="1"/>
  <c r="Y44" i="5" l="1"/>
  <c r="Y37" i="5"/>
  <c r="W37" i="5"/>
  <c r="X39" i="5" s="1"/>
  <c r="T37" i="5"/>
  <c r="Q37" i="5"/>
  <c r="Z9" i="5"/>
  <c r="Z8" i="5"/>
  <c r="Z7" i="5"/>
  <c r="Z6" i="5"/>
  <c r="Z4" i="5"/>
  <c r="Z37" i="5" s="1"/>
  <c r="T40" i="5" l="1"/>
  <c r="T43" i="5" s="1"/>
  <c r="T45" i="5" s="1"/>
  <c r="Y43" i="5" s="1"/>
  <c r="Y45" i="5" s="1"/>
  <c r="F4" i="6"/>
  <c r="N28" i="6"/>
  <c r="K28" i="6"/>
  <c r="AO16" i="5"/>
  <c r="AO15" i="5"/>
  <c r="AO13" i="5"/>
  <c r="AO12" i="5"/>
  <c r="AN6" i="5"/>
  <c r="AN9" i="5" l="1"/>
  <c r="AN8" i="5"/>
  <c r="AN7" i="5"/>
  <c r="AN4" i="5"/>
  <c r="K10" i="3" l="1"/>
  <c r="K7" i="3" l="1"/>
  <c r="K7" i="1"/>
  <c r="AM7" i="1"/>
  <c r="Y7" i="1"/>
  <c r="L32" i="3" l="1"/>
  <c r="L30" i="3"/>
  <c r="L28" i="3"/>
  <c r="L27" i="3"/>
  <c r="L26" i="3"/>
  <c r="L25" i="3"/>
  <c r="L23" i="3" l="1"/>
  <c r="L22" i="3"/>
  <c r="L21" i="3"/>
  <c r="L20" i="3"/>
  <c r="L19" i="3" l="1"/>
  <c r="L18" i="3"/>
  <c r="L17" i="3"/>
  <c r="L16" i="3"/>
  <c r="L15" i="3" l="1"/>
  <c r="L14" i="3"/>
  <c r="F13" i="4" l="1"/>
  <c r="K13" i="6" l="1"/>
  <c r="N13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D29" i="6"/>
  <c r="G28" i="6"/>
  <c r="G27" i="6"/>
  <c r="G26" i="6"/>
  <c r="G25" i="6"/>
  <c r="G11" i="6"/>
  <c r="G10" i="6"/>
  <c r="G9" i="6"/>
  <c r="G8" i="6"/>
  <c r="G7" i="6"/>
  <c r="G6" i="6"/>
  <c r="G5" i="6"/>
  <c r="F29" i="6"/>
  <c r="AM44" i="5"/>
  <c r="AK37" i="5"/>
  <c r="AH37" i="5"/>
  <c r="AE37" i="5"/>
  <c r="AM37" i="5"/>
  <c r="AN37" i="5"/>
  <c r="G4" i="6" l="1"/>
  <c r="G29" i="6" s="1"/>
  <c r="AL39" i="5"/>
  <c r="AH40" i="5" s="1"/>
  <c r="AH43" i="5" s="1"/>
  <c r="AH45" i="5" s="1"/>
  <c r="AM43" i="5" s="1"/>
  <c r="AM45" i="5" s="1"/>
  <c r="L11" i="3"/>
  <c r="V51" i="4" l="1"/>
  <c r="S51" i="4"/>
  <c r="F11" i="4" l="1"/>
  <c r="V23" i="4"/>
  <c r="S23" i="4"/>
  <c r="F7" i="4" l="1"/>
  <c r="N72" i="4"/>
  <c r="K72" i="4"/>
  <c r="F4" i="4" l="1"/>
  <c r="N47" i="4"/>
  <c r="K47" i="4"/>
  <c r="L10" i="3" l="1"/>
  <c r="L9" i="3"/>
  <c r="L8" i="3"/>
  <c r="L5" i="3" l="1"/>
  <c r="L4" i="3"/>
  <c r="K44" i="3"/>
  <c r="I37" i="3"/>
  <c r="F37" i="3"/>
  <c r="C37" i="3"/>
  <c r="L37" i="3"/>
  <c r="K37" i="3"/>
  <c r="J39" i="3" l="1"/>
  <c r="F40" i="3" s="1"/>
  <c r="F43" i="3" s="1"/>
  <c r="F45" i="3" s="1"/>
  <c r="K43" i="3" s="1"/>
  <c r="K45" i="3" s="1"/>
  <c r="K44" i="1"/>
  <c r="I37" i="1"/>
  <c r="F37" i="1"/>
  <c r="C37" i="1"/>
  <c r="L34" i="1"/>
  <c r="L33" i="1"/>
  <c r="L32" i="1"/>
  <c r="L31" i="1"/>
  <c r="L30" i="1"/>
  <c r="L28" i="1"/>
  <c r="L27" i="1"/>
  <c r="L23" i="1"/>
  <c r="L22" i="1"/>
  <c r="L21" i="1"/>
  <c r="L20" i="1"/>
  <c r="L19" i="1"/>
  <c r="L18" i="1"/>
  <c r="L17" i="1"/>
  <c r="L15" i="1"/>
  <c r="L37" i="1" s="1"/>
  <c r="K37" i="1"/>
  <c r="J39" i="1" l="1"/>
  <c r="F40" i="1" s="1"/>
  <c r="F43" i="1" s="1"/>
  <c r="F45" i="1" s="1"/>
  <c r="K43" i="1" s="1"/>
  <c r="K45" i="1" s="1"/>
  <c r="AM44" i="1"/>
  <c r="AO27" i="1"/>
  <c r="T37" i="1" l="1"/>
  <c r="Y44" i="1" l="1"/>
  <c r="F13" i="2" l="1"/>
  <c r="Z17" i="1" l="1"/>
  <c r="D22" i="2"/>
  <c r="N26" i="4"/>
  <c r="K26" i="4"/>
  <c r="D29" i="4" l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29" i="4"/>
  <c r="G4" i="4" l="1"/>
  <c r="G29" i="4" s="1"/>
  <c r="Z28" i="1"/>
  <c r="Z27" i="1"/>
  <c r="F7" i="2" l="1"/>
  <c r="O101" i="2"/>
  <c r="L101" i="2"/>
  <c r="Z23" i="1" l="1"/>
  <c r="Z22" i="1"/>
  <c r="Z21" i="1"/>
  <c r="Z20" i="1"/>
  <c r="AM6" i="1" l="1"/>
  <c r="W37" i="1"/>
  <c r="Q37" i="1"/>
  <c r="Z19" i="1"/>
  <c r="Z18" i="1"/>
  <c r="Z15" i="1"/>
  <c r="Z37" i="1" s="1"/>
  <c r="Y37" i="1"/>
  <c r="X39" i="1" l="1"/>
  <c r="T40" i="1" s="1"/>
  <c r="T43" i="1" s="1"/>
  <c r="T45" i="1" s="1"/>
  <c r="Y43" i="1" s="1"/>
  <c r="Y45" i="1" s="1"/>
  <c r="F4" i="2"/>
  <c r="F22" i="2" s="1"/>
  <c r="AN15" i="1" l="1"/>
  <c r="O60" i="2" l="1"/>
  <c r="L60" i="2"/>
  <c r="O32" i="2" l="1"/>
  <c r="L32" i="2"/>
  <c r="G21" i="2" l="1"/>
  <c r="G20" i="2"/>
  <c r="G19" i="2"/>
  <c r="G18" i="2"/>
  <c r="G17" i="2"/>
  <c r="G16" i="2"/>
  <c r="G15" i="2"/>
  <c r="G14" i="2"/>
  <c r="G12" i="2"/>
  <c r="G11" i="2"/>
  <c r="G10" i="2"/>
  <c r="G9" i="2"/>
  <c r="G8" i="2"/>
  <c r="G7" i="2"/>
  <c r="G6" i="2"/>
  <c r="G5" i="2"/>
  <c r="G4" i="2"/>
  <c r="AK37" i="1"/>
  <c r="AH37" i="1"/>
  <c r="AE37" i="1"/>
  <c r="AM37" i="1"/>
  <c r="AN37" i="1"/>
  <c r="G13" i="2" l="1"/>
  <c r="G22" i="2" s="1"/>
  <c r="AL39" i="1"/>
  <c r="AH40" i="1" s="1"/>
  <c r="AH43" i="1" s="1"/>
  <c r="AH45" i="1" s="1"/>
  <c r="AM43" i="1" s="1"/>
  <c r="AM45" i="1" s="1"/>
</calcChain>
</file>

<file path=xl/sharedStrings.xml><?xml version="1.0" encoding="utf-8"?>
<sst xmlns="http://schemas.openxmlformats.org/spreadsheetml/2006/main" count="653" uniqueCount="177">
  <si>
    <t>COMPRAS</t>
  </si>
  <si>
    <t>INVENTARIO INICIAL</t>
  </si>
  <si>
    <t xml:space="preserve">VENTAS  </t>
  </si>
  <si>
    <t>G  A  S   T  O  S</t>
  </si>
  <si>
    <t>BANCO</t>
  </si>
  <si>
    <t>TELEFONOS</t>
  </si>
  <si>
    <t xml:space="preserve">LUZ  </t>
  </si>
  <si>
    <t>RENTA</t>
  </si>
  <si>
    <t xml:space="preserve">FUMIGACION </t>
  </si>
  <si>
    <t>camara comercio</t>
  </si>
  <si>
    <t>BUJES NISSAN</t>
  </si>
  <si>
    <t>TOTAL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</si>
  <si>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</si>
  <si>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</si>
  <si>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</si>
  <si>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</si>
  <si>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</si>
  <si>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</si>
  <si>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</si>
  <si>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GANANCIA</t>
  </si>
  <si>
    <t xml:space="preserve">BALANCE    DE  E N E R O      2016    C O M E R C I O </t>
  </si>
  <si>
    <t>REMISIONES     CIC  COMERCIO</t>
  </si>
  <si>
    <t>FECHA</t>
  </si>
  <si>
    <t>Remision</t>
  </si>
  <si>
    <t>IMPORTE</t>
  </si>
  <si>
    <t>FECHA DE PAGO</t>
  </si>
  <si>
    <t>SALDO</t>
  </si>
  <si>
    <t>24322 A</t>
  </si>
  <si>
    <t>PAGOS DE COMERCIO</t>
  </si>
  <si>
    <t># transfer</t>
  </si>
  <si>
    <t>IMPORTE Transfer</t>
  </si>
  <si>
    <t>Santander</t>
  </si>
  <si>
    <t>22256 A</t>
  </si>
  <si>
    <t>23155 A</t>
  </si>
  <si>
    <t>23156 A</t>
  </si>
  <si>
    <t>23288 A</t>
  </si>
  <si>
    <t>RESTO</t>
  </si>
  <si>
    <t>ABONO</t>
  </si>
  <si>
    <t>24756 A</t>
  </si>
  <si>
    <t>24219 A</t>
  </si>
  <si>
    <t>24854 A</t>
  </si>
  <si>
    <t>23287 A</t>
  </si>
  <si>
    <t>23307 A</t>
  </si>
  <si>
    <t>24019 A</t>
  </si>
  <si>
    <t>00269 B</t>
  </si>
  <si>
    <t>00822 B</t>
  </si>
  <si>
    <t>00979 B</t>
  </si>
  <si>
    <t>01517 B</t>
  </si>
  <si>
    <t>XXXXX</t>
  </si>
  <si>
    <t>Sancocho</t>
  </si>
  <si>
    <t>NOMINA 01</t>
  </si>
  <si>
    <t>NOMINA 02</t>
  </si>
  <si>
    <t>NOMINA 03</t>
  </si>
  <si>
    <t>NOMINA 04</t>
  </si>
  <si>
    <t>ALBICIA</t>
  </si>
  <si>
    <t>Tocino</t>
  </si>
  <si>
    <t>carnero</t>
  </si>
  <si>
    <t>Chuleta Ahum</t>
  </si>
  <si>
    <t>CARNERO</t>
  </si>
  <si>
    <t>CENTRAL</t>
  </si>
  <si>
    <t xml:space="preserve">06-Ene--09-Ene </t>
  </si>
  <si>
    <t>01664 B</t>
  </si>
  <si>
    <t>01663 B</t>
  </si>
  <si>
    <t xml:space="preserve">09-Ene --27-Ene </t>
  </si>
  <si>
    <t>01834 B</t>
  </si>
  <si>
    <t>02250 B</t>
  </si>
  <si>
    <t>02412 B</t>
  </si>
  <si>
    <t>02681 B</t>
  </si>
  <si>
    <t>PECHOS</t>
  </si>
  <si>
    <t>03054 B</t>
  </si>
  <si>
    <t>03579 B</t>
  </si>
  <si>
    <t>03111 B</t>
  </si>
  <si>
    <t xml:space="preserve"> </t>
  </si>
  <si>
    <t xml:space="preserve">27-Ene--11-Feb </t>
  </si>
  <si>
    <t>NOMINA 05</t>
  </si>
  <si>
    <t xml:space="preserve">BALANCE    DE     FEBRERO       2016    C O M E R C I O </t>
  </si>
  <si>
    <t>NOMINA 06</t>
  </si>
  <si>
    <t>NOMINA 07</t>
  </si>
  <si>
    <t>NOMINA 08</t>
  </si>
  <si>
    <t>NOMINA 09</t>
  </si>
  <si>
    <t>NOMINA 10</t>
  </si>
  <si>
    <t>Sesos copa</t>
  </si>
  <si>
    <t>Albicia</t>
  </si>
  <si>
    <t>04253 B</t>
  </si>
  <si>
    <t>04254 B</t>
  </si>
  <si>
    <t>04331 B</t>
  </si>
  <si>
    <t>cheque</t>
  </si>
  <si>
    <t xml:space="preserve">11-Feb --13-Feb </t>
  </si>
  <si>
    <t>abono</t>
  </si>
  <si>
    <t>04853 B</t>
  </si>
  <si>
    <t>05268 B</t>
  </si>
  <si>
    <t>04795 B</t>
  </si>
  <si>
    <t>04796 B</t>
  </si>
  <si>
    <t xml:space="preserve">13-Feb--20-Feb </t>
  </si>
  <si>
    <t>05698 B</t>
  </si>
  <si>
    <t>05699 B</t>
  </si>
  <si>
    <t>resto</t>
  </si>
  <si>
    <t>20-Feb --25-Feb</t>
  </si>
  <si>
    <t>06415 B</t>
  </si>
  <si>
    <t>06617 B</t>
  </si>
  <si>
    <t>06970 B</t>
  </si>
  <si>
    <t>06842 B</t>
  </si>
  <si>
    <t xml:space="preserve">25-Feb --04-Mar </t>
  </si>
  <si>
    <t>espaldilla--pecho</t>
  </si>
  <si>
    <t>NLP 29 Feb</t>
  </si>
  <si>
    <t xml:space="preserve">BALANCE    DE     MARZO        2016    C O M E R C I O </t>
  </si>
  <si>
    <t>07384 B</t>
  </si>
  <si>
    <t>07248 B</t>
  </si>
  <si>
    <t>07601 B</t>
  </si>
  <si>
    <t>07788 B</t>
  </si>
  <si>
    <t>07923 B</t>
  </si>
  <si>
    <t xml:space="preserve">08129 B </t>
  </si>
  <si>
    <t>08161 B</t>
  </si>
  <si>
    <t>08297 B</t>
  </si>
  <si>
    <t>NOMINA</t>
  </si>
  <si>
    <t>NOMINA 11</t>
  </si>
  <si>
    <t>NOMINA 12</t>
  </si>
  <si>
    <t>NOMINA 13</t>
  </si>
  <si>
    <t xml:space="preserve">NOMINA </t>
  </si>
  <si>
    <t>08740 B</t>
  </si>
  <si>
    <t>08825 B</t>
  </si>
  <si>
    <t>08988 B</t>
  </si>
  <si>
    <t>Sra Norma 2-Mar</t>
  </si>
  <si>
    <t>R-6970-7248</t>
  </si>
  <si>
    <t>R-7384</t>
  </si>
  <si>
    <t>R-7601</t>
  </si>
  <si>
    <t>R-7788-7923</t>
  </si>
  <si>
    <t>R-7923-8161-8129</t>
  </si>
  <si>
    <t>R-8129-8352-8297</t>
  </si>
  <si>
    <t>R-8297</t>
  </si>
  <si>
    <t>08352 B</t>
  </si>
  <si>
    <t>08472 B</t>
  </si>
  <si>
    <t xml:space="preserve">04-Mar --19-Mar </t>
  </si>
  <si>
    <t>Sra Norma</t>
  </si>
  <si>
    <t>09195 B</t>
  </si>
  <si>
    <t>09292 B</t>
  </si>
  <si>
    <t>09379 B</t>
  </si>
  <si>
    <t>09416 B</t>
  </si>
  <si>
    <t>09116 B</t>
  </si>
  <si>
    <t>09645 B</t>
  </si>
  <si>
    <t>09874 B</t>
  </si>
  <si>
    <t>09884 B</t>
  </si>
  <si>
    <t>R-8129-</t>
  </si>
  <si>
    <t>OK PP</t>
  </si>
  <si>
    <t>R-8740</t>
  </si>
  <si>
    <t>R-8740-8825-8988</t>
  </si>
  <si>
    <t>R-8988-9292-9195</t>
  </si>
  <si>
    <t>R-9195</t>
  </si>
  <si>
    <t>10011B</t>
  </si>
  <si>
    <t>10359 B</t>
  </si>
  <si>
    <t>EFECTIVO</t>
  </si>
  <si>
    <t xml:space="preserve">21-Mar--31-Mar </t>
  </si>
  <si>
    <t>PAGOS POR COMPRAS</t>
  </si>
  <si>
    <t>$</t>
  </si>
  <si>
    <t xml:space="preserve">TOTAL </t>
  </si>
  <si>
    <t xml:space="preserve">$ </t>
  </si>
  <si>
    <t xml:space="preserve">VENTA DEL DIA </t>
  </si>
  <si>
    <t>PAGOS NV DE CREDITOS  +</t>
  </si>
  <si>
    <t>NV  X  CREDITOS       -</t>
  </si>
  <si>
    <t xml:space="preserve">VENTA NETA </t>
  </si>
  <si>
    <t>GASTOS   -</t>
  </si>
  <si>
    <t>PAGOS X  COMPRAS  -</t>
  </si>
  <si>
    <t xml:space="preserve">GASTOS </t>
  </si>
  <si>
    <t xml:space="preserve">DEPOSITO </t>
  </si>
  <si>
    <t xml:space="preserve">NOMBRE Y FIRMA DE LA CAJERA </t>
  </si>
  <si>
    <t>__________________________   DE     A B R  I L       2016</t>
  </si>
  <si>
    <t>COMERCIO</t>
  </si>
  <si>
    <t xml:space="preserve">REMISIONES DEL DIA </t>
  </si>
  <si>
    <t>Rem   ________</t>
  </si>
  <si>
    <t>Rem  _________</t>
  </si>
  <si>
    <t>REMISIONES ATRASADAS</t>
  </si>
  <si>
    <t>Rem  ____________</t>
  </si>
  <si>
    <t>Rem ____________</t>
  </si>
  <si>
    <t>CLIENTE</t>
  </si>
  <si>
    <t>Rem</t>
  </si>
  <si>
    <t xml:space="preserve">Transfer  Pago a OBRADOR </t>
  </si>
  <si>
    <t>NOTAS DE VENTA      #   ____________      al   #    ____________                  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</si>
</sst>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"/>
      <family val="2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1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44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/>
    <xf numFmtId="0" fontId="2" fillId="0" borderId="3" xfId="0" applyFont="1" applyBorder="1"/>
    <xf numFmtId="44" fontId="2" fillId="0" borderId="4" xfId="1" applyFont="1" applyBorder="1"/>
    <xf numFmtId="0" fontId="6" fillId="0" borderId="0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164" fontId="2" fillId="0" borderId="10" xfId="0" applyNumberFormat="1" applyFont="1" applyFill="1" applyBorder="1"/>
    <xf numFmtId="44" fontId="2" fillId="0" borderId="11" xfId="1" applyFont="1" applyFill="1" applyBorder="1"/>
    <xf numFmtId="165" fontId="2" fillId="0" borderId="13" xfId="0" applyNumberFormat="1" applyFont="1" applyFill="1" applyBorder="1"/>
    <xf numFmtId="0" fontId="0" fillId="0" borderId="0" xfId="0" applyFill="1"/>
    <xf numFmtId="165" fontId="2" fillId="0" borderId="15" xfId="0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44" fontId="2" fillId="0" borderId="0" xfId="1" applyFont="1" applyFill="1" applyBorder="1"/>
    <xf numFmtId="165" fontId="8" fillId="0" borderId="0" xfId="0" applyNumberFormat="1" applyFont="1" applyFill="1"/>
    <xf numFmtId="15" fontId="2" fillId="0" borderId="18" xfId="0" applyNumberFormat="1" applyFont="1" applyFill="1" applyBorder="1"/>
    <xf numFmtId="165" fontId="0" fillId="0" borderId="0" xfId="0" applyNumberFormat="1" applyFill="1" applyBorder="1"/>
    <xf numFmtId="15" fontId="2" fillId="0" borderId="19" xfId="0" applyNumberFormat="1" applyFont="1" applyFill="1" applyBorder="1"/>
    <xf numFmtId="0" fontId="2" fillId="0" borderId="19" xfId="0" applyFont="1" applyBorder="1"/>
    <xf numFmtId="165" fontId="2" fillId="0" borderId="13" xfId="0" applyNumberFormat="1" applyFont="1" applyBorder="1"/>
    <xf numFmtId="0" fontId="9" fillId="2" borderId="19" xfId="0" applyFont="1" applyFill="1" applyBorder="1"/>
    <xf numFmtId="165" fontId="0" fillId="0" borderId="0" xfId="0" applyNumberFormat="1" applyFont="1" applyFill="1"/>
    <xf numFmtId="0" fontId="10" fillId="0" borderId="0" xfId="0" applyFont="1"/>
    <xf numFmtId="0" fontId="8" fillId="0" borderId="0" xfId="0" applyFont="1"/>
    <xf numFmtId="165" fontId="11" fillId="0" borderId="0" xfId="0" applyNumberFormat="1" applyFont="1" applyFill="1"/>
    <xf numFmtId="0" fontId="12" fillId="0" borderId="19" xfId="0" applyFont="1" applyBorder="1"/>
    <xf numFmtId="16" fontId="2" fillId="0" borderId="19" xfId="0" applyNumberFormat="1" applyFont="1" applyBorder="1" applyAlignment="1">
      <alignment horizontal="center"/>
    </xf>
    <xf numFmtId="0" fontId="13" fillId="0" borderId="19" xfId="0" applyFont="1" applyBorder="1"/>
    <xf numFmtId="44" fontId="0" fillId="0" borderId="0" xfId="1" applyFont="1" applyFill="1"/>
    <xf numFmtId="16" fontId="2" fillId="0" borderId="19" xfId="0" applyNumberFormat="1" applyFont="1" applyBorder="1"/>
    <xf numFmtId="0" fontId="12" fillId="0" borderId="19" xfId="0" applyFont="1" applyFill="1" applyBorder="1"/>
    <xf numFmtId="16" fontId="2" fillId="0" borderId="19" xfId="0" applyNumberFormat="1" applyFont="1" applyFill="1" applyBorder="1"/>
    <xf numFmtId="0" fontId="13" fillId="0" borderId="19" xfId="0" applyFont="1" applyBorder="1" applyAlignment="1">
      <alignment wrapText="1"/>
    </xf>
    <xf numFmtId="165" fontId="2" fillId="0" borderId="0" xfId="0" applyNumberFormat="1" applyFont="1" applyFill="1" applyBorder="1"/>
    <xf numFmtId="165" fontId="2" fillId="0" borderId="21" xfId="0" applyNumberFormat="1" applyFont="1" applyFill="1" applyBorder="1"/>
    <xf numFmtId="165" fontId="13" fillId="0" borderId="0" xfId="0" applyNumberFormat="1" applyFont="1" applyFill="1"/>
    <xf numFmtId="165" fontId="14" fillId="0" borderId="0" xfId="0" applyNumberFormat="1" applyFont="1" applyFill="1" applyBorder="1"/>
    <xf numFmtId="165" fontId="10" fillId="0" borderId="0" xfId="0" applyNumberFormat="1" applyFont="1" applyFill="1"/>
    <xf numFmtId="0" fontId="15" fillId="0" borderId="2" xfId="0" applyFont="1" applyBorder="1"/>
    <xf numFmtId="0" fontId="12" fillId="0" borderId="3" xfId="0" applyFont="1" applyBorder="1"/>
    <xf numFmtId="44" fontId="2" fillId="0" borderId="11" xfId="1" applyFont="1" applyBorder="1"/>
    <xf numFmtId="165" fontId="0" fillId="0" borderId="0" xfId="0" applyNumberFormat="1"/>
    <xf numFmtId="0" fontId="2" fillId="0" borderId="18" xfId="0" applyFont="1" applyBorder="1"/>
    <xf numFmtId="0" fontId="5" fillId="0" borderId="19" xfId="0" applyFont="1" applyBorder="1" applyAlignment="1">
      <alignment horizontal="center"/>
    </xf>
    <xf numFmtId="165" fontId="2" fillId="0" borderId="15" xfId="0" applyNumberFormat="1" applyFont="1" applyBorder="1"/>
    <xf numFmtId="44" fontId="2" fillId="0" borderId="0" xfId="1" applyFont="1" applyBorder="1"/>
    <xf numFmtId="0" fontId="16" fillId="0" borderId="0" xfId="0" applyFont="1"/>
    <xf numFmtId="0" fontId="2" fillId="0" borderId="23" xfId="0" applyFont="1" applyBorder="1"/>
    <xf numFmtId="44" fontId="2" fillId="0" borderId="24" xfId="1" applyFont="1" applyBorder="1"/>
    <xf numFmtId="0" fontId="2" fillId="0" borderId="25" xfId="0" applyFont="1" applyBorder="1"/>
    <xf numFmtId="165" fontId="2" fillId="0" borderId="26" xfId="0" applyNumberFormat="1" applyFont="1" applyBorder="1"/>
    <xf numFmtId="0" fontId="5" fillId="0" borderId="27" xfId="0" applyFont="1" applyBorder="1" applyAlignment="1">
      <alignment horizontal="center"/>
    </xf>
    <xf numFmtId="165" fontId="2" fillId="0" borderId="28" xfId="0" applyNumberFormat="1" applyFont="1" applyBorder="1"/>
    <xf numFmtId="0" fontId="2" fillId="0" borderId="29" xfId="0" applyFont="1" applyBorder="1"/>
    <xf numFmtId="44" fontId="2" fillId="0" borderId="25" xfId="1" applyFont="1" applyBorder="1"/>
    <xf numFmtId="0" fontId="4" fillId="0" borderId="0" xfId="0" applyFont="1"/>
    <xf numFmtId="44" fontId="4" fillId="0" borderId="0" xfId="1" applyFont="1"/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2" fillId="0" borderId="0" xfId="0" applyNumberFormat="1" applyFont="1"/>
    <xf numFmtId="0" fontId="11" fillId="0" borderId="0" xfId="0" applyFont="1" applyBorder="1"/>
    <xf numFmtId="0" fontId="2" fillId="0" borderId="0" xfId="0" applyFont="1" applyBorder="1"/>
    <xf numFmtId="0" fontId="0" fillId="0" borderId="0" xfId="0" applyBorder="1"/>
    <xf numFmtId="44" fontId="18" fillId="0" borderId="0" xfId="1" applyFont="1" applyBorder="1" applyAlignment="1">
      <alignment horizontal="center"/>
    </xf>
    <xf numFmtId="165" fontId="2" fillId="0" borderId="0" xfId="0" applyNumberFormat="1" applyFont="1" applyBorder="1"/>
    <xf numFmtId="165" fontId="1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1" fillId="0" borderId="0" xfId="0" applyFont="1"/>
    <xf numFmtId="0" fontId="2" fillId="3" borderId="33" xfId="0" applyFont="1" applyFill="1" applyBorder="1"/>
    <xf numFmtId="165" fontId="2" fillId="3" borderId="33" xfId="0" applyNumberFormat="1" applyFont="1" applyFill="1" applyBorder="1"/>
    <xf numFmtId="165" fontId="5" fillId="0" borderId="34" xfId="0" applyNumberFormat="1" applyFont="1" applyBorder="1"/>
    <xf numFmtId="0" fontId="2" fillId="0" borderId="34" xfId="0" applyFont="1" applyBorder="1"/>
    <xf numFmtId="44" fontId="2" fillId="0" borderId="34" xfId="0" applyNumberFormat="1" applyFont="1" applyBorder="1"/>
    <xf numFmtId="165" fontId="4" fillId="0" borderId="0" xfId="0" applyNumberFormat="1" applyFont="1"/>
    <xf numFmtId="165" fontId="18" fillId="0" borderId="9" xfId="0" applyNumberFormat="1" applyFont="1" applyBorder="1"/>
    <xf numFmtId="0" fontId="13" fillId="0" borderId="0" xfId="0" applyFont="1" applyFill="1"/>
    <xf numFmtId="44" fontId="2" fillId="0" borderId="0" xfId="1" applyFont="1" applyFill="1"/>
    <xf numFmtId="0" fontId="2" fillId="0" borderId="0" xfId="0" applyFont="1" applyFill="1"/>
    <xf numFmtId="164" fontId="2" fillId="0" borderId="0" xfId="0" applyNumberFormat="1" applyFont="1" applyAlignment="1">
      <alignment horizontal="center"/>
    </xf>
    <xf numFmtId="1" fontId="19" fillId="0" borderId="0" xfId="1" applyNumberFormat="1" applyFont="1" applyAlignment="1">
      <alignment horizontal="center"/>
    </xf>
    <xf numFmtId="164" fontId="2" fillId="0" borderId="0" xfId="0" applyNumberFormat="1" applyFont="1"/>
    <xf numFmtId="0" fontId="20" fillId="0" borderId="0" xfId="0" applyFont="1"/>
    <xf numFmtId="0" fontId="0" fillId="0" borderId="35" xfId="0" applyBorder="1"/>
    <xf numFmtId="0" fontId="2" fillId="0" borderId="36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165" fontId="14" fillId="0" borderId="30" xfId="0" applyNumberFormat="1" applyFont="1" applyFill="1" applyBorder="1"/>
    <xf numFmtId="164" fontId="2" fillId="0" borderId="0" xfId="0" applyNumberFormat="1" applyFont="1" applyFill="1" applyBorder="1"/>
    <xf numFmtId="164" fontId="2" fillId="0" borderId="21" xfId="0" applyNumberFormat="1" applyFont="1" applyFill="1" applyBorder="1" applyAlignment="1">
      <alignment horizontal="center"/>
    </xf>
    <xf numFmtId="165" fontId="2" fillId="0" borderId="32" xfId="0" applyNumberFormat="1" applyFont="1" applyFill="1" applyBorder="1"/>
    <xf numFmtId="16" fontId="22" fillId="0" borderId="30" xfId="0" applyNumberFormat="1" applyFont="1" applyFill="1" applyBorder="1" applyAlignment="1">
      <alignment horizontal="center"/>
    </xf>
    <xf numFmtId="165" fontId="23" fillId="0" borderId="32" xfId="0" applyNumberFormat="1" applyFont="1" applyFill="1" applyBorder="1"/>
    <xf numFmtId="165" fontId="2" fillId="0" borderId="30" xfId="0" applyNumberFormat="1" applyFont="1" applyFill="1" applyBorder="1"/>
    <xf numFmtId="165" fontId="24" fillId="0" borderId="30" xfId="0" applyNumberFormat="1" applyFont="1" applyFill="1" applyBorder="1"/>
    <xf numFmtId="164" fontId="4" fillId="0" borderId="0" xfId="0" applyNumberFormat="1" applyFont="1" applyFill="1" applyBorder="1"/>
    <xf numFmtId="166" fontId="2" fillId="0" borderId="0" xfId="0" applyNumberFormat="1" applyFont="1" applyFill="1" applyBorder="1"/>
    <xf numFmtId="0" fontId="0" fillId="0" borderId="33" xfId="0" applyFill="1" applyBorder="1"/>
    <xf numFmtId="165" fontId="14" fillId="0" borderId="39" xfId="0" applyNumberFormat="1" applyFont="1" applyFill="1" applyBorder="1"/>
    <xf numFmtId="44" fontId="0" fillId="0" borderId="33" xfId="1" applyFont="1" applyFill="1" applyBorder="1"/>
    <xf numFmtId="165" fontId="23" fillId="0" borderId="40" xfId="0" applyNumberFormat="1" applyFont="1" applyFill="1" applyBorder="1"/>
    <xf numFmtId="165" fontId="21" fillId="0" borderId="0" xfId="0" applyNumberFormat="1" applyFont="1"/>
    <xf numFmtId="165" fontId="21" fillId="0" borderId="0" xfId="0" applyNumberFormat="1" applyFont="1" applyFill="1"/>
    <xf numFmtId="0" fontId="20" fillId="0" borderId="0" xfId="0" applyFont="1" applyAlignment="1">
      <alignment horizontal="center"/>
    </xf>
    <xf numFmtId="164" fontId="20" fillId="4" borderId="35" xfId="1" applyNumberFormat="1" applyFont="1" applyFill="1" applyBorder="1" applyAlignment="1">
      <alignment horizontal="center"/>
    </xf>
    <xf numFmtId="164" fontId="0" fillId="0" borderId="0" xfId="0" applyNumberFormat="1" applyFont="1"/>
    <xf numFmtId="0" fontId="26" fillId="0" borderId="0" xfId="0" applyFont="1"/>
    <xf numFmtId="0" fontId="26" fillId="0" borderId="0" xfId="0" applyFont="1" applyAlignment="1">
      <alignment horizontal="center"/>
    </xf>
    <xf numFmtId="44" fontId="26" fillId="0" borderId="0" xfId="1" applyFont="1"/>
    <xf numFmtId="0" fontId="21" fillId="0" borderId="33" xfId="0" applyFont="1" applyBorder="1"/>
    <xf numFmtId="0" fontId="21" fillId="0" borderId="33" xfId="0" applyFont="1" applyBorder="1" applyAlignment="1">
      <alignment horizontal="center"/>
    </xf>
    <xf numFmtId="44" fontId="21" fillId="0" borderId="33" xfId="1" applyFont="1" applyBorder="1"/>
    <xf numFmtId="164" fontId="2" fillId="0" borderId="33" xfId="0" applyNumberFormat="1" applyFont="1" applyBorder="1"/>
    <xf numFmtId="44" fontId="21" fillId="0" borderId="22" xfId="1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/>
    </xf>
    <xf numFmtId="44" fontId="26" fillId="0" borderId="22" xfId="1" applyFont="1" applyFill="1" applyBorder="1"/>
    <xf numFmtId="164" fontId="0" fillId="0" borderId="22" xfId="0" applyNumberFormat="1" applyFont="1" applyFill="1" applyBorder="1"/>
    <xf numFmtId="44" fontId="2" fillId="0" borderId="21" xfId="1" applyFont="1" applyFill="1" applyBorder="1" applyAlignment="1">
      <alignment horizontal="center"/>
    </xf>
    <xf numFmtId="0" fontId="26" fillId="0" borderId="21" xfId="0" applyFont="1" applyFill="1" applyBorder="1" applyAlignment="1">
      <alignment horizontal="center"/>
    </xf>
    <xf numFmtId="44" fontId="26" fillId="0" borderId="21" xfId="1" applyFont="1" applyFill="1" applyBorder="1"/>
    <xf numFmtId="164" fontId="0" fillId="0" borderId="21" xfId="0" applyNumberFormat="1" applyFont="1" applyFill="1" applyBorder="1"/>
    <xf numFmtId="44" fontId="2" fillId="0" borderId="20" xfId="1" applyFont="1" applyFill="1" applyBorder="1" applyAlignment="1">
      <alignment horizontal="center"/>
    </xf>
    <xf numFmtId="0" fontId="2" fillId="0" borderId="21" xfId="0" applyFont="1" applyFill="1" applyBorder="1"/>
    <xf numFmtId="0" fontId="0" fillId="0" borderId="21" xfId="0" applyFill="1" applyBorder="1" applyAlignment="1">
      <alignment horizontal="center"/>
    </xf>
    <xf numFmtId="44" fontId="0" fillId="0" borderId="21" xfId="1" applyFont="1" applyFill="1" applyBorder="1"/>
    <xf numFmtId="44" fontId="14" fillId="0" borderId="30" xfId="1" applyFont="1" applyFill="1" applyBorder="1"/>
    <xf numFmtId="0" fontId="22" fillId="0" borderId="43" xfId="0" applyFont="1" applyFill="1" applyBorder="1" applyAlignment="1">
      <alignment horizontal="center"/>
    </xf>
    <xf numFmtId="44" fontId="14" fillId="0" borderId="43" xfId="1" applyFont="1" applyFill="1" applyBorder="1"/>
    <xf numFmtId="0" fontId="0" fillId="0" borderId="20" xfId="0" applyFill="1" applyBorder="1" applyAlignment="1">
      <alignment horizontal="center"/>
    </xf>
    <xf numFmtId="44" fontId="0" fillId="0" borderId="20" xfId="1" applyFont="1" applyFill="1" applyBorder="1"/>
    <xf numFmtId="164" fontId="0" fillId="0" borderId="20" xfId="0" applyNumberFormat="1" applyFont="1" applyFill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64" fontId="0" fillId="0" borderId="44" xfId="0" applyNumberFormat="1" applyBorder="1"/>
    <xf numFmtId="44" fontId="21" fillId="0" borderId="0" xfId="1" applyFont="1" applyBorder="1"/>
    <xf numFmtId="44" fontId="20" fillId="0" borderId="0" xfId="1" applyFont="1" applyBorder="1"/>
    <xf numFmtId="164" fontId="0" fillId="0" borderId="0" xfId="0" applyNumberFormat="1" applyBorder="1"/>
    <xf numFmtId="14" fontId="0" fillId="0" borderId="0" xfId="0" applyNumberFormat="1"/>
    <xf numFmtId="0" fontId="23" fillId="0" borderId="0" xfId="0" applyFont="1" applyFill="1" applyBorder="1"/>
    <xf numFmtId="0" fontId="0" fillId="0" borderId="0" xfId="0" applyFill="1" applyBorder="1"/>
    <xf numFmtId="164" fontId="20" fillId="6" borderId="35" xfId="1" applyNumberFormat="1" applyFont="1" applyFill="1" applyBorder="1" applyAlignment="1">
      <alignment horizontal="center"/>
    </xf>
    <xf numFmtId="44" fontId="2" fillId="5" borderId="11" xfId="1" applyFont="1" applyFill="1" applyBorder="1"/>
    <xf numFmtId="165" fontId="2" fillId="5" borderId="0" xfId="0" applyNumberFormat="1" applyFont="1" applyFill="1"/>
    <xf numFmtId="15" fontId="2" fillId="5" borderId="12" xfId="0" applyNumberFormat="1" applyFont="1" applyFill="1" applyBorder="1"/>
    <xf numFmtId="165" fontId="2" fillId="5" borderId="13" xfId="0" applyNumberFormat="1" applyFont="1" applyFill="1" applyBorder="1"/>
    <xf numFmtId="0" fontId="0" fillId="5" borderId="0" xfId="0" applyFill="1"/>
    <xf numFmtId="15" fontId="2" fillId="5" borderId="14" xfId="0" applyNumberFormat="1" applyFont="1" applyFill="1" applyBorder="1"/>
    <xf numFmtId="165" fontId="2" fillId="5" borderId="15" xfId="0" applyNumberFormat="1" applyFont="1" applyFill="1" applyBorder="1"/>
    <xf numFmtId="44" fontId="2" fillId="5" borderId="0" xfId="1" applyFont="1" applyFill="1" applyBorder="1"/>
    <xf numFmtId="44" fontId="2" fillId="3" borderId="0" xfId="1" applyFont="1" applyFill="1"/>
    <xf numFmtId="165" fontId="2" fillId="0" borderId="45" xfId="0" applyNumberFormat="1" applyFont="1" applyFill="1" applyBorder="1"/>
    <xf numFmtId="16" fontId="0" fillId="0" borderId="0" xfId="0" applyNumberFormat="1"/>
    <xf numFmtId="164" fontId="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165" fontId="23" fillId="0" borderId="0" xfId="0" applyNumberFormat="1" applyFont="1" applyFill="1" applyBorder="1"/>
    <xf numFmtId="16" fontId="0" fillId="0" borderId="0" xfId="0" applyNumberFormat="1" applyFill="1" applyBorder="1"/>
    <xf numFmtId="165" fontId="24" fillId="0" borderId="0" xfId="0" applyNumberFormat="1" applyFont="1" applyFill="1" applyBorder="1"/>
    <xf numFmtId="44" fontId="0" fillId="0" borderId="0" xfId="1" applyFont="1" applyFill="1" applyBorder="1"/>
    <xf numFmtId="165" fontId="21" fillId="0" borderId="0" xfId="0" applyNumberFormat="1" applyFont="1" applyBorder="1"/>
    <xf numFmtId="165" fontId="21" fillId="0" borderId="0" xfId="0" applyNumberFormat="1" applyFont="1" applyFill="1" applyBorder="1"/>
    <xf numFmtId="164" fontId="2" fillId="0" borderId="0" xfId="0" applyNumberFormat="1" applyFont="1" applyBorder="1" applyAlignment="1">
      <alignment horizontal="center"/>
    </xf>
    <xf numFmtId="1" fontId="19" fillId="0" borderId="0" xfId="1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44" xfId="0" applyNumberFormat="1" applyFont="1" applyFill="1" applyBorder="1" applyAlignment="1">
      <alignment horizontal="center"/>
    </xf>
    <xf numFmtId="0" fontId="22" fillId="0" borderId="46" xfId="0" applyFont="1" applyFill="1" applyBorder="1" applyAlignment="1">
      <alignment horizontal="center"/>
    </xf>
    <xf numFmtId="165" fontId="14" fillId="0" borderId="46" xfId="0" applyNumberFormat="1" applyFont="1" applyFill="1" applyBorder="1"/>
    <xf numFmtId="164" fontId="2" fillId="0" borderId="33" xfId="0" applyNumberFormat="1" applyFont="1" applyFill="1" applyBorder="1"/>
    <xf numFmtId="165" fontId="2" fillId="0" borderId="47" xfId="0" applyNumberFormat="1" applyFont="1" applyFill="1" applyBorder="1"/>
    <xf numFmtId="164" fontId="2" fillId="7" borderId="0" xfId="0" applyNumberFormat="1" applyFont="1" applyFill="1" applyAlignment="1">
      <alignment horizontal="center"/>
    </xf>
    <xf numFmtId="1" fontId="19" fillId="7" borderId="0" xfId="1" applyNumberFormat="1" applyFont="1" applyFill="1" applyAlignment="1">
      <alignment horizontal="center"/>
    </xf>
    <xf numFmtId="0" fontId="20" fillId="7" borderId="0" xfId="0" applyFont="1" applyFill="1"/>
    <xf numFmtId="164" fontId="2" fillId="7" borderId="0" xfId="0" applyNumberFormat="1" applyFont="1" applyFill="1"/>
    <xf numFmtId="44" fontId="0" fillId="7" borderId="0" xfId="1" applyFont="1" applyFill="1"/>
    <xf numFmtId="0" fontId="0" fillId="7" borderId="0" xfId="0" applyFill="1"/>
    <xf numFmtId="164" fontId="9" fillId="0" borderId="0" xfId="0" applyNumberFormat="1" applyFont="1" applyFill="1" applyBorder="1"/>
    <xf numFmtId="165" fontId="0" fillId="0" borderId="0" xfId="1" applyNumberFormat="1" applyFont="1"/>
    <xf numFmtId="165" fontId="0" fillId="0" borderId="0" xfId="1" applyNumberFormat="1" applyFont="1" applyBorder="1"/>
    <xf numFmtId="165" fontId="2" fillId="0" borderId="0" xfId="0" applyNumberFormat="1" applyFont="1" applyFill="1"/>
    <xf numFmtId="15" fontId="2" fillId="0" borderId="12" xfId="0" applyNumberFormat="1" applyFont="1" applyFill="1" applyBorder="1"/>
    <xf numFmtId="15" fontId="2" fillId="0" borderId="14" xfId="0" applyNumberFormat="1" applyFont="1" applyFill="1" applyBorder="1"/>
    <xf numFmtId="16" fontId="22" fillId="4" borderId="30" xfId="0" applyNumberFormat="1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165" fontId="14" fillId="4" borderId="30" xfId="0" applyNumberFormat="1" applyFont="1" applyFill="1" applyBorder="1"/>
    <xf numFmtId="164" fontId="20" fillId="8" borderId="35" xfId="1" applyNumberFormat="1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44" fontId="0" fillId="0" borderId="21" xfId="1" applyFont="1" applyBorder="1"/>
    <xf numFmtId="164" fontId="20" fillId="2" borderId="35" xfId="1" applyNumberFormat="1" applyFont="1" applyFill="1" applyBorder="1" applyAlignment="1">
      <alignment horizontal="center"/>
    </xf>
    <xf numFmtId="164" fontId="11" fillId="0" borderId="0" xfId="0" applyNumberFormat="1" applyFont="1" applyFill="1" applyBorder="1"/>
    <xf numFmtId="164" fontId="20" fillId="7" borderId="35" xfId="1" applyNumberFormat="1" applyFont="1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44" fontId="0" fillId="0" borderId="44" xfId="1" applyFont="1" applyFill="1" applyBorder="1"/>
    <xf numFmtId="44" fontId="21" fillId="0" borderId="0" xfId="1" applyFont="1" applyFill="1" applyBorder="1"/>
    <xf numFmtId="44" fontId="20" fillId="0" borderId="0" xfId="1" applyFont="1" applyFill="1" applyBorder="1"/>
    <xf numFmtId="164" fontId="0" fillId="0" borderId="0" xfId="0" applyNumberForma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164" fontId="20" fillId="0" borderId="0" xfId="1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44" fontId="26" fillId="0" borderId="0" xfId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44" fontId="21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44" fontId="14" fillId="0" borderId="0" xfId="1" applyFont="1" applyFill="1" applyBorder="1"/>
    <xf numFmtId="0" fontId="22" fillId="7" borderId="30" xfId="0" applyFont="1" applyFill="1" applyBorder="1" applyAlignment="1">
      <alignment horizontal="center"/>
    </xf>
    <xf numFmtId="165" fontId="14" fillId="7" borderId="30" xfId="0" applyNumberFormat="1" applyFont="1" applyFill="1" applyBorder="1"/>
    <xf numFmtId="44" fontId="2" fillId="0" borderId="44" xfId="1" applyFont="1" applyFill="1" applyBorder="1" applyAlignment="1">
      <alignment horizontal="center"/>
    </xf>
    <xf numFmtId="164" fontId="0" fillId="0" borderId="44" xfId="0" applyNumberFormat="1" applyFont="1" applyFill="1" applyBorder="1"/>
    <xf numFmtId="165" fontId="14" fillId="0" borderId="0" xfId="1" applyNumberFormat="1" applyFont="1" applyFill="1" applyBorder="1"/>
    <xf numFmtId="44" fontId="0" fillId="3" borderId="0" xfId="1" applyFont="1" applyFill="1"/>
    <xf numFmtId="44" fontId="1" fillId="3" borderId="0" xfId="1" applyFont="1" applyFill="1"/>
    <xf numFmtId="44" fontId="0" fillId="0" borderId="0" xfId="0" applyNumberFormat="1"/>
    <xf numFmtId="164" fontId="12" fillId="0" borderId="0" xfId="0" applyNumberFormat="1" applyFont="1" applyFill="1" applyBorder="1"/>
    <xf numFmtId="165" fontId="0" fillId="0" borderId="0" xfId="0" applyNumberFormat="1" applyBorder="1"/>
    <xf numFmtId="0" fontId="2" fillId="0" borderId="19" xfId="0" applyFont="1" applyBorder="1" applyAlignment="1">
      <alignment wrapText="1"/>
    </xf>
    <xf numFmtId="0" fontId="13" fillId="0" borderId="22" xfId="0" applyFont="1" applyBorder="1" applyAlignment="1"/>
    <xf numFmtId="16" fontId="2" fillId="0" borderId="20" xfId="0" applyNumberFormat="1" applyFont="1" applyBorder="1" applyAlignment="1"/>
    <xf numFmtId="165" fontId="2" fillId="4" borderId="13" xfId="0" applyNumberFormat="1" applyFont="1" applyFill="1" applyBorder="1"/>
    <xf numFmtId="165" fontId="2" fillId="4" borderId="15" xfId="0" applyNumberFormat="1" applyFont="1" applyFill="1" applyBorder="1"/>
    <xf numFmtId="44" fontId="2" fillId="4" borderId="11" xfId="1" applyFont="1" applyFill="1" applyBorder="1"/>
    <xf numFmtId="0" fontId="22" fillId="0" borderId="21" xfId="0" applyFont="1" applyFill="1" applyBorder="1" applyAlignment="1">
      <alignment horizontal="center"/>
    </xf>
    <xf numFmtId="44" fontId="14" fillId="0" borderId="21" xfId="1" applyFont="1" applyFill="1" applyBorder="1"/>
    <xf numFmtId="44" fontId="2" fillId="0" borderId="30" xfId="1" applyFont="1" applyFill="1" applyBorder="1"/>
    <xf numFmtId="44" fontId="21" fillId="0" borderId="0" xfId="0" applyNumberFormat="1" applyFont="1" applyFill="1" applyBorder="1"/>
    <xf numFmtId="165" fontId="14" fillId="5" borderId="30" xfId="0" applyNumberFormat="1" applyFont="1" applyFill="1" applyBorder="1"/>
    <xf numFmtId="44" fontId="1" fillId="0" borderId="0" xfId="1" applyFont="1" applyFill="1"/>
    <xf numFmtId="44" fontId="0" fillId="0" borderId="0" xfId="0" applyNumberFormat="1" applyFill="1"/>
    <xf numFmtId="0" fontId="21" fillId="0" borderId="21" xfId="0" applyFont="1" applyFill="1" applyBorder="1"/>
    <xf numFmtId="0" fontId="21" fillId="0" borderId="21" xfId="0" applyFont="1" applyFill="1" applyBorder="1" applyAlignment="1">
      <alignment horizontal="center"/>
    </xf>
    <xf numFmtId="44" fontId="21" fillId="0" borderId="21" xfId="1" applyFont="1" applyFill="1" applyBorder="1"/>
    <xf numFmtId="164" fontId="0" fillId="0" borderId="21" xfId="0" applyNumberFormat="1" applyFill="1" applyBorder="1"/>
    <xf numFmtId="16" fontId="0" fillId="0" borderId="21" xfId="0" applyNumberFormat="1" applyBorder="1"/>
    <xf numFmtId="165" fontId="2" fillId="0" borderId="21" xfId="1" applyNumberFormat="1" applyFont="1" applyBorder="1"/>
    <xf numFmtId="44" fontId="0" fillId="0" borderId="21" xfId="0" applyNumberFormat="1" applyBorder="1"/>
    <xf numFmtId="0" fontId="21" fillId="0" borderId="0" xfId="0" applyFont="1"/>
    <xf numFmtId="44" fontId="21" fillId="0" borderId="0" xfId="0" applyNumberFormat="1" applyFont="1"/>
    <xf numFmtId="165" fontId="2" fillId="5" borderId="32" xfId="0" applyNumberFormat="1" applyFont="1" applyFill="1" applyBorder="1"/>
    <xf numFmtId="0" fontId="2" fillId="0" borderId="0" xfId="0" applyFont="1" applyFill="1" applyAlignment="1">
      <alignment horizontal="center" wrapText="1"/>
    </xf>
    <xf numFmtId="165" fontId="18" fillId="0" borderId="30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 vertical="center" wrapText="1"/>
    </xf>
    <xf numFmtId="165" fontId="18" fillId="0" borderId="31" xfId="0" applyNumberFormat="1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18" fillId="0" borderId="0" xfId="0" applyNumberFormat="1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3" fillId="0" borderId="20" xfId="0" applyFont="1" applyBorder="1" applyAlignment="1">
      <alignment horizontal="center" wrapText="1"/>
    </xf>
    <xf numFmtId="0" fontId="13" fillId="0" borderId="22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42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7" fillId="0" borderId="0" xfId="0" applyFont="1"/>
    <xf numFmtId="0" fontId="0" fillId="0" borderId="0" xfId="0" applyAlignment="1">
      <alignment horizontal="right"/>
    </xf>
    <xf numFmtId="4" fontId="28" fillId="0" borderId="34" xfId="0" applyNumberFormat="1" applyFont="1" applyBorder="1"/>
    <xf numFmtId="0" fontId="21" fillId="0" borderId="3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30" xfId="0" applyNumberFormat="1" applyBorder="1"/>
    <xf numFmtId="44" fontId="1" fillId="0" borderId="0" xfId="1" applyFont="1"/>
    <xf numFmtId="4" fontId="0" fillId="0" borderId="21" xfId="0" applyNumberFormat="1" applyBorder="1"/>
    <xf numFmtId="44" fontId="0" fillId="0" borderId="0" xfId="1" applyFont="1" applyBorder="1"/>
    <xf numFmtId="44" fontId="1" fillId="0" borderId="33" xfId="1" applyFont="1" applyBorder="1"/>
    <xf numFmtId="0" fontId="21" fillId="0" borderId="0" xfId="0" applyFont="1" applyAlignment="1">
      <alignment horizontal="right"/>
    </xf>
    <xf numFmtId="44" fontId="1" fillId="0" borderId="0" xfId="1" applyFont="1" applyBorder="1"/>
    <xf numFmtId="4" fontId="0" fillId="0" borderId="44" xfId="0" applyNumberFormat="1" applyBorder="1"/>
    <xf numFmtId="0" fontId="21" fillId="0" borderId="0" xfId="0" applyFont="1" applyAlignment="1">
      <alignment horizontal="left"/>
    </xf>
    <xf numFmtId="0" fontId="21" fillId="0" borderId="48" xfId="0" applyFont="1" applyFill="1" applyBorder="1" applyAlignment="1">
      <alignment horizontal="right"/>
    </xf>
    <xf numFmtId="44" fontId="21" fillId="0" borderId="0" xfId="1" applyFont="1"/>
    <xf numFmtId="4" fontId="20" fillId="0" borderId="21" xfId="0" applyNumberFormat="1" applyFont="1" applyBorder="1"/>
    <xf numFmtId="44" fontId="26" fillId="0" borderId="33" xfId="1" applyFont="1" applyBorder="1"/>
    <xf numFmtId="44" fontId="21" fillId="10" borderId="0" xfId="1" applyFont="1" applyFill="1" applyAlignment="1"/>
    <xf numFmtId="4" fontId="20" fillId="0" borderId="0" xfId="0" applyNumberFormat="1" applyFont="1"/>
    <xf numFmtId="44" fontId="26" fillId="0" borderId="0" xfId="1" applyFont="1" applyBorder="1"/>
    <xf numFmtId="4" fontId="21" fillId="0" borderId="21" xfId="0" applyNumberFormat="1" applyFont="1" applyBorder="1"/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2" fontId="0" fillId="0" borderId="21" xfId="0" applyNumberFormat="1" applyBorder="1"/>
    <xf numFmtId="2" fontId="0" fillId="0" borderId="44" xfId="0" applyNumberFormat="1" applyBorder="1"/>
    <xf numFmtId="2" fontId="21" fillId="0" borderId="0" xfId="0" applyNumberFormat="1" applyFont="1"/>
    <xf numFmtId="0" fontId="20" fillId="0" borderId="0" xfId="0" applyFont="1" applyAlignment="1">
      <alignment horizontal="right"/>
    </xf>
    <xf numFmtId="44" fontId="20" fillId="0" borderId="0" xfId="1" applyFont="1"/>
    <xf numFmtId="0" fontId="0" fillId="10" borderId="0" xfId="0" applyFill="1"/>
    <xf numFmtId="0" fontId="0" fillId="0" borderId="34" xfId="0" applyBorder="1"/>
    <xf numFmtId="0" fontId="0" fillId="0" borderId="49" xfId="0" applyBorder="1"/>
    <xf numFmtId="0" fontId="21" fillId="0" borderId="34" xfId="0" applyFont="1" applyBorder="1" applyAlignment="1">
      <alignment horizontal="left"/>
    </xf>
    <xf numFmtId="0" fontId="21" fillId="9" borderId="0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6" fillId="0" borderId="21" xfId="0" applyFont="1" applyBorder="1" applyAlignment="1">
      <alignment horizontal="center"/>
    </xf>
    <xf numFmtId="0" fontId="20" fillId="0" borderId="48" xfId="0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44" xfId="0" applyFont="1" applyBorder="1"/>
    <xf numFmtId="0" fontId="21" fillId="0" borderId="44" xfId="0" applyFont="1" applyBorder="1"/>
    <xf numFmtId="0" fontId="26" fillId="0" borderId="44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4" fontId="21" fillId="0" borderId="50" xfId="0" applyNumberFormat="1" applyFont="1" applyBorder="1"/>
    <xf numFmtId="4" fontId="21" fillId="0" borderId="44" xfId="0" applyNumberFormat="1" applyFont="1" applyBorder="1"/>
    <xf numFmtId="0" fontId="0" fillId="0" borderId="51" xfId="0" applyBorder="1"/>
    <xf numFmtId="0" fontId="0" fillId="0" borderId="52" xfId="0" applyBorder="1"/>
    <xf numFmtId="44" fontId="0" fillId="0" borderId="31" xfId="1" applyFont="1" applyBorder="1"/>
    <xf numFmtId="0" fontId="0" fillId="0" borderId="22" xfId="0" applyBorder="1"/>
    <xf numFmtId="0" fontId="20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9" name="28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0" name="29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31" name="30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2" name="31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3" name="32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34" name="33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5" name="34 Conector recto de flecha"/>
        <xdr:cNvCxnSpPr/>
      </xdr:nvCxnSpPr>
      <xdr:spPr>
        <a:xfrm>
          <a:off x="15830550" y="75152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6" name="35 Conector recto de flecha"/>
        <xdr:cNvCxnSpPr/>
      </xdr:nvCxnSpPr>
      <xdr:spPr>
        <a:xfrm rot="10800000" flipV="1">
          <a:off x="15840076" y="78771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37" name="36 Conector recto de flecha"/>
        <xdr:cNvCxnSpPr/>
      </xdr:nvCxnSpPr>
      <xdr:spPr>
        <a:xfrm>
          <a:off x="13011150" y="7410450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111"/>
  <sheetViews>
    <sheetView topLeftCell="A29" workbookViewId="0">
      <selection activeCell="F55" sqref="F55:F57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1.42578125" style="1"/>
    <col min="25" max="25" width="14.85546875" style="1" bestFit="1" customWidth="1"/>
    <col min="26" max="26" width="14.140625" style="2" bestFit="1" customWidth="1"/>
    <col min="27" max="27" width="12.5703125" style="3" bestFit="1" customWidth="1"/>
    <col min="28" max="28" width="13.42578125" customWidth="1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1.42578125" style="1"/>
    <col min="39" max="39" width="14.85546875" style="1" bestFit="1" customWidth="1"/>
    <col min="40" max="40" width="14.140625" style="2" bestFit="1" customWidth="1"/>
    <col min="41" max="41" width="12.5703125" style="3" bestFit="1" customWidth="1"/>
    <col min="42" max="42" width="13.42578125" customWidth="1"/>
  </cols>
  <sheetData>
    <row r="1" spans="1:42" ht="24" customHeight="1" thickBot="1" x14ac:dyDescent="0.4">
      <c r="C1" s="259" t="s">
        <v>20</v>
      </c>
      <c r="D1" s="259"/>
      <c r="E1" s="259"/>
      <c r="F1" s="259"/>
      <c r="G1" s="259"/>
      <c r="H1" s="259"/>
      <c r="I1" s="259"/>
      <c r="J1" s="259"/>
      <c r="Q1" s="259" t="s">
        <v>20</v>
      </c>
      <c r="R1" s="259"/>
      <c r="S1" s="259"/>
      <c r="T1" s="259"/>
      <c r="U1" s="259"/>
      <c r="V1" s="259"/>
      <c r="W1" s="259"/>
      <c r="X1" s="259"/>
      <c r="AE1" s="259" t="s">
        <v>20</v>
      </c>
      <c r="AF1" s="259"/>
      <c r="AG1" s="259"/>
      <c r="AH1" s="259"/>
      <c r="AI1" s="259"/>
      <c r="AJ1" s="259"/>
      <c r="AK1" s="259"/>
      <c r="AL1" s="259"/>
    </row>
    <row r="2" spans="1:42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</row>
    <row r="3" spans="1:42" ht="32.25" customHeight="1" thickTop="1" thickBot="1" x14ac:dyDescent="0.35">
      <c r="A3" s="6" t="s">
        <v>1</v>
      </c>
      <c r="B3" s="7"/>
      <c r="C3" s="8">
        <v>580958.05000000005</v>
      </c>
      <c r="D3" s="9"/>
      <c r="E3" s="260" t="s">
        <v>2</v>
      </c>
      <c r="F3" s="261"/>
      <c r="I3" s="262" t="s">
        <v>3</v>
      </c>
      <c r="J3" s="263"/>
      <c r="K3" s="264"/>
      <c r="L3" s="10" t="s">
        <v>4</v>
      </c>
      <c r="O3" s="6" t="s">
        <v>1</v>
      </c>
      <c r="P3" s="7"/>
      <c r="Q3" s="8">
        <v>580958.05000000005</v>
      </c>
      <c r="R3" s="9"/>
      <c r="S3" s="260" t="s">
        <v>2</v>
      </c>
      <c r="T3" s="261"/>
      <c r="W3" s="262" t="s">
        <v>3</v>
      </c>
      <c r="X3" s="263"/>
      <c r="Y3" s="264"/>
      <c r="Z3" s="10" t="s">
        <v>4</v>
      </c>
      <c r="AC3" s="6" t="s">
        <v>1</v>
      </c>
      <c r="AD3" s="7"/>
      <c r="AE3" s="8">
        <v>580958.05000000005</v>
      </c>
      <c r="AF3" s="9"/>
      <c r="AG3" s="260" t="s">
        <v>2</v>
      </c>
      <c r="AH3" s="261"/>
      <c r="AK3" s="262" t="s">
        <v>3</v>
      </c>
      <c r="AL3" s="263"/>
      <c r="AM3" s="264"/>
      <c r="AN3" s="10" t="s">
        <v>4</v>
      </c>
    </row>
    <row r="4" spans="1:42" ht="15.75" thickTop="1" x14ac:dyDescent="0.25">
      <c r="B4" s="11">
        <v>42370</v>
      </c>
      <c r="C4" s="149">
        <v>0</v>
      </c>
      <c r="D4" s="150"/>
      <c r="E4" s="151">
        <v>42370</v>
      </c>
      <c r="F4" s="152">
        <v>0</v>
      </c>
      <c r="G4" s="153"/>
      <c r="H4" s="154">
        <v>42370</v>
      </c>
      <c r="I4" s="155">
        <v>0</v>
      </c>
      <c r="J4" s="16"/>
      <c r="K4" s="17"/>
      <c r="L4" s="156">
        <v>0</v>
      </c>
      <c r="P4" s="11">
        <v>42370</v>
      </c>
      <c r="Q4" s="149">
        <v>0</v>
      </c>
      <c r="R4" s="150"/>
      <c r="S4" s="151">
        <v>42370</v>
      </c>
      <c r="T4" s="152">
        <v>0</v>
      </c>
      <c r="U4" s="153"/>
      <c r="V4" s="154">
        <v>42370</v>
      </c>
      <c r="W4" s="155">
        <v>0</v>
      </c>
      <c r="X4" s="16"/>
      <c r="Y4" s="17"/>
      <c r="Z4" s="156">
        <v>0</v>
      </c>
      <c r="AA4" s="33"/>
      <c r="AB4" s="14"/>
      <c r="AD4" s="11">
        <v>42370</v>
      </c>
      <c r="AE4" s="149">
        <v>0</v>
      </c>
      <c r="AF4" s="150"/>
      <c r="AG4" s="151">
        <v>42370</v>
      </c>
      <c r="AH4" s="152">
        <v>0</v>
      </c>
      <c r="AI4" s="153"/>
      <c r="AJ4" s="154">
        <v>42370</v>
      </c>
      <c r="AK4" s="155">
        <v>0</v>
      </c>
      <c r="AL4" s="16"/>
      <c r="AM4" s="17"/>
      <c r="AN4" s="156">
        <v>0</v>
      </c>
      <c r="AO4" s="33"/>
      <c r="AP4" s="14"/>
    </row>
    <row r="5" spans="1:42" x14ac:dyDescent="0.25">
      <c r="B5" s="11">
        <v>42371</v>
      </c>
      <c r="C5" s="12">
        <v>0</v>
      </c>
      <c r="D5" s="19"/>
      <c r="E5" s="20">
        <v>42371</v>
      </c>
      <c r="F5" s="13">
        <v>0</v>
      </c>
      <c r="G5" s="21"/>
      <c r="H5" s="22">
        <v>42371</v>
      </c>
      <c r="I5" s="15">
        <v>0</v>
      </c>
      <c r="J5" s="23" t="s">
        <v>5</v>
      </c>
      <c r="K5" s="24">
        <v>863</v>
      </c>
      <c r="L5" s="18">
        <v>0</v>
      </c>
      <c r="P5" s="11">
        <v>42371</v>
      </c>
      <c r="Q5" s="12">
        <v>0</v>
      </c>
      <c r="R5" s="19"/>
      <c r="S5" s="20">
        <v>42371</v>
      </c>
      <c r="T5" s="13">
        <v>0</v>
      </c>
      <c r="U5" s="21"/>
      <c r="V5" s="22">
        <v>42371</v>
      </c>
      <c r="W5" s="15">
        <v>0</v>
      </c>
      <c r="X5" s="23" t="s">
        <v>5</v>
      </c>
      <c r="Y5" s="24">
        <v>863</v>
      </c>
      <c r="Z5" s="18">
        <v>0</v>
      </c>
      <c r="AA5" s="33"/>
      <c r="AB5" s="14"/>
      <c r="AD5" s="11">
        <v>42371</v>
      </c>
      <c r="AE5" s="12">
        <v>0</v>
      </c>
      <c r="AF5" s="19"/>
      <c r="AG5" s="20">
        <v>42371</v>
      </c>
      <c r="AH5" s="13">
        <v>0</v>
      </c>
      <c r="AI5" s="21"/>
      <c r="AJ5" s="22">
        <v>42371</v>
      </c>
      <c r="AK5" s="15">
        <v>0</v>
      </c>
      <c r="AL5" s="23" t="s">
        <v>5</v>
      </c>
      <c r="AM5" s="24">
        <v>0</v>
      </c>
      <c r="AN5" s="18">
        <v>0</v>
      </c>
      <c r="AO5" s="33"/>
      <c r="AP5" s="14"/>
    </row>
    <row r="6" spans="1:42" x14ac:dyDescent="0.25">
      <c r="B6" s="11">
        <v>42372</v>
      </c>
      <c r="C6" s="12">
        <v>0</v>
      </c>
      <c r="D6" s="19"/>
      <c r="E6" s="20">
        <v>42372</v>
      </c>
      <c r="F6" s="13">
        <v>87352</v>
      </c>
      <c r="G6" s="14"/>
      <c r="H6" s="22">
        <v>42372</v>
      </c>
      <c r="I6" s="15">
        <v>350</v>
      </c>
      <c r="J6" s="25" t="s">
        <v>6</v>
      </c>
      <c r="K6" s="24">
        <v>10000</v>
      </c>
      <c r="L6" s="18">
        <v>87002</v>
      </c>
      <c r="P6" s="11">
        <v>42372</v>
      </c>
      <c r="Q6" s="12">
        <v>0</v>
      </c>
      <c r="R6" s="19"/>
      <c r="S6" s="20">
        <v>42372</v>
      </c>
      <c r="T6" s="13">
        <v>87352</v>
      </c>
      <c r="U6" s="14"/>
      <c r="V6" s="22">
        <v>42372</v>
      </c>
      <c r="W6" s="15">
        <v>350</v>
      </c>
      <c r="X6" s="25" t="s">
        <v>6</v>
      </c>
      <c r="Y6" s="24">
        <v>5000</v>
      </c>
      <c r="Z6" s="18">
        <v>87002</v>
      </c>
      <c r="AA6" s="33"/>
      <c r="AB6" s="14"/>
      <c r="AD6" s="11">
        <v>42372</v>
      </c>
      <c r="AE6" s="12">
        <v>0</v>
      </c>
      <c r="AF6" s="19"/>
      <c r="AG6" s="20">
        <v>42372</v>
      </c>
      <c r="AH6" s="13">
        <v>87352</v>
      </c>
      <c r="AI6" s="14"/>
      <c r="AJ6" s="22">
        <v>42372</v>
      </c>
      <c r="AK6" s="15">
        <v>350</v>
      </c>
      <c r="AL6" s="25" t="s">
        <v>6</v>
      </c>
      <c r="AM6" s="24">
        <f>2500</f>
        <v>2500</v>
      </c>
      <c r="AN6" s="18">
        <v>87002</v>
      </c>
      <c r="AO6" s="33"/>
      <c r="AP6" s="14"/>
    </row>
    <row r="7" spans="1:42" x14ac:dyDescent="0.25">
      <c r="B7" s="11">
        <v>42373</v>
      </c>
      <c r="C7" s="12">
        <v>9343</v>
      </c>
      <c r="D7" s="26" t="s">
        <v>54</v>
      </c>
      <c r="E7" s="20">
        <v>42373</v>
      </c>
      <c r="F7" s="13">
        <v>224523</v>
      </c>
      <c r="G7" s="14"/>
      <c r="H7" s="22">
        <v>42373</v>
      </c>
      <c r="I7" s="15">
        <v>0</v>
      </c>
      <c r="J7" s="23" t="s">
        <v>7</v>
      </c>
      <c r="K7" s="24">
        <f>7187.5+7187.5+7187.5+7187.5</f>
        <v>28750</v>
      </c>
      <c r="L7" s="18">
        <v>215179.5</v>
      </c>
      <c r="P7" s="11">
        <v>42373</v>
      </c>
      <c r="Q7" s="12">
        <v>9343</v>
      </c>
      <c r="R7" s="26" t="s">
        <v>54</v>
      </c>
      <c r="S7" s="20">
        <v>42373</v>
      </c>
      <c r="T7" s="13">
        <v>224523</v>
      </c>
      <c r="U7" s="14"/>
      <c r="V7" s="22">
        <v>42373</v>
      </c>
      <c r="W7" s="15">
        <v>0</v>
      </c>
      <c r="X7" s="23" t="s">
        <v>7</v>
      </c>
      <c r="Y7" s="24">
        <f>7187.5+7187.5+7187.5</f>
        <v>21562.5</v>
      </c>
      <c r="Z7" s="18">
        <v>215179.5</v>
      </c>
      <c r="AA7" s="33"/>
      <c r="AB7" s="14"/>
      <c r="AD7" s="11">
        <v>42373</v>
      </c>
      <c r="AE7" s="12">
        <v>9343</v>
      </c>
      <c r="AF7" s="26" t="s">
        <v>54</v>
      </c>
      <c r="AG7" s="20">
        <v>42373</v>
      </c>
      <c r="AH7" s="13">
        <v>224523</v>
      </c>
      <c r="AI7" s="14"/>
      <c r="AJ7" s="22">
        <v>42373</v>
      </c>
      <c r="AK7" s="15">
        <v>0</v>
      </c>
      <c r="AL7" s="23" t="s">
        <v>7</v>
      </c>
      <c r="AM7" s="24">
        <f>7187.5</f>
        <v>7187.5</v>
      </c>
      <c r="AN7" s="18">
        <v>215179.5</v>
      </c>
      <c r="AO7" s="33"/>
      <c r="AP7" s="14"/>
    </row>
    <row r="8" spans="1:42" x14ac:dyDescent="0.25">
      <c r="B8" s="11">
        <v>42374</v>
      </c>
      <c r="C8" s="12">
        <v>0</v>
      </c>
      <c r="D8" s="26"/>
      <c r="E8" s="20">
        <v>42374</v>
      </c>
      <c r="F8" s="13">
        <v>94901</v>
      </c>
      <c r="G8" s="14"/>
      <c r="H8" s="22">
        <v>42374</v>
      </c>
      <c r="I8" s="15">
        <v>0</v>
      </c>
      <c r="J8" s="23" t="s">
        <v>50</v>
      </c>
      <c r="K8" s="13">
        <v>9001.2000000000007</v>
      </c>
      <c r="L8" s="18">
        <v>94901</v>
      </c>
      <c r="P8" s="11">
        <v>42374</v>
      </c>
      <c r="Q8" s="12">
        <v>0</v>
      </c>
      <c r="R8" s="26"/>
      <c r="S8" s="20">
        <v>42374</v>
      </c>
      <c r="T8" s="13">
        <v>94901</v>
      </c>
      <c r="U8" s="14"/>
      <c r="V8" s="22">
        <v>42374</v>
      </c>
      <c r="W8" s="15">
        <v>0</v>
      </c>
      <c r="X8" s="23" t="s">
        <v>50</v>
      </c>
      <c r="Y8" s="13">
        <v>9001.2000000000007</v>
      </c>
      <c r="Z8" s="18">
        <v>94901</v>
      </c>
      <c r="AA8" s="33"/>
      <c r="AB8" s="14"/>
      <c r="AD8" s="11">
        <v>42374</v>
      </c>
      <c r="AE8" s="12">
        <v>0</v>
      </c>
      <c r="AF8" s="26"/>
      <c r="AG8" s="20">
        <v>42374</v>
      </c>
      <c r="AH8" s="13">
        <v>94901</v>
      </c>
      <c r="AI8" s="14"/>
      <c r="AJ8" s="22">
        <v>42374</v>
      </c>
      <c r="AK8" s="15">
        <v>0</v>
      </c>
      <c r="AL8" s="23" t="s">
        <v>50</v>
      </c>
      <c r="AM8" s="13">
        <v>9001.2000000000007</v>
      </c>
      <c r="AN8" s="18">
        <v>94901</v>
      </c>
      <c r="AO8" s="33"/>
      <c r="AP8" s="14"/>
    </row>
    <row r="9" spans="1:42" x14ac:dyDescent="0.25">
      <c r="B9" s="11">
        <v>42375</v>
      </c>
      <c r="C9" s="12">
        <v>186</v>
      </c>
      <c r="D9" s="26" t="s">
        <v>55</v>
      </c>
      <c r="E9" s="20">
        <v>42375</v>
      </c>
      <c r="F9" s="13">
        <v>62098.5</v>
      </c>
      <c r="G9" s="14"/>
      <c r="H9" s="22">
        <v>42375</v>
      </c>
      <c r="I9" s="15">
        <v>348</v>
      </c>
      <c r="J9" s="23" t="s">
        <v>51</v>
      </c>
      <c r="K9" s="13">
        <v>7839.29</v>
      </c>
      <c r="L9" s="18">
        <v>60764.5</v>
      </c>
      <c r="P9" s="11">
        <v>42375</v>
      </c>
      <c r="Q9" s="12">
        <v>186</v>
      </c>
      <c r="R9" s="26" t="s">
        <v>55</v>
      </c>
      <c r="S9" s="20">
        <v>42375</v>
      </c>
      <c r="T9" s="13">
        <v>62098.5</v>
      </c>
      <c r="U9" s="14"/>
      <c r="V9" s="22">
        <v>42375</v>
      </c>
      <c r="W9" s="15">
        <v>348</v>
      </c>
      <c r="X9" s="23" t="s">
        <v>51</v>
      </c>
      <c r="Y9" s="13">
        <v>7839.29</v>
      </c>
      <c r="Z9" s="18">
        <v>60764.5</v>
      </c>
      <c r="AA9" s="33"/>
      <c r="AB9" s="14"/>
      <c r="AD9" s="11">
        <v>42375</v>
      </c>
      <c r="AE9" s="12">
        <v>186</v>
      </c>
      <c r="AF9" s="26" t="s">
        <v>55</v>
      </c>
      <c r="AG9" s="20">
        <v>42375</v>
      </c>
      <c r="AH9" s="13">
        <v>62098.5</v>
      </c>
      <c r="AI9" s="14"/>
      <c r="AJ9" s="22">
        <v>42375</v>
      </c>
      <c r="AK9" s="15">
        <v>348</v>
      </c>
      <c r="AL9" s="23" t="s">
        <v>51</v>
      </c>
      <c r="AM9" s="13">
        <v>7839.29</v>
      </c>
      <c r="AN9" s="18">
        <v>60764.5</v>
      </c>
      <c r="AO9" s="33"/>
      <c r="AP9" s="14"/>
    </row>
    <row r="10" spans="1:42" x14ac:dyDescent="0.25">
      <c r="A10" s="27"/>
      <c r="B10" s="11">
        <v>42376</v>
      </c>
      <c r="C10" s="12">
        <v>0</v>
      </c>
      <c r="D10" s="26"/>
      <c r="E10" s="20">
        <v>42376</v>
      </c>
      <c r="F10" s="13">
        <v>53608.5</v>
      </c>
      <c r="G10" s="14"/>
      <c r="H10" s="22">
        <v>42376</v>
      </c>
      <c r="I10" s="15">
        <v>0</v>
      </c>
      <c r="J10" s="23" t="s">
        <v>52</v>
      </c>
      <c r="K10" s="13">
        <v>8039.28</v>
      </c>
      <c r="L10" s="18">
        <v>53608.5</v>
      </c>
      <c r="O10" s="27"/>
      <c r="P10" s="11">
        <v>42376</v>
      </c>
      <c r="Q10" s="12">
        <v>0</v>
      </c>
      <c r="R10" s="26"/>
      <c r="S10" s="20">
        <v>42376</v>
      </c>
      <c r="T10" s="13">
        <v>53608.5</v>
      </c>
      <c r="U10" s="14"/>
      <c r="V10" s="22">
        <v>42376</v>
      </c>
      <c r="W10" s="15">
        <v>0</v>
      </c>
      <c r="X10" s="23" t="s">
        <v>52</v>
      </c>
      <c r="Y10" s="13">
        <v>8039.28</v>
      </c>
      <c r="Z10" s="18">
        <v>53608.5</v>
      </c>
      <c r="AA10" s="33"/>
      <c r="AB10" s="14"/>
      <c r="AC10" s="27"/>
      <c r="AD10" s="11">
        <v>42376</v>
      </c>
      <c r="AE10" s="12">
        <v>0</v>
      </c>
      <c r="AF10" s="26"/>
      <c r="AG10" s="20">
        <v>42376</v>
      </c>
      <c r="AH10" s="13">
        <v>53608.5</v>
      </c>
      <c r="AI10" s="14"/>
      <c r="AJ10" s="22">
        <v>42376</v>
      </c>
      <c r="AK10" s="15">
        <v>0</v>
      </c>
      <c r="AL10" s="23" t="s">
        <v>52</v>
      </c>
      <c r="AM10" s="13">
        <v>0</v>
      </c>
      <c r="AN10" s="18">
        <v>53608.5</v>
      </c>
      <c r="AO10" s="33"/>
      <c r="AP10" s="14"/>
    </row>
    <row r="11" spans="1:42" x14ac:dyDescent="0.25">
      <c r="B11" s="11">
        <v>42377</v>
      </c>
      <c r="C11" s="12">
        <v>1393</v>
      </c>
      <c r="D11" s="26" t="s">
        <v>56</v>
      </c>
      <c r="E11" s="20">
        <v>42377</v>
      </c>
      <c r="F11" s="13">
        <v>147782</v>
      </c>
      <c r="G11" s="14"/>
      <c r="H11" s="22">
        <v>42377</v>
      </c>
      <c r="I11" s="15">
        <v>50</v>
      </c>
      <c r="J11" s="23" t="s">
        <v>53</v>
      </c>
      <c r="K11" s="13">
        <v>7789.29</v>
      </c>
      <c r="L11" s="18">
        <v>146339</v>
      </c>
      <c r="P11" s="11">
        <v>42377</v>
      </c>
      <c r="Q11" s="12">
        <v>1393</v>
      </c>
      <c r="R11" s="26" t="s">
        <v>56</v>
      </c>
      <c r="S11" s="20">
        <v>42377</v>
      </c>
      <c r="T11" s="13">
        <v>147782</v>
      </c>
      <c r="U11" s="14"/>
      <c r="V11" s="22">
        <v>42377</v>
      </c>
      <c r="W11" s="15">
        <v>50</v>
      </c>
      <c r="X11" s="23" t="s">
        <v>53</v>
      </c>
      <c r="Y11" s="13">
        <v>7789.29</v>
      </c>
      <c r="Z11" s="18">
        <v>146339</v>
      </c>
      <c r="AA11" s="33"/>
      <c r="AB11" s="14"/>
      <c r="AD11" s="11">
        <v>42377</v>
      </c>
      <c r="AE11" s="12">
        <v>1393</v>
      </c>
      <c r="AF11" s="26" t="s">
        <v>56</v>
      </c>
      <c r="AG11" s="20">
        <v>42377</v>
      </c>
      <c r="AH11" s="13">
        <v>147782</v>
      </c>
      <c r="AI11" s="14"/>
      <c r="AJ11" s="22">
        <v>42377</v>
      </c>
      <c r="AK11" s="15">
        <v>50</v>
      </c>
      <c r="AL11" s="23" t="s">
        <v>53</v>
      </c>
      <c r="AM11" s="13">
        <v>0</v>
      </c>
      <c r="AN11" s="18">
        <v>146339</v>
      </c>
      <c r="AO11" s="33"/>
      <c r="AP11" s="14"/>
    </row>
    <row r="12" spans="1:42" x14ac:dyDescent="0.25">
      <c r="A12" s="28"/>
      <c r="B12" s="11">
        <v>42378</v>
      </c>
      <c r="C12" s="12">
        <v>1709</v>
      </c>
      <c r="D12" s="19" t="s">
        <v>56</v>
      </c>
      <c r="E12" s="20">
        <v>42378</v>
      </c>
      <c r="F12" s="13">
        <v>49303.5</v>
      </c>
      <c r="G12" s="14"/>
      <c r="H12" s="22">
        <v>42378</v>
      </c>
      <c r="I12" s="15">
        <v>0</v>
      </c>
      <c r="J12" s="23" t="s">
        <v>74</v>
      </c>
      <c r="K12" s="13">
        <v>8608.33</v>
      </c>
      <c r="L12" s="18">
        <v>47594.5</v>
      </c>
      <c r="O12" s="28"/>
      <c r="P12" s="11">
        <v>42378</v>
      </c>
      <c r="Q12" s="12">
        <v>1709</v>
      </c>
      <c r="R12" s="19" t="s">
        <v>56</v>
      </c>
      <c r="S12" s="20">
        <v>42378</v>
      </c>
      <c r="T12" s="13">
        <v>49303.5</v>
      </c>
      <c r="U12" s="14"/>
      <c r="V12" s="22">
        <v>42378</v>
      </c>
      <c r="W12" s="15">
        <v>0</v>
      </c>
      <c r="X12" s="23"/>
      <c r="Y12" s="13">
        <v>0</v>
      </c>
      <c r="Z12" s="18">
        <v>47594.5</v>
      </c>
      <c r="AA12" s="33"/>
      <c r="AB12" s="14"/>
      <c r="AC12" s="28"/>
      <c r="AD12" s="11">
        <v>42378</v>
      </c>
      <c r="AE12" s="12">
        <v>1709</v>
      </c>
      <c r="AF12" s="19" t="s">
        <v>56</v>
      </c>
      <c r="AG12" s="20">
        <v>42378</v>
      </c>
      <c r="AH12" s="13">
        <v>49303.5</v>
      </c>
      <c r="AI12" s="14"/>
      <c r="AJ12" s="22">
        <v>42378</v>
      </c>
      <c r="AK12" s="15">
        <v>0</v>
      </c>
      <c r="AL12" s="23"/>
      <c r="AM12" s="13">
        <v>0</v>
      </c>
      <c r="AN12" s="18">
        <v>47594.5</v>
      </c>
      <c r="AO12" s="33"/>
      <c r="AP12" s="14"/>
    </row>
    <row r="13" spans="1:42" x14ac:dyDescent="0.25">
      <c r="A13" s="28"/>
      <c r="B13" s="11">
        <v>42379</v>
      </c>
      <c r="C13" s="12">
        <v>269</v>
      </c>
      <c r="D13" s="29" t="s">
        <v>57</v>
      </c>
      <c r="E13" s="20">
        <v>42379</v>
      </c>
      <c r="F13" s="13">
        <v>84910</v>
      </c>
      <c r="G13" s="14"/>
      <c r="H13" s="22">
        <v>42379</v>
      </c>
      <c r="I13" s="15">
        <v>100</v>
      </c>
      <c r="J13" s="30" t="s">
        <v>8</v>
      </c>
      <c r="K13" s="13">
        <v>800</v>
      </c>
      <c r="L13" s="18">
        <v>84541</v>
      </c>
      <c r="O13" s="28"/>
      <c r="P13" s="11">
        <v>42379</v>
      </c>
      <c r="Q13" s="12">
        <v>269</v>
      </c>
      <c r="R13" s="29" t="s">
        <v>57</v>
      </c>
      <c r="S13" s="20">
        <v>42379</v>
      </c>
      <c r="T13" s="13">
        <v>84910</v>
      </c>
      <c r="U13" s="14"/>
      <c r="V13" s="22">
        <v>42379</v>
      </c>
      <c r="W13" s="15">
        <v>100</v>
      </c>
      <c r="X13" s="30" t="s">
        <v>8</v>
      </c>
      <c r="Y13" s="13">
        <v>800</v>
      </c>
      <c r="Z13" s="18">
        <v>84541</v>
      </c>
      <c r="AA13" s="33"/>
      <c r="AB13" s="14"/>
      <c r="AC13" s="28"/>
      <c r="AD13" s="11">
        <v>42379</v>
      </c>
      <c r="AE13" s="12">
        <v>269</v>
      </c>
      <c r="AF13" s="29" t="s">
        <v>57</v>
      </c>
      <c r="AG13" s="20">
        <v>42379</v>
      </c>
      <c r="AH13" s="13">
        <v>84910</v>
      </c>
      <c r="AI13" s="14"/>
      <c r="AJ13" s="22">
        <v>42379</v>
      </c>
      <c r="AK13" s="15">
        <v>100</v>
      </c>
      <c r="AL13" s="30" t="s">
        <v>8</v>
      </c>
      <c r="AM13" s="13">
        <v>800</v>
      </c>
      <c r="AN13" s="18">
        <v>84541</v>
      </c>
      <c r="AO13" s="33"/>
      <c r="AP13" s="14"/>
    </row>
    <row r="14" spans="1:42" x14ac:dyDescent="0.25">
      <c r="B14" s="11">
        <v>42380</v>
      </c>
      <c r="C14" s="12">
        <v>0</v>
      </c>
      <c r="D14" s="19"/>
      <c r="E14" s="20">
        <v>42380</v>
      </c>
      <c r="F14" s="13">
        <v>162317</v>
      </c>
      <c r="G14" s="14"/>
      <c r="H14" s="22">
        <v>42380</v>
      </c>
      <c r="I14" s="15">
        <v>0</v>
      </c>
      <c r="J14" s="31">
        <v>42375</v>
      </c>
      <c r="K14" s="13">
        <v>0</v>
      </c>
      <c r="L14" s="18">
        <v>162317</v>
      </c>
      <c r="P14" s="11">
        <v>42380</v>
      </c>
      <c r="Q14" s="12">
        <v>0</v>
      </c>
      <c r="R14" s="19"/>
      <c r="S14" s="20">
        <v>42380</v>
      </c>
      <c r="T14" s="13">
        <v>162317</v>
      </c>
      <c r="U14" s="14"/>
      <c r="V14" s="22">
        <v>42380</v>
      </c>
      <c r="W14" s="15">
        <v>0</v>
      </c>
      <c r="X14" s="31">
        <v>42375</v>
      </c>
      <c r="Y14" s="13">
        <v>0</v>
      </c>
      <c r="Z14" s="18">
        <v>162317</v>
      </c>
      <c r="AA14" s="33"/>
      <c r="AB14" s="14"/>
      <c r="AD14" s="11">
        <v>42380</v>
      </c>
      <c r="AE14" s="12">
        <v>0</v>
      </c>
      <c r="AF14" s="19"/>
      <c r="AG14" s="20">
        <v>42380</v>
      </c>
      <c r="AH14" s="13">
        <v>162317</v>
      </c>
      <c r="AI14" s="14"/>
      <c r="AJ14" s="22">
        <v>42380</v>
      </c>
      <c r="AK14" s="15">
        <v>0</v>
      </c>
      <c r="AL14" s="31">
        <v>42375</v>
      </c>
      <c r="AM14" s="13">
        <v>0</v>
      </c>
      <c r="AN14" s="18">
        <v>162317</v>
      </c>
      <c r="AO14" s="33"/>
      <c r="AP14" s="14"/>
    </row>
    <row r="15" spans="1:42" x14ac:dyDescent="0.25">
      <c r="A15" s="28"/>
      <c r="B15" s="11">
        <v>42381</v>
      </c>
      <c r="C15" s="12">
        <v>6779</v>
      </c>
      <c r="D15" s="19" t="s">
        <v>58</v>
      </c>
      <c r="E15" s="20">
        <v>42381</v>
      </c>
      <c r="F15" s="13">
        <v>45144.5</v>
      </c>
      <c r="G15" s="14"/>
      <c r="H15" s="22">
        <v>42381</v>
      </c>
      <c r="I15" s="15">
        <v>0</v>
      </c>
      <c r="J15" s="32" t="s">
        <v>9</v>
      </c>
      <c r="K15" s="13">
        <v>0</v>
      </c>
      <c r="L15" s="18">
        <f>25800+6589.5+5976</f>
        <v>38365.5</v>
      </c>
      <c r="O15" s="28"/>
      <c r="P15" s="11">
        <v>42381</v>
      </c>
      <c r="Q15" s="12">
        <v>6779</v>
      </c>
      <c r="R15" s="19" t="s">
        <v>58</v>
      </c>
      <c r="S15" s="20">
        <v>42381</v>
      </c>
      <c r="T15" s="13">
        <v>45144.5</v>
      </c>
      <c r="U15" s="14"/>
      <c r="V15" s="22">
        <v>42381</v>
      </c>
      <c r="W15" s="15">
        <v>0</v>
      </c>
      <c r="X15" s="32" t="s">
        <v>9</v>
      </c>
      <c r="Y15" s="13">
        <v>0</v>
      </c>
      <c r="Z15" s="18">
        <f>25800+6589.5+5976</f>
        <v>38365.5</v>
      </c>
      <c r="AA15" s="81"/>
      <c r="AB15" s="82"/>
      <c r="AC15" s="28"/>
      <c r="AD15" s="11">
        <v>42381</v>
      </c>
      <c r="AE15" s="12">
        <v>6779</v>
      </c>
      <c r="AF15" s="19" t="s">
        <v>58</v>
      </c>
      <c r="AG15" s="20">
        <v>42381</v>
      </c>
      <c r="AH15" s="13">
        <v>45144.5</v>
      </c>
      <c r="AI15" s="14"/>
      <c r="AJ15" s="22">
        <v>42381</v>
      </c>
      <c r="AK15" s="15">
        <v>0</v>
      </c>
      <c r="AL15" s="32" t="s">
        <v>9</v>
      </c>
      <c r="AM15" s="13">
        <v>0</v>
      </c>
      <c r="AN15" s="18">
        <f>25800+6589.5+5976</f>
        <v>38365.5</v>
      </c>
      <c r="AO15" s="157">
        <v>5976</v>
      </c>
      <c r="AP15" s="82" t="s">
        <v>59</v>
      </c>
    </row>
    <row r="16" spans="1:42" x14ac:dyDescent="0.25">
      <c r="A16" s="28"/>
      <c r="B16" s="11">
        <v>42382</v>
      </c>
      <c r="C16" s="12">
        <v>2664</v>
      </c>
      <c r="D16" s="19" t="s">
        <v>49</v>
      </c>
      <c r="E16" s="20">
        <v>42382</v>
      </c>
      <c r="F16" s="13">
        <v>85645</v>
      </c>
      <c r="G16" s="14"/>
      <c r="H16" s="22">
        <v>42382</v>
      </c>
      <c r="I16" s="15">
        <v>0</v>
      </c>
      <c r="J16" s="34"/>
      <c r="K16" s="13">
        <v>0</v>
      </c>
      <c r="L16" s="18">
        <v>84417</v>
      </c>
      <c r="O16" s="28"/>
      <c r="P16" s="11">
        <v>42382</v>
      </c>
      <c r="Q16" s="12">
        <v>2664</v>
      </c>
      <c r="R16" s="19" t="s">
        <v>49</v>
      </c>
      <c r="S16" s="20">
        <v>42382</v>
      </c>
      <c r="T16" s="13">
        <v>85645</v>
      </c>
      <c r="U16" s="14"/>
      <c r="V16" s="22">
        <v>42382</v>
      </c>
      <c r="W16" s="15">
        <v>0</v>
      </c>
      <c r="X16" s="34"/>
      <c r="Y16" s="13">
        <v>0</v>
      </c>
      <c r="Z16" s="18">
        <v>84417</v>
      </c>
      <c r="AA16" s="33"/>
      <c r="AB16" s="14"/>
      <c r="AC16" s="28"/>
      <c r="AD16" s="11">
        <v>42382</v>
      </c>
      <c r="AE16" s="12"/>
      <c r="AF16" s="19"/>
      <c r="AG16" s="20">
        <v>42382</v>
      </c>
      <c r="AH16" s="13"/>
      <c r="AI16" s="14"/>
      <c r="AJ16" s="22">
        <v>42382</v>
      </c>
      <c r="AK16" s="15">
        <v>0</v>
      </c>
      <c r="AL16" s="34"/>
      <c r="AM16" s="13">
        <v>0</v>
      </c>
      <c r="AN16" s="18"/>
      <c r="AO16" s="33"/>
      <c r="AP16" s="14"/>
    </row>
    <row r="17" spans="1:42" x14ac:dyDescent="0.25">
      <c r="A17" s="28"/>
      <c r="B17" s="11">
        <v>42383</v>
      </c>
      <c r="C17" s="12">
        <v>0</v>
      </c>
      <c r="D17" s="19"/>
      <c r="E17" s="20">
        <v>42383</v>
      </c>
      <c r="F17" s="13">
        <v>119138</v>
      </c>
      <c r="G17" s="14"/>
      <c r="H17" s="22">
        <v>42383</v>
      </c>
      <c r="I17" s="15">
        <v>0</v>
      </c>
      <c r="J17" s="35" t="s">
        <v>10</v>
      </c>
      <c r="K17" s="13">
        <v>0</v>
      </c>
      <c r="L17" s="18">
        <f>40000+58638+500</f>
        <v>99138</v>
      </c>
      <c r="O17" s="28"/>
      <c r="P17" s="11">
        <v>42383</v>
      </c>
      <c r="Q17" s="12">
        <v>0</v>
      </c>
      <c r="R17" s="19"/>
      <c r="S17" s="20">
        <v>42383</v>
      </c>
      <c r="T17" s="13">
        <v>119138</v>
      </c>
      <c r="U17" s="14"/>
      <c r="V17" s="22">
        <v>42383</v>
      </c>
      <c r="W17" s="15">
        <v>0</v>
      </c>
      <c r="X17" s="35" t="s">
        <v>10</v>
      </c>
      <c r="Y17" s="13">
        <v>0</v>
      </c>
      <c r="Z17" s="18">
        <f>40000+58638+500</f>
        <v>99138</v>
      </c>
      <c r="AA17" s="33"/>
      <c r="AB17" s="14"/>
      <c r="AC17" s="28"/>
      <c r="AD17" s="11">
        <v>42383</v>
      </c>
      <c r="AE17" s="12"/>
      <c r="AF17" s="19"/>
      <c r="AG17" s="20">
        <v>42383</v>
      </c>
      <c r="AH17" s="13"/>
      <c r="AI17" s="14"/>
      <c r="AJ17" s="22">
        <v>42383</v>
      </c>
      <c r="AK17" s="15">
        <v>0</v>
      </c>
      <c r="AL17" s="35" t="s">
        <v>10</v>
      </c>
      <c r="AM17" s="13">
        <v>0</v>
      </c>
      <c r="AN17" s="18"/>
      <c r="AO17" s="33"/>
      <c r="AP17" s="14"/>
    </row>
    <row r="18" spans="1:42" x14ac:dyDescent="0.25">
      <c r="B18" s="11">
        <v>42384</v>
      </c>
      <c r="C18" s="12">
        <v>0</v>
      </c>
      <c r="D18" s="19"/>
      <c r="E18" s="20">
        <v>42384</v>
      </c>
      <c r="F18" s="13">
        <v>140894.5</v>
      </c>
      <c r="G18" s="14"/>
      <c r="H18" s="22">
        <v>42384</v>
      </c>
      <c r="I18" s="15">
        <v>0</v>
      </c>
      <c r="J18" s="36"/>
      <c r="K18" s="24">
        <v>0</v>
      </c>
      <c r="L18" s="18">
        <f>68120+60000+45000+7901.5</f>
        <v>181021.5</v>
      </c>
      <c r="P18" s="11">
        <v>42384</v>
      </c>
      <c r="Q18" s="12">
        <v>0</v>
      </c>
      <c r="R18" s="19"/>
      <c r="S18" s="20">
        <v>42384</v>
      </c>
      <c r="T18" s="13">
        <v>140894.5</v>
      </c>
      <c r="U18" s="14"/>
      <c r="V18" s="22">
        <v>42384</v>
      </c>
      <c r="W18" s="15">
        <v>0</v>
      </c>
      <c r="X18" s="36"/>
      <c r="Y18" s="24">
        <v>0</v>
      </c>
      <c r="Z18" s="18">
        <f>68120+60000+45000+7901.5</f>
        <v>181021.5</v>
      </c>
      <c r="AA18" s="81"/>
      <c r="AB18" s="14"/>
      <c r="AD18" s="11">
        <v>42384</v>
      </c>
      <c r="AE18" s="12"/>
      <c r="AF18" s="19"/>
      <c r="AG18" s="20">
        <v>42384</v>
      </c>
      <c r="AH18" s="13"/>
      <c r="AI18" s="14"/>
      <c r="AJ18" s="22">
        <v>42384</v>
      </c>
      <c r="AK18" s="15">
        <v>0</v>
      </c>
      <c r="AL18" s="36"/>
      <c r="AM18" s="24">
        <v>0</v>
      </c>
      <c r="AN18" s="18"/>
      <c r="AO18" s="81"/>
      <c r="AP18" s="14"/>
    </row>
    <row r="19" spans="1:42" x14ac:dyDescent="0.25">
      <c r="A19" s="28"/>
      <c r="B19" s="11">
        <v>42385</v>
      </c>
      <c r="C19" s="12">
        <v>0</v>
      </c>
      <c r="D19" s="19"/>
      <c r="E19" s="20">
        <v>42385</v>
      </c>
      <c r="F19" s="13">
        <v>108066.5</v>
      </c>
      <c r="G19" s="14"/>
      <c r="H19" s="22">
        <v>42385</v>
      </c>
      <c r="I19" s="15">
        <v>0</v>
      </c>
      <c r="J19" s="37"/>
      <c r="K19" s="13">
        <v>0</v>
      </c>
      <c r="L19" s="18">
        <f>65530+42536</f>
        <v>108066</v>
      </c>
      <c r="O19" s="28"/>
      <c r="P19" s="11">
        <v>42385</v>
      </c>
      <c r="Q19" s="12">
        <v>0</v>
      </c>
      <c r="R19" s="19"/>
      <c r="S19" s="20">
        <v>42385</v>
      </c>
      <c r="T19" s="13">
        <v>108066.5</v>
      </c>
      <c r="U19" s="14"/>
      <c r="V19" s="22">
        <v>42385</v>
      </c>
      <c r="W19" s="15">
        <v>0</v>
      </c>
      <c r="X19" s="37"/>
      <c r="Y19" s="13">
        <v>0</v>
      </c>
      <c r="Z19" s="18">
        <f>65530+42536</f>
        <v>108066</v>
      </c>
      <c r="AA19" s="81"/>
      <c r="AB19" s="14"/>
      <c r="AC19" s="28"/>
      <c r="AD19" s="11">
        <v>42385</v>
      </c>
      <c r="AE19" s="12"/>
      <c r="AF19" s="19"/>
      <c r="AG19" s="20">
        <v>42385</v>
      </c>
      <c r="AH19" s="13"/>
      <c r="AI19" s="14"/>
      <c r="AJ19" s="22">
        <v>42385</v>
      </c>
      <c r="AK19" s="15">
        <v>0</v>
      </c>
      <c r="AL19" s="37"/>
      <c r="AM19" s="13">
        <v>0</v>
      </c>
      <c r="AN19" s="18"/>
      <c r="AO19" s="33"/>
      <c r="AP19" s="14"/>
    </row>
    <row r="20" spans="1:42" ht="15.75" customHeight="1" x14ac:dyDescent="0.25">
      <c r="B20" s="11">
        <v>42386</v>
      </c>
      <c r="C20" s="12">
        <v>0</v>
      </c>
      <c r="D20" s="19"/>
      <c r="E20" s="20">
        <v>42386</v>
      </c>
      <c r="F20" s="13">
        <v>50329</v>
      </c>
      <c r="G20" s="14"/>
      <c r="H20" s="22">
        <v>42386</v>
      </c>
      <c r="I20" s="38">
        <v>100</v>
      </c>
      <c r="J20" s="265"/>
      <c r="K20" s="39">
        <v>0</v>
      </c>
      <c r="L20" s="18">
        <f>14142+36087</f>
        <v>50229</v>
      </c>
      <c r="P20" s="11">
        <v>42386</v>
      </c>
      <c r="Q20" s="12">
        <v>0</v>
      </c>
      <c r="R20" s="19"/>
      <c r="S20" s="20">
        <v>42386</v>
      </c>
      <c r="T20" s="13">
        <v>50329</v>
      </c>
      <c r="U20" s="14"/>
      <c r="V20" s="22">
        <v>42386</v>
      </c>
      <c r="W20" s="38">
        <v>100</v>
      </c>
      <c r="X20" s="265"/>
      <c r="Y20" s="39">
        <v>0</v>
      </c>
      <c r="Z20" s="18">
        <f>14142+36087</f>
        <v>50229</v>
      </c>
      <c r="AA20" s="81"/>
      <c r="AB20" s="14"/>
      <c r="AD20" s="11">
        <v>42386</v>
      </c>
      <c r="AE20" s="12"/>
      <c r="AF20" s="19"/>
      <c r="AG20" s="20">
        <v>42386</v>
      </c>
      <c r="AH20" s="13"/>
      <c r="AI20" s="14"/>
      <c r="AJ20" s="22">
        <v>42386</v>
      </c>
      <c r="AK20" s="38"/>
      <c r="AL20" s="265"/>
      <c r="AM20" s="39">
        <v>0</v>
      </c>
      <c r="AN20" s="18"/>
      <c r="AO20" s="33"/>
      <c r="AP20" s="14"/>
    </row>
    <row r="21" spans="1:42" ht="18" customHeight="1" x14ac:dyDescent="0.25">
      <c r="B21" s="11">
        <v>42387</v>
      </c>
      <c r="C21" s="12">
        <v>0</v>
      </c>
      <c r="D21" s="40"/>
      <c r="E21" s="20">
        <v>42387</v>
      </c>
      <c r="F21" s="13">
        <v>156252.5</v>
      </c>
      <c r="G21" s="14"/>
      <c r="H21" s="22">
        <v>42387</v>
      </c>
      <c r="I21" s="38">
        <v>0</v>
      </c>
      <c r="J21" s="266"/>
      <c r="K21" s="24">
        <v>0</v>
      </c>
      <c r="L21" s="18">
        <f>59000+65000+32252.5</f>
        <v>156252.5</v>
      </c>
      <c r="P21" s="11">
        <v>42387</v>
      </c>
      <c r="Q21" s="12">
        <v>0</v>
      </c>
      <c r="R21" s="40"/>
      <c r="S21" s="20">
        <v>42387</v>
      </c>
      <c r="T21" s="13">
        <v>156252.5</v>
      </c>
      <c r="U21" s="14"/>
      <c r="V21" s="22">
        <v>42387</v>
      </c>
      <c r="W21" s="38">
        <v>0</v>
      </c>
      <c r="X21" s="266"/>
      <c r="Y21" s="24">
        <v>0</v>
      </c>
      <c r="Z21" s="18">
        <f>59000+65000+32252.5</f>
        <v>156252.5</v>
      </c>
      <c r="AA21" s="81"/>
      <c r="AB21" s="14"/>
      <c r="AD21" s="11">
        <v>42387</v>
      </c>
      <c r="AE21" s="12"/>
      <c r="AF21" s="40"/>
      <c r="AG21" s="20">
        <v>42387</v>
      </c>
      <c r="AH21" s="13"/>
      <c r="AI21" s="14"/>
      <c r="AJ21" s="22">
        <v>42387</v>
      </c>
      <c r="AK21" s="38"/>
      <c r="AL21" s="266"/>
      <c r="AM21" s="24">
        <v>0</v>
      </c>
      <c r="AN21" s="18"/>
      <c r="AO21" s="33"/>
      <c r="AP21" s="14"/>
    </row>
    <row r="22" spans="1:42" x14ac:dyDescent="0.25">
      <c r="B22" s="11">
        <v>42388</v>
      </c>
      <c r="C22" s="12">
        <v>0</v>
      </c>
      <c r="D22" s="40"/>
      <c r="E22" s="20">
        <v>42388</v>
      </c>
      <c r="F22" s="13">
        <v>58089.5</v>
      </c>
      <c r="G22" s="21"/>
      <c r="H22" s="22">
        <v>42388</v>
      </c>
      <c r="I22" s="15">
        <v>60</v>
      </c>
      <c r="J22" s="23"/>
      <c r="K22" s="24">
        <v>0</v>
      </c>
      <c r="L22" s="18">
        <f>29686+27240+1103</f>
        <v>58029</v>
      </c>
      <c r="P22" s="11">
        <v>42388</v>
      </c>
      <c r="Q22" s="12">
        <v>0</v>
      </c>
      <c r="R22" s="40"/>
      <c r="S22" s="20">
        <v>42388</v>
      </c>
      <c r="T22" s="13">
        <v>58089.5</v>
      </c>
      <c r="U22" s="21"/>
      <c r="V22" s="22">
        <v>42388</v>
      </c>
      <c r="W22" s="15">
        <v>60</v>
      </c>
      <c r="X22" s="23"/>
      <c r="Y22" s="24">
        <v>0</v>
      </c>
      <c r="Z22" s="18">
        <f>29686+27240+1103</f>
        <v>58029</v>
      </c>
      <c r="AA22" s="81"/>
      <c r="AB22" s="14"/>
      <c r="AD22" s="11">
        <v>42388</v>
      </c>
      <c r="AE22" s="12"/>
      <c r="AF22" s="40"/>
      <c r="AG22" s="20">
        <v>42388</v>
      </c>
      <c r="AH22" s="13"/>
      <c r="AI22" s="21"/>
      <c r="AJ22" s="22">
        <v>42388</v>
      </c>
      <c r="AK22" s="15"/>
      <c r="AL22" s="23"/>
      <c r="AM22" s="24">
        <v>0</v>
      </c>
      <c r="AN22" s="18"/>
      <c r="AO22" s="33"/>
      <c r="AP22" s="14"/>
    </row>
    <row r="23" spans="1:42" ht="19.5" customHeight="1" x14ac:dyDescent="0.25">
      <c r="A23" s="28"/>
      <c r="B23" s="11">
        <v>42389</v>
      </c>
      <c r="C23" s="12">
        <v>4440</v>
      </c>
      <c r="D23" s="40" t="s">
        <v>49</v>
      </c>
      <c r="E23" s="20">
        <v>42389</v>
      </c>
      <c r="F23" s="13">
        <v>124556</v>
      </c>
      <c r="G23" s="14"/>
      <c r="H23" s="22">
        <v>42389</v>
      </c>
      <c r="I23" s="15">
        <v>0</v>
      </c>
      <c r="J23" s="32"/>
      <c r="K23" s="13">
        <v>0</v>
      </c>
      <c r="L23" s="18">
        <f>107000+13116</f>
        <v>120116</v>
      </c>
      <c r="O23" s="28"/>
      <c r="P23" s="11">
        <v>42389</v>
      </c>
      <c r="Q23" s="12">
        <v>4440</v>
      </c>
      <c r="R23" s="40" t="s">
        <v>49</v>
      </c>
      <c r="S23" s="20">
        <v>42389</v>
      </c>
      <c r="T23" s="13">
        <v>124556</v>
      </c>
      <c r="U23" s="14"/>
      <c r="V23" s="22">
        <v>42389</v>
      </c>
      <c r="W23" s="15">
        <v>0</v>
      </c>
      <c r="X23" s="32"/>
      <c r="Y23" s="13">
        <v>0</v>
      </c>
      <c r="Z23" s="18">
        <f>107000+13116</f>
        <v>120116</v>
      </c>
      <c r="AA23" s="33"/>
      <c r="AC23" s="28"/>
      <c r="AD23" s="11">
        <v>42389</v>
      </c>
      <c r="AE23" s="12"/>
      <c r="AF23" s="40"/>
      <c r="AG23" s="20">
        <v>42389</v>
      </c>
      <c r="AH23" s="13"/>
      <c r="AI23" s="14"/>
      <c r="AJ23" s="22">
        <v>42389</v>
      </c>
      <c r="AK23" s="15"/>
      <c r="AL23" s="32"/>
      <c r="AM23" s="13">
        <v>0</v>
      </c>
      <c r="AN23" s="18"/>
      <c r="AO23" s="94">
        <v>64808.800000000003</v>
      </c>
    </row>
    <row r="24" spans="1:42" ht="16.5" customHeight="1" x14ac:dyDescent="0.25">
      <c r="A24" s="28"/>
      <c r="B24" s="11">
        <v>42390</v>
      </c>
      <c r="C24" s="12">
        <v>0</v>
      </c>
      <c r="D24" s="40"/>
      <c r="E24" s="20">
        <v>42390</v>
      </c>
      <c r="F24" s="13">
        <v>133201</v>
      </c>
      <c r="G24" s="14"/>
      <c r="H24" s="22">
        <v>42390</v>
      </c>
      <c r="I24" s="15">
        <v>0</v>
      </c>
      <c r="J24" s="34"/>
      <c r="K24" s="24"/>
      <c r="L24" s="18">
        <v>133201</v>
      </c>
      <c r="O24" s="28"/>
      <c r="P24" s="11">
        <v>42390</v>
      </c>
      <c r="Q24" s="12">
        <v>0</v>
      </c>
      <c r="R24" s="40"/>
      <c r="S24" s="20">
        <v>42390</v>
      </c>
      <c r="T24" s="13">
        <v>133201</v>
      </c>
      <c r="U24" s="14"/>
      <c r="V24" s="22">
        <v>42390</v>
      </c>
      <c r="W24" s="15">
        <v>0</v>
      </c>
      <c r="X24" s="34"/>
      <c r="Y24" s="24"/>
      <c r="Z24" s="18">
        <v>133201</v>
      </c>
      <c r="AC24" s="28"/>
      <c r="AD24" s="11">
        <v>42390</v>
      </c>
      <c r="AE24" s="12"/>
      <c r="AF24" s="40"/>
      <c r="AG24" s="20">
        <v>42390</v>
      </c>
      <c r="AH24" s="13"/>
      <c r="AI24" s="14"/>
      <c r="AJ24" s="22">
        <v>42390</v>
      </c>
      <c r="AK24" s="15"/>
      <c r="AL24" s="34"/>
      <c r="AM24" s="24"/>
      <c r="AN24" s="18"/>
      <c r="AO24" s="94">
        <v>46406.8</v>
      </c>
    </row>
    <row r="25" spans="1:42" x14ac:dyDescent="0.25">
      <c r="B25" s="11">
        <v>42391</v>
      </c>
      <c r="C25" s="12">
        <v>13258</v>
      </c>
      <c r="D25" s="19" t="s">
        <v>54</v>
      </c>
      <c r="E25" s="20">
        <v>42391</v>
      </c>
      <c r="F25" s="13">
        <v>166887</v>
      </c>
      <c r="G25" s="14"/>
      <c r="H25" s="22">
        <v>42391</v>
      </c>
      <c r="I25" s="15">
        <v>50</v>
      </c>
      <c r="J25" s="23"/>
      <c r="K25" s="24"/>
      <c r="L25" s="18">
        <v>153579</v>
      </c>
      <c r="P25" s="11">
        <v>42391</v>
      </c>
      <c r="Q25" s="12">
        <v>13258</v>
      </c>
      <c r="R25" s="19" t="s">
        <v>54</v>
      </c>
      <c r="S25" s="20">
        <v>42391</v>
      </c>
      <c r="T25" s="13">
        <v>166887</v>
      </c>
      <c r="U25" s="14"/>
      <c r="V25" s="22">
        <v>42391</v>
      </c>
      <c r="W25" s="15">
        <v>50</v>
      </c>
      <c r="X25" s="23"/>
      <c r="Y25" s="24"/>
      <c r="Z25" s="18">
        <v>153579</v>
      </c>
      <c r="AD25" s="11">
        <v>42391</v>
      </c>
      <c r="AE25" s="12"/>
      <c r="AF25" s="19"/>
      <c r="AG25" s="20">
        <v>42391</v>
      </c>
      <c r="AH25" s="13"/>
      <c r="AI25" s="14"/>
      <c r="AJ25" s="22">
        <v>42391</v>
      </c>
      <c r="AK25" s="15"/>
      <c r="AL25" s="23"/>
      <c r="AM25" s="24"/>
      <c r="AN25" s="18"/>
      <c r="AO25" s="94">
        <v>256564</v>
      </c>
    </row>
    <row r="26" spans="1:42" x14ac:dyDescent="0.25">
      <c r="B26" s="11">
        <v>42392</v>
      </c>
      <c r="C26" s="12">
        <v>0</v>
      </c>
      <c r="D26" s="19"/>
      <c r="E26" s="20">
        <v>42392</v>
      </c>
      <c r="F26" s="13">
        <v>67048.5</v>
      </c>
      <c r="G26" s="14"/>
      <c r="H26" s="22">
        <v>42392</v>
      </c>
      <c r="I26" s="15">
        <v>60</v>
      </c>
      <c r="J26" s="23"/>
      <c r="K26" s="24"/>
      <c r="L26" s="18">
        <v>66988.5</v>
      </c>
      <c r="P26" s="11">
        <v>42392</v>
      </c>
      <c r="Q26" s="12">
        <v>0</v>
      </c>
      <c r="R26" s="19"/>
      <c r="S26" s="20">
        <v>42392</v>
      </c>
      <c r="T26" s="13">
        <v>67048.5</v>
      </c>
      <c r="U26" s="14"/>
      <c r="V26" s="22">
        <v>42392</v>
      </c>
      <c r="W26" s="15">
        <v>60</v>
      </c>
      <c r="X26" s="23"/>
      <c r="Y26" s="24"/>
      <c r="Z26" s="18">
        <v>66988.5</v>
      </c>
      <c r="AD26" s="11">
        <v>42392</v>
      </c>
      <c r="AE26" s="12"/>
      <c r="AF26" s="19"/>
      <c r="AG26" s="20">
        <v>42392</v>
      </c>
      <c r="AH26" s="13"/>
      <c r="AI26" s="14"/>
      <c r="AJ26" s="22">
        <v>42392</v>
      </c>
      <c r="AK26" s="15"/>
      <c r="AL26" s="23"/>
      <c r="AM26" s="24"/>
      <c r="AN26" s="18"/>
      <c r="AO26" s="94">
        <v>227579.35</v>
      </c>
    </row>
    <row r="27" spans="1:42" x14ac:dyDescent="0.25">
      <c r="B27" s="11">
        <v>42393</v>
      </c>
      <c r="C27" s="12">
        <v>2388</v>
      </c>
      <c r="D27" s="19" t="s">
        <v>54</v>
      </c>
      <c r="E27" s="20">
        <v>42393</v>
      </c>
      <c r="F27" s="13">
        <v>97458</v>
      </c>
      <c r="G27" s="14"/>
      <c r="H27" s="22">
        <v>42393</v>
      </c>
      <c r="I27" s="15">
        <v>100</v>
      </c>
      <c r="J27" s="23"/>
      <c r="K27" s="24"/>
      <c r="L27" s="18">
        <f>65000+29970</f>
        <v>94970</v>
      </c>
      <c r="P27" s="11">
        <v>42393</v>
      </c>
      <c r="Q27" s="12">
        <v>2388</v>
      </c>
      <c r="R27" s="19" t="s">
        <v>54</v>
      </c>
      <c r="S27" s="20">
        <v>42393</v>
      </c>
      <c r="T27" s="13">
        <v>97458</v>
      </c>
      <c r="U27" s="14"/>
      <c r="V27" s="22">
        <v>42393</v>
      </c>
      <c r="W27" s="15">
        <v>100</v>
      </c>
      <c r="X27" s="23"/>
      <c r="Y27" s="24"/>
      <c r="Z27" s="18">
        <f>65000+29970</f>
        <v>94970</v>
      </c>
      <c r="AD27" s="11">
        <v>42393</v>
      </c>
      <c r="AE27" s="12"/>
      <c r="AF27" s="19"/>
      <c r="AG27" s="20">
        <v>42393</v>
      </c>
      <c r="AH27" s="13"/>
      <c r="AI27" s="14"/>
      <c r="AJ27" s="22">
        <v>42393</v>
      </c>
      <c r="AK27" s="15"/>
      <c r="AL27" s="23"/>
      <c r="AM27" s="24"/>
      <c r="AN27" s="18"/>
      <c r="AO27" s="183">
        <f>SUM(AO23:AO26)</f>
        <v>595358.94999999995</v>
      </c>
    </row>
    <row r="28" spans="1:42" x14ac:dyDescent="0.25">
      <c r="B28" s="11">
        <v>42394</v>
      </c>
      <c r="C28" s="12">
        <v>484</v>
      </c>
      <c r="D28" s="19" t="s">
        <v>68</v>
      </c>
      <c r="E28" s="20">
        <v>42394</v>
      </c>
      <c r="F28" s="13">
        <v>187544</v>
      </c>
      <c r="G28" s="14"/>
      <c r="H28" s="22">
        <v>42394</v>
      </c>
      <c r="I28" s="15">
        <v>0</v>
      </c>
      <c r="J28" s="23"/>
      <c r="K28" s="24"/>
      <c r="L28" s="18">
        <f>956+16200+45000+3629+5446+84363+30956.5</f>
        <v>186550.5</v>
      </c>
      <c r="P28" s="11">
        <v>42394</v>
      </c>
      <c r="Q28" s="12">
        <v>484</v>
      </c>
      <c r="R28" s="19" t="s">
        <v>68</v>
      </c>
      <c r="S28" s="20">
        <v>42394</v>
      </c>
      <c r="T28" s="13">
        <v>187544</v>
      </c>
      <c r="U28" s="14"/>
      <c r="V28" s="22">
        <v>42394</v>
      </c>
      <c r="W28" s="15">
        <v>0</v>
      </c>
      <c r="X28" s="23"/>
      <c r="Y28" s="24"/>
      <c r="Z28" s="18">
        <f>956+16200+45000+3629+5446+84363+30956.5</f>
        <v>186550.5</v>
      </c>
      <c r="AA28" s="33"/>
      <c r="AD28" s="11">
        <v>42394</v>
      </c>
      <c r="AE28" s="12"/>
      <c r="AF28" s="19"/>
      <c r="AG28" s="20">
        <v>42394</v>
      </c>
      <c r="AH28" s="13"/>
      <c r="AI28" s="14"/>
      <c r="AJ28" s="22">
        <v>42394</v>
      </c>
      <c r="AK28" s="15"/>
      <c r="AL28" s="23"/>
      <c r="AM28" s="24"/>
      <c r="AN28" s="18"/>
    </row>
    <row r="29" spans="1:42" ht="19.5" customHeight="1" x14ac:dyDescent="0.25">
      <c r="B29" s="11">
        <v>42395</v>
      </c>
      <c r="C29" s="12">
        <v>0</v>
      </c>
      <c r="D29" s="19"/>
      <c r="E29" s="20">
        <v>42395</v>
      </c>
      <c r="F29" s="13">
        <v>49145</v>
      </c>
      <c r="G29" s="14"/>
      <c r="H29" s="22">
        <v>42395</v>
      </c>
      <c r="I29" s="15">
        <v>0</v>
      </c>
      <c r="J29" s="23"/>
      <c r="K29" s="24"/>
      <c r="L29" s="18">
        <v>49145</v>
      </c>
      <c r="P29" s="11">
        <v>42395</v>
      </c>
      <c r="Q29" s="12">
        <v>0</v>
      </c>
      <c r="R29" s="19"/>
      <c r="S29" s="20">
        <v>42395</v>
      </c>
      <c r="T29" s="13"/>
      <c r="U29" s="14"/>
      <c r="V29" s="22">
        <v>42395</v>
      </c>
      <c r="W29" s="15">
        <v>0</v>
      </c>
      <c r="X29" s="23"/>
      <c r="Y29" s="24"/>
      <c r="Z29" s="18">
        <v>0</v>
      </c>
      <c r="AA29" s="41"/>
      <c r="AD29" s="11">
        <v>42395</v>
      </c>
      <c r="AE29" s="12"/>
      <c r="AF29" s="19"/>
      <c r="AG29" s="20">
        <v>42395</v>
      </c>
      <c r="AH29" s="13"/>
      <c r="AI29" s="14"/>
      <c r="AJ29" s="22">
        <v>42395</v>
      </c>
      <c r="AK29" s="15"/>
      <c r="AL29" s="23"/>
      <c r="AM29" s="24"/>
      <c r="AN29" s="18"/>
    </row>
    <row r="30" spans="1:42" ht="16.5" customHeight="1" x14ac:dyDescent="0.25">
      <c r="B30" s="11">
        <v>42396</v>
      </c>
      <c r="C30" s="12">
        <v>0</v>
      </c>
      <c r="D30" s="19"/>
      <c r="E30" s="20">
        <v>42396</v>
      </c>
      <c r="F30" s="13">
        <v>41685</v>
      </c>
      <c r="G30" s="14"/>
      <c r="H30" s="22">
        <v>42396</v>
      </c>
      <c r="I30" s="15">
        <v>0</v>
      </c>
      <c r="J30" s="23"/>
      <c r="K30" s="24"/>
      <c r="L30" s="18">
        <f>14767+26918</f>
        <v>41685</v>
      </c>
      <c r="P30" s="11">
        <v>42396</v>
      </c>
      <c r="Q30" s="12">
        <v>0</v>
      </c>
      <c r="R30" s="19"/>
      <c r="S30" s="20">
        <v>42396</v>
      </c>
      <c r="T30" s="13"/>
      <c r="U30" s="14"/>
      <c r="V30" s="22">
        <v>42396</v>
      </c>
      <c r="W30" s="15">
        <v>0</v>
      </c>
      <c r="X30" s="23"/>
      <c r="Y30" s="24"/>
      <c r="Z30" s="18">
        <v>0</v>
      </c>
      <c r="AA30" s="41"/>
      <c r="AD30" s="11">
        <v>42396</v>
      </c>
      <c r="AE30" s="12"/>
      <c r="AF30" s="19"/>
      <c r="AG30" s="20">
        <v>42396</v>
      </c>
      <c r="AH30" s="13"/>
      <c r="AI30" s="14"/>
      <c r="AJ30" s="22">
        <v>42396</v>
      </c>
      <c r="AK30" s="15"/>
      <c r="AL30" s="23"/>
      <c r="AM30" s="24"/>
      <c r="AN30" s="18"/>
    </row>
    <row r="31" spans="1:42" x14ac:dyDescent="0.25">
      <c r="B31" s="11">
        <v>42397</v>
      </c>
      <c r="C31" s="12">
        <v>0</v>
      </c>
      <c r="D31" s="19"/>
      <c r="E31" s="20">
        <v>42397</v>
      </c>
      <c r="F31" s="13">
        <v>76885.5</v>
      </c>
      <c r="G31" s="14"/>
      <c r="H31" s="22">
        <v>42397</v>
      </c>
      <c r="I31" s="15">
        <v>0</v>
      </c>
      <c r="J31" s="23"/>
      <c r="K31" s="24"/>
      <c r="L31" s="18">
        <f>30000+46885.5</f>
        <v>76885.5</v>
      </c>
      <c r="P31" s="11">
        <v>42397</v>
      </c>
      <c r="Q31" s="12">
        <v>0</v>
      </c>
      <c r="R31" s="19"/>
      <c r="S31" s="20">
        <v>42397</v>
      </c>
      <c r="T31" s="13"/>
      <c r="U31" s="14"/>
      <c r="V31" s="22">
        <v>42397</v>
      </c>
      <c r="W31" s="15">
        <v>0</v>
      </c>
      <c r="X31" s="23"/>
      <c r="Y31" s="24"/>
      <c r="Z31" s="18">
        <v>0</v>
      </c>
      <c r="AA31" s="41"/>
      <c r="AD31" s="11">
        <v>42397</v>
      </c>
      <c r="AE31" s="12"/>
      <c r="AF31" s="19"/>
      <c r="AG31" s="20">
        <v>42397</v>
      </c>
      <c r="AH31" s="13"/>
      <c r="AI31" s="14"/>
      <c r="AJ31" s="22">
        <v>42397</v>
      </c>
      <c r="AK31" s="15"/>
      <c r="AL31" s="23"/>
      <c r="AM31" s="24"/>
      <c r="AN31" s="18"/>
    </row>
    <row r="32" spans="1:42" x14ac:dyDescent="0.25">
      <c r="B32" s="11">
        <v>42398</v>
      </c>
      <c r="C32" s="12">
        <v>0</v>
      </c>
      <c r="D32" s="42"/>
      <c r="E32" s="20">
        <v>42398</v>
      </c>
      <c r="F32" s="13">
        <v>79497</v>
      </c>
      <c r="G32" s="14"/>
      <c r="H32" s="22">
        <v>42398</v>
      </c>
      <c r="I32" s="15">
        <v>0</v>
      </c>
      <c r="J32" s="23"/>
      <c r="K32" s="24"/>
      <c r="L32" s="18">
        <f>20000+59497</f>
        <v>79497</v>
      </c>
      <c r="P32" s="11">
        <v>42398</v>
      </c>
      <c r="Q32" s="12">
        <v>0</v>
      </c>
      <c r="R32" s="42"/>
      <c r="S32" s="20">
        <v>42398</v>
      </c>
      <c r="T32" s="13"/>
      <c r="U32" s="14"/>
      <c r="V32" s="22">
        <v>42398</v>
      </c>
      <c r="W32" s="15">
        <v>0</v>
      </c>
      <c r="X32" s="23"/>
      <c r="Y32" s="24"/>
      <c r="Z32" s="18">
        <v>0</v>
      </c>
      <c r="AA32" s="41"/>
      <c r="AD32" s="11">
        <v>42398</v>
      </c>
      <c r="AE32" s="12"/>
      <c r="AF32" s="42"/>
      <c r="AG32" s="20">
        <v>42398</v>
      </c>
      <c r="AH32" s="13"/>
      <c r="AI32" s="14"/>
      <c r="AJ32" s="22">
        <v>42398</v>
      </c>
      <c r="AK32" s="15"/>
      <c r="AL32" s="23"/>
      <c r="AM32" s="24"/>
      <c r="AN32" s="18"/>
    </row>
    <row r="33" spans="1:41" x14ac:dyDescent="0.25">
      <c r="B33" s="11">
        <v>42399</v>
      </c>
      <c r="C33" s="12">
        <v>0</v>
      </c>
      <c r="D33" s="19"/>
      <c r="E33" s="20">
        <v>42399</v>
      </c>
      <c r="F33" s="13">
        <v>94143.5</v>
      </c>
      <c r="G33" s="14"/>
      <c r="H33" s="22">
        <v>42399</v>
      </c>
      <c r="I33" s="15">
        <v>0</v>
      </c>
      <c r="J33" s="23"/>
      <c r="K33" s="24"/>
      <c r="L33" s="18">
        <f>33000+61143.5</f>
        <v>94143.5</v>
      </c>
      <c r="P33" s="11">
        <v>42399</v>
      </c>
      <c r="Q33" s="12">
        <v>0</v>
      </c>
      <c r="R33" s="19"/>
      <c r="S33" s="20">
        <v>42399</v>
      </c>
      <c r="T33" s="13"/>
      <c r="U33" s="14"/>
      <c r="V33" s="22">
        <v>42399</v>
      </c>
      <c r="W33" s="15">
        <v>0</v>
      </c>
      <c r="X33" s="23"/>
      <c r="Y33" s="24"/>
      <c r="Z33" s="18">
        <v>0</v>
      </c>
      <c r="AA33" s="41"/>
      <c r="AD33" s="11">
        <v>42399</v>
      </c>
      <c r="AE33" s="12"/>
      <c r="AF33" s="19"/>
      <c r="AG33" s="20">
        <v>42399</v>
      </c>
      <c r="AH33" s="13"/>
      <c r="AI33" s="14"/>
      <c r="AJ33" s="22">
        <v>42399</v>
      </c>
      <c r="AK33" s="15"/>
      <c r="AL33" s="23"/>
      <c r="AM33" s="24"/>
      <c r="AN33" s="18"/>
      <c r="AO33"/>
    </row>
    <row r="34" spans="1:41" ht="15.75" thickBot="1" x14ac:dyDescent="0.3">
      <c r="A34" s="28"/>
      <c r="B34" s="11">
        <v>42400</v>
      </c>
      <c r="C34" s="12">
        <v>0</v>
      </c>
      <c r="D34" s="19"/>
      <c r="E34" s="20">
        <v>42400</v>
      </c>
      <c r="F34" s="13">
        <v>54224.5</v>
      </c>
      <c r="G34" s="14"/>
      <c r="H34" s="22">
        <v>42400</v>
      </c>
      <c r="I34" s="15">
        <v>100</v>
      </c>
      <c r="J34" s="23"/>
      <c r="K34" s="24"/>
      <c r="L34" s="18">
        <f>22000+32124.5</f>
        <v>54124.5</v>
      </c>
      <c r="O34" s="28"/>
      <c r="P34" s="11">
        <v>42400</v>
      </c>
      <c r="Q34" s="12">
        <v>0</v>
      </c>
      <c r="R34" s="19"/>
      <c r="S34" s="20">
        <v>42400</v>
      </c>
      <c r="T34" s="13"/>
      <c r="U34" s="14"/>
      <c r="V34" s="22">
        <v>42400</v>
      </c>
      <c r="W34" s="15">
        <v>0</v>
      </c>
      <c r="X34" s="23"/>
      <c r="Y34" s="24"/>
      <c r="Z34" s="18">
        <v>0</v>
      </c>
      <c r="AA34" s="41"/>
      <c r="AC34" s="28"/>
      <c r="AD34" s="11">
        <v>42400</v>
      </c>
      <c r="AE34" s="12"/>
      <c r="AF34" s="19"/>
      <c r="AG34" s="20">
        <v>42400</v>
      </c>
      <c r="AH34" s="13"/>
      <c r="AI34" s="14"/>
      <c r="AJ34" s="22">
        <v>42400</v>
      </c>
      <c r="AK34" s="15"/>
      <c r="AL34" s="23"/>
      <c r="AM34" s="24"/>
      <c r="AN34" s="18"/>
      <c r="AO34"/>
    </row>
    <row r="35" spans="1:41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38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/>
    </row>
    <row r="36" spans="1:41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41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/>
    </row>
    <row r="37" spans="1:41" x14ac:dyDescent="0.25">
      <c r="B37" s="60" t="s">
        <v>11</v>
      </c>
      <c r="C37" s="61">
        <f>SUM(C4:C36)</f>
        <v>42913</v>
      </c>
      <c r="D37" s="46"/>
      <c r="E37" s="62" t="s">
        <v>11</v>
      </c>
      <c r="F37" s="63">
        <f>SUM(F4:F36)</f>
        <v>2902630</v>
      </c>
      <c r="H37" s="1" t="s">
        <v>11</v>
      </c>
      <c r="I37" s="64">
        <f>SUM(I4:I36)</f>
        <v>1318</v>
      </c>
      <c r="J37" s="64"/>
      <c r="K37" s="64">
        <f t="shared" ref="K37" si="0">SUM(K4:K36)</f>
        <v>81690.39</v>
      </c>
      <c r="L37" s="2">
        <f>SUM(L4:L36)</f>
        <v>2878651</v>
      </c>
      <c r="P37" s="60" t="s">
        <v>11</v>
      </c>
      <c r="Q37" s="61">
        <f>SUM(Q4:Q36)</f>
        <v>42913</v>
      </c>
      <c r="R37" s="46"/>
      <c r="S37" s="62" t="s">
        <v>11</v>
      </c>
      <c r="T37" s="63">
        <f>SUM(T4:T36)</f>
        <v>2507049.5</v>
      </c>
      <c r="V37" s="1" t="s">
        <v>11</v>
      </c>
      <c r="W37" s="64">
        <f>SUM(W4:W36)</f>
        <v>1218</v>
      </c>
      <c r="X37" s="64"/>
      <c r="Y37" s="64">
        <f t="shared" ref="Y37" si="1">SUM(Y4:Y36)</f>
        <v>60894.559999999998</v>
      </c>
      <c r="Z37" s="2">
        <f>SUM(Z4:Z36)</f>
        <v>2483170.5</v>
      </c>
      <c r="AA37" s="41"/>
      <c r="AD37" s="60" t="s">
        <v>11</v>
      </c>
      <c r="AE37" s="61">
        <f>SUM(AE4:AE36)</f>
        <v>19679</v>
      </c>
      <c r="AF37" s="46"/>
      <c r="AG37" s="62" t="s">
        <v>11</v>
      </c>
      <c r="AH37" s="63">
        <f>SUM(AH4:AH36)</f>
        <v>1011940</v>
      </c>
      <c r="AJ37" s="1" t="s">
        <v>11</v>
      </c>
      <c r="AK37" s="64">
        <f>SUM(AK4:AK36)</f>
        <v>848</v>
      </c>
      <c r="AL37" s="64"/>
      <c r="AM37" s="64">
        <f t="shared" ref="AM37" si="2">SUM(AM4:AM36)</f>
        <v>27327.99</v>
      </c>
      <c r="AN37" s="2">
        <f>SUM(AN4:AN36)</f>
        <v>990612.5</v>
      </c>
      <c r="AO37"/>
    </row>
    <row r="38" spans="1:41" x14ac:dyDescent="0.25">
      <c r="A38" s="267"/>
      <c r="B38" s="267"/>
      <c r="C38" s="50"/>
      <c r="I38" s="64"/>
      <c r="K38" s="64"/>
      <c r="O38" s="267"/>
      <c r="P38" s="267"/>
      <c r="Q38" s="50"/>
      <c r="W38" s="64"/>
      <c r="Y38" s="64"/>
      <c r="AA38" s="41"/>
      <c r="AC38" s="267"/>
      <c r="AD38" s="267"/>
      <c r="AE38" s="50"/>
      <c r="AK38" s="64"/>
      <c r="AM38" s="64"/>
      <c r="AO38"/>
    </row>
    <row r="39" spans="1:41" ht="15.75" customHeight="1" x14ac:dyDescent="0.25">
      <c r="A39" s="65"/>
      <c r="B39" s="66"/>
      <c r="C39" s="50"/>
      <c r="D39" s="67"/>
      <c r="E39" s="66"/>
      <c r="F39" s="66"/>
      <c r="H39" s="251" t="s">
        <v>12</v>
      </c>
      <c r="I39" s="252"/>
      <c r="J39" s="253">
        <f>I37+K37</f>
        <v>83008.39</v>
      </c>
      <c r="K39" s="254"/>
      <c r="L39" s="68"/>
      <c r="O39" s="65"/>
      <c r="P39" s="66"/>
      <c r="Q39" s="50"/>
      <c r="R39" s="67"/>
      <c r="S39" s="66"/>
      <c r="T39" s="66"/>
      <c r="V39" s="251" t="s">
        <v>12</v>
      </c>
      <c r="W39" s="252"/>
      <c r="X39" s="253">
        <f>W37+Y37</f>
        <v>62112.56</v>
      </c>
      <c r="Y39" s="254"/>
      <c r="Z39" s="68"/>
      <c r="AA39" s="41"/>
      <c r="AC39" s="65"/>
      <c r="AD39" s="66"/>
      <c r="AE39" s="50"/>
      <c r="AF39" s="67"/>
      <c r="AG39" s="66"/>
      <c r="AH39" s="66"/>
      <c r="AJ39" s="251" t="s">
        <v>12</v>
      </c>
      <c r="AK39" s="252"/>
      <c r="AL39" s="253">
        <f>AK37+AM37</f>
        <v>28175.99</v>
      </c>
      <c r="AM39" s="254"/>
      <c r="AN39" s="68"/>
      <c r="AO39"/>
    </row>
    <row r="40" spans="1:41" ht="15.75" customHeight="1" x14ac:dyDescent="0.25">
      <c r="A40" s="255"/>
      <c r="B40" s="255"/>
      <c r="C40" s="50"/>
      <c r="D40" s="256" t="s">
        <v>13</v>
      </c>
      <c r="E40" s="256"/>
      <c r="F40" s="69">
        <f>F37-J39-C37</f>
        <v>2776708.61</v>
      </c>
      <c r="I40" s="70"/>
      <c r="O40" s="255"/>
      <c r="P40" s="255"/>
      <c r="Q40" s="50"/>
      <c r="R40" s="256" t="s">
        <v>13</v>
      </c>
      <c r="S40" s="256"/>
      <c r="T40" s="69">
        <f>T37-X39-Q37</f>
        <v>2402023.94</v>
      </c>
      <c r="W40" s="70"/>
      <c r="AA40" s="41"/>
      <c r="AC40" s="255"/>
      <c r="AD40" s="255"/>
      <c r="AE40" s="50"/>
      <c r="AF40" s="256" t="s">
        <v>13</v>
      </c>
      <c r="AG40" s="256"/>
      <c r="AH40" s="69">
        <f>AH37-AL39-AE37</f>
        <v>964085.01</v>
      </c>
      <c r="AK40" s="70"/>
      <c r="AO40"/>
    </row>
    <row r="41" spans="1:41" x14ac:dyDescent="0.25">
      <c r="A41" s="67"/>
      <c r="B41" s="66"/>
      <c r="C41" s="50"/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A41" s="41"/>
      <c r="AC41" s="67"/>
      <c r="AD41" s="66"/>
      <c r="AE41" s="50"/>
      <c r="AF41" s="67"/>
      <c r="AG41" s="66"/>
      <c r="AH41" s="69">
        <v>0</v>
      </c>
      <c r="AO41"/>
    </row>
    <row r="42" spans="1:41" ht="15.75" thickBot="1" x14ac:dyDescent="0.3">
      <c r="E42" s="71" t="s">
        <v>14</v>
      </c>
      <c r="F42" s="50">
        <v>-2210481.15</v>
      </c>
      <c r="I42" s="72" t="s">
        <v>15</v>
      </c>
      <c r="J42" s="73"/>
      <c r="K42" s="74">
        <v>370048.27</v>
      </c>
      <c r="S42" s="71" t="s">
        <v>14</v>
      </c>
      <c r="T42" s="50">
        <v>-1792412.5</v>
      </c>
      <c r="W42" s="72" t="s">
        <v>15</v>
      </c>
      <c r="X42" s="73"/>
      <c r="Y42" s="74">
        <v>309878.90999999997</v>
      </c>
      <c r="AA42" s="184"/>
      <c r="AG42" s="71" t="s">
        <v>14</v>
      </c>
      <c r="AH42" s="50">
        <v>-595358.94999999995</v>
      </c>
      <c r="AK42" s="72" t="s">
        <v>15</v>
      </c>
      <c r="AL42" s="73"/>
      <c r="AM42" s="74">
        <v>186814.36</v>
      </c>
      <c r="AO42"/>
    </row>
    <row r="43" spans="1:41" ht="15.75" thickTop="1" x14ac:dyDescent="0.25">
      <c r="E43" s="1" t="s">
        <v>16</v>
      </c>
      <c r="F43" s="64">
        <f>SUM(F40:F42)</f>
        <v>566227.46</v>
      </c>
      <c r="K43" s="64">
        <f>F45+K42</f>
        <v>977214.23</v>
      </c>
      <c r="S43" s="1" t="s">
        <v>16</v>
      </c>
      <c r="T43" s="64">
        <f>SUM(T40:T42)</f>
        <v>609611.43999999994</v>
      </c>
      <c r="Y43" s="64">
        <f>T45+Y42</f>
        <v>977132.84999999986</v>
      </c>
      <c r="AG43" s="1" t="s">
        <v>16</v>
      </c>
      <c r="AH43" s="64">
        <f>SUM(AH40:AH42)</f>
        <v>368726.06000000006</v>
      </c>
      <c r="AM43" s="64">
        <f>AH45+AM42</f>
        <v>632502.42000000004</v>
      </c>
      <c r="AO43"/>
    </row>
    <row r="44" spans="1:41" ht="15.75" thickBot="1" x14ac:dyDescent="0.3">
      <c r="D44" s="62" t="s">
        <v>17</v>
      </c>
      <c r="E44" s="62"/>
      <c r="F44" s="75">
        <v>40938.5</v>
      </c>
      <c r="I44" s="1" t="s">
        <v>1</v>
      </c>
      <c r="J44" s="76"/>
      <c r="K44" s="77">
        <f>-C3</f>
        <v>-580958.05000000005</v>
      </c>
      <c r="R44" s="62" t="s">
        <v>17</v>
      </c>
      <c r="S44" s="62"/>
      <c r="T44" s="75">
        <v>57642.5</v>
      </c>
      <c r="W44" s="1" t="s">
        <v>1</v>
      </c>
      <c r="X44" s="76"/>
      <c r="Y44" s="77">
        <f>-Q3</f>
        <v>-580958.05000000005</v>
      </c>
      <c r="AF44" s="62" t="s">
        <v>17</v>
      </c>
      <c r="AG44" s="62"/>
      <c r="AH44" s="75">
        <v>76962</v>
      </c>
      <c r="AK44" s="1" t="s">
        <v>1</v>
      </c>
      <c r="AL44" s="76"/>
      <c r="AM44" s="77">
        <f>-AE3</f>
        <v>-580958.05000000005</v>
      </c>
      <c r="AO44"/>
    </row>
    <row r="45" spans="1:41" ht="20.25" thickTop="1" thickBot="1" x14ac:dyDescent="0.35">
      <c r="E45" s="60" t="s">
        <v>18</v>
      </c>
      <c r="F45" s="78">
        <f>F44+F43</f>
        <v>607165.96</v>
      </c>
      <c r="I45" s="257" t="s">
        <v>19</v>
      </c>
      <c r="J45" s="258"/>
      <c r="K45" s="79">
        <f>K43+K44</f>
        <v>396256.17999999993</v>
      </c>
      <c r="S45" s="60" t="s">
        <v>18</v>
      </c>
      <c r="T45" s="78">
        <f>T44+T43</f>
        <v>667253.93999999994</v>
      </c>
      <c r="W45" s="257" t="s">
        <v>19</v>
      </c>
      <c r="X45" s="258"/>
      <c r="Y45" s="79">
        <f>Y43+Y44</f>
        <v>396174.79999999981</v>
      </c>
      <c r="AG45" s="60" t="s">
        <v>18</v>
      </c>
      <c r="AH45" s="78">
        <f>AH44+AH43</f>
        <v>445688.06000000006</v>
      </c>
      <c r="AK45" s="257" t="s">
        <v>19</v>
      </c>
      <c r="AL45" s="258"/>
      <c r="AM45" s="79">
        <f>AM43+AM44</f>
        <v>51544.369999999995</v>
      </c>
      <c r="AO45"/>
    </row>
    <row r="46" spans="1:41" ht="15.75" thickTop="1" x14ac:dyDescent="0.25">
      <c r="AO46"/>
    </row>
    <row r="49" spans="2:41" x14ac:dyDescent="0.25">
      <c r="B49"/>
      <c r="C49"/>
      <c r="E49"/>
      <c r="F49"/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D49"/>
      <c r="AE49"/>
      <c r="AG49"/>
      <c r="AH49"/>
      <c r="AJ49"/>
      <c r="AK49"/>
      <c r="AL49"/>
      <c r="AM49"/>
      <c r="AN49"/>
      <c r="AO49"/>
    </row>
    <row r="50" spans="2:41" x14ac:dyDescent="0.25">
      <c r="B50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D50"/>
      <c r="AE50"/>
      <c r="AG50"/>
      <c r="AH50"/>
      <c r="AJ50"/>
      <c r="AK50"/>
      <c r="AL50"/>
      <c r="AM50"/>
      <c r="AN50"/>
      <c r="AO50"/>
    </row>
    <row r="51" spans="2:41" x14ac:dyDescent="0.25">
      <c r="B51"/>
      <c r="C51"/>
      <c r="E51"/>
      <c r="F51"/>
      <c r="H51" s="250"/>
      <c r="I51" s="250"/>
      <c r="J51" s="80"/>
      <c r="K51" s="81"/>
      <c r="L51"/>
      <c r="P51"/>
      <c r="Q51"/>
      <c r="S51"/>
      <c r="T51"/>
      <c r="V51" s="250"/>
      <c r="W51" s="250"/>
      <c r="X51" s="80"/>
      <c r="Y51" s="81"/>
      <c r="Z51"/>
      <c r="AD51"/>
      <c r="AE51"/>
      <c r="AG51"/>
      <c r="AH51"/>
      <c r="AJ51" s="250"/>
      <c r="AK51" s="250"/>
      <c r="AL51" s="80"/>
      <c r="AM51" s="81"/>
      <c r="AN51"/>
      <c r="AO51"/>
    </row>
    <row r="52" spans="2:41" x14ac:dyDescent="0.25">
      <c r="B52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D52"/>
      <c r="AE52"/>
      <c r="AG52"/>
      <c r="AH52"/>
      <c r="AJ52"/>
      <c r="AK52"/>
      <c r="AL52"/>
      <c r="AM52"/>
      <c r="AN52"/>
      <c r="AO52"/>
    </row>
    <row r="53" spans="2:41" x14ac:dyDescent="0.25">
      <c r="B5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D53"/>
      <c r="AE53"/>
      <c r="AG53"/>
      <c r="AH53"/>
      <c r="AJ53"/>
      <c r="AK53"/>
      <c r="AL53"/>
      <c r="AM53"/>
      <c r="AN53"/>
      <c r="AO53"/>
    </row>
    <row r="54" spans="2:41" x14ac:dyDescent="0.25">
      <c r="B54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D54"/>
      <c r="AE54"/>
      <c r="AG54"/>
      <c r="AH54"/>
      <c r="AJ54"/>
      <c r="AK54"/>
      <c r="AL54"/>
      <c r="AM54"/>
      <c r="AN54"/>
      <c r="AO54"/>
    </row>
    <row r="55" spans="2:41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D55"/>
      <c r="AE55"/>
      <c r="AG55"/>
      <c r="AH55"/>
      <c r="AJ55"/>
      <c r="AK55"/>
      <c r="AL55"/>
      <c r="AM55"/>
      <c r="AN55"/>
      <c r="AO55"/>
    </row>
    <row r="56" spans="2:41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D56"/>
      <c r="AE56"/>
      <c r="AG56"/>
      <c r="AH56"/>
      <c r="AJ56"/>
      <c r="AK56"/>
      <c r="AL56"/>
      <c r="AM56"/>
      <c r="AN56"/>
      <c r="AO56"/>
    </row>
    <row r="57" spans="2:41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D57"/>
      <c r="AE57"/>
      <c r="AG57"/>
      <c r="AH57"/>
      <c r="AJ57"/>
      <c r="AK57"/>
      <c r="AL57"/>
      <c r="AM57"/>
      <c r="AN57"/>
      <c r="AO57"/>
    </row>
    <row r="58" spans="2:41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D58"/>
      <c r="AE58"/>
      <c r="AG58"/>
      <c r="AH58"/>
      <c r="AJ58"/>
      <c r="AK58"/>
      <c r="AL58"/>
      <c r="AM58"/>
      <c r="AN58"/>
      <c r="AO58"/>
    </row>
    <row r="59" spans="2:41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D59"/>
      <c r="AE59"/>
      <c r="AG59"/>
      <c r="AH59"/>
      <c r="AJ59"/>
      <c r="AK59"/>
      <c r="AL59"/>
      <c r="AM59"/>
      <c r="AN59"/>
      <c r="AO59"/>
    </row>
    <row r="60" spans="2:41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D60"/>
      <c r="AE60"/>
      <c r="AG60"/>
      <c r="AH60"/>
      <c r="AJ60"/>
      <c r="AK60"/>
      <c r="AL60"/>
      <c r="AM60"/>
      <c r="AN60"/>
      <c r="AO60"/>
    </row>
    <row r="61" spans="2:41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D61"/>
      <c r="AE61"/>
      <c r="AG61"/>
      <c r="AH61"/>
      <c r="AJ61"/>
      <c r="AK61"/>
      <c r="AL61"/>
      <c r="AM61"/>
      <c r="AN61"/>
      <c r="AO61"/>
    </row>
    <row r="62" spans="2:41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D62"/>
      <c r="AE62"/>
      <c r="AG62"/>
      <c r="AH62"/>
      <c r="AJ62"/>
      <c r="AK62"/>
      <c r="AL62"/>
      <c r="AM62"/>
      <c r="AN62"/>
      <c r="AO62"/>
    </row>
    <row r="63" spans="2:41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D63"/>
      <c r="AE63"/>
      <c r="AG63"/>
      <c r="AH63"/>
      <c r="AJ63"/>
      <c r="AK63"/>
      <c r="AL63"/>
      <c r="AM63"/>
      <c r="AN63"/>
      <c r="AO63"/>
    </row>
    <row r="64" spans="2:41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D64"/>
      <c r="AE64"/>
      <c r="AG64"/>
      <c r="AH64"/>
      <c r="AJ64"/>
      <c r="AK64"/>
      <c r="AL64"/>
      <c r="AM64"/>
      <c r="AN64"/>
      <c r="AO64"/>
    </row>
    <row r="65" spans="2:41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D65"/>
      <c r="AE65"/>
      <c r="AG65"/>
      <c r="AH65"/>
      <c r="AJ65"/>
      <c r="AK65"/>
      <c r="AL65"/>
      <c r="AM65"/>
      <c r="AN65"/>
      <c r="AO65"/>
    </row>
    <row r="66" spans="2:41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D66"/>
      <c r="AE66"/>
      <c r="AG66"/>
      <c r="AH66"/>
      <c r="AJ66"/>
      <c r="AK66"/>
      <c r="AL66"/>
      <c r="AM66"/>
      <c r="AN66"/>
      <c r="AO66"/>
    </row>
    <row r="67" spans="2:41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D67"/>
      <c r="AE67"/>
      <c r="AG67"/>
      <c r="AH67"/>
      <c r="AJ67"/>
      <c r="AK67"/>
      <c r="AL67"/>
      <c r="AM67"/>
      <c r="AN67"/>
      <c r="AO67"/>
    </row>
    <row r="68" spans="2:41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D68"/>
      <c r="AE68"/>
      <c r="AG68"/>
      <c r="AH68"/>
      <c r="AJ68"/>
      <c r="AK68"/>
      <c r="AL68"/>
      <c r="AM68"/>
      <c r="AN68"/>
      <c r="AO68"/>
    </row>
    <row r="69" spans="2:41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D69"/>
      <c r="AE69"/>
      <c r="AG69"/>
      <c r="AH69"/>
      <c r="AJ69"/>
      <c r="AK69"/>
      <c r="AL69"/>
      <c r="AM69"/>
      <c r="AN69"/>
      <c r="AO69"/>
    </row>
    <row r="70" spans="2:41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D70"/>
      <c r="AE70"/>
      <c r="AG70"/>
      <c r="AH70"/>
      <c r="AJ70"/>
      <c r="AK70"/>
      <c r="AL70"/>
      <c r="AM70"/>
      <c r="AN70"/>
      <c r="AO70"/>
    </row>
    <row r="71" spans="2:41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D71"/>
      <c r="AE71"/>
      <c r="AG71"/>
      <c r="AH71"/>
      <c r="AJ71"/>
      <c r="AK71"/>
      <c r="AL71"/>
      <c r="AM71"/>
      <c r="AN71"/>
      <c r="AO71"/>
    </row>
    <row r="72" spans="2:41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D72"/>
      <c r="AE72"/>
      <c r="AG72"/>
      <c r="AH72"/>
      <c r="AJ72"/>
      <c r="AK72"/>
      <c r="AL72"/>
      <c r="AM72"/>
      <c r="AN72"/>
      <c r="AO72"/>
    </row>
    <row r="73" spans="2:41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D73"/>
      <c r="AE73"/>
      <c r="AG73"/>
      <c r="AH73"/>
      <c r="AJ73"/>
      <c r="AK73"/>
      <c r="AL73"/>
      <c r="AM73"/>
      <c r="AN73"/>
      <c r="AO73"/>
    </row>
    <row r="74" spans="2:41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D74"/>
      <c r="AE74"/>
      <c r="AG74"/>
      <c r="AH74"/>
      <c r="AJ74"/>
      <c r="AK74"/>
      <c r="AL74"/>
      <c r="AM74"/>
      <c r="AN74"/>
      <c r="AO74"/>
    </row>
    <row r="75" spans="2:41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D75"/>
      <c r="AE75"/>
      <c r="AG75"/>
      <c r="AH75"/>
      <c r="AJ75"/>
      <c r="AK75"/>
      <c r="AL75"/>
      <c r="AM75"/>
      <c r="AN75"/>
      <c r="AO75"/>
    </row>
    <row r="76" spans="2:41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D76"/>
      <c r="AE76"/>
      <c r="AG76"/>
      <c r="AH76"/>
      <c r="AJ76"/>
      <c r="AK76"/>
      <c r="AL76"/>
      <c r="AM76"/>
      <c r="AN76"/>
      <c r="AO76"/>
    </row>
    <row r="77" spans="2:41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D77"/>
      <c r="AE77"/>
      <c r="AG77"/>
      <c r="AH77"/>
      <c r="AJ77"/>
      <c r="AK77"/>
      <c r="AL77"/>
      <c r="AM77"/>
      <c r="AN77"/>
      <c r="AO77"/>
    </row>
    <row r="78" spans="2:41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D78"/>
      <c r="AE78"/>
      <c r="AG78"/>
      <c r="AH78"/>
      <c r="AJ78"/>
      <c r="AK78"/>
      <c r="AL78"/>
      <c r="AM78"/>
      <c r="AN78"/>
      <c r="AO78"/>
    </row>
    <row r="79" spans="2:41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D79"/>
      <c r="AE79"/>
      <c r="AG79"/>
      <c r="AH79"/>
      <c r="AJ79"/>
      <c r="AK79"/>
      <c r="AL79"/>
      <c r="AM79"/>
      <c r="AN79"/>
      <c r="AO79"/>
    </row>
    <row r="80" spans="2:41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D80"/>
      <c r="AE80"/>
      <c r="AG80"/>
      <c r="AH80"/>
      <c r="AJ80"/>
      <c r="AK80"/>
      <c r="AL80"/>
      <c r="AM80"/>
      <c r="AN80"/>
      <c r="AO80"/>
    </row>
    <row r="81" spans="2:41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D81"/>
      <c r="AE81"/>
      <c r="AG81"/>
      <c r="AH81"/>
      <c r="AJ81"/>
      <c r="AK81"/>
      <c r="AL81"/>
      <c r="AM81"/>
      <c r="AN81"/>
      <c r="AO81"/>
    </row>
    <row r="82" spans="2:41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D82"/>
      <c r="AE82"/>
      <c r="AG82"/>
      <c r="AH82"/>
      <c r="AJ82"/>
      <c r="AK82"/>
      <c r="AL82"/>
      <c r="AM82"/>
      <c r="AN82"/>
      <c r="AO82"/>
    </row>
    <row r="83" spans="2:41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D83"/>
      <c r="AE83"/>
      <c r="AG83"/>
      <c r="AH83"/>
      <c r="AJ83"/>
      <c r="AK83"/>
      <c r="AL83"/>
      <c r="AM83"/>
      <c r="AN83"/>
      <c r="AO83"/>
    </row>
    <row r="84" spans="2:41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D84"/>
      <c r="AE84"/>
      <c r="AG84"/>
      <c r="AH84"/>
      <c r="AJ84"/>
      <c r="AK84"/>
      <c r="AL84"/>
      <c r="AM84"/>
      <c r="AN84"/>
      <c r="AO84"/>
    </row>
    <row r="85" spans="2:41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D85"/>
      <c r="AE85"/>
      <c r="AG85"/>
      <c r="AH85"/>
      <c r="AJ85"/>
      <c r="AK85"/>
      <c r="AL85"/>
      <c r="AM85"/>
      <c r="AN85"/>
      <c r="AO85"/>
    </row>
    <row r="86" spans="2:41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D86"/>
      <c r="AE86"/>
      <c r="AG86"/>
      <c r="AH86"/>
      <c r="AJ86"/>
      <c r="AK86"/>
      <c r="AL86"/>
      <c r="AM86"/>
      <c r="AN86"/>
      <c r="AO86"/>
    </row>
    <row r="87" spans="2:41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D87"/>
      <c r="AE87"/>
      <c r="AG87"/>
      <c r="AH87"/>
      <c r="AJ87"/>
      <c r="AK87"/>
      <c r="AL87"/>
      <c r="AM87"/>
      <c r="AN87"/>
      <c r="AO87"/>
    </row>
    <row r="88" spans="2:41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D88"/>
      <c r="AE88"/>
      <c r="AG88"/>
      <c r="AH88"/>
      <c r="AJ88"/>
      <c r="AK88"/>
      <c r="AL88"/>
      <c r="AM88"/>
      <c r="AN88"/>
      <c r="AO88"/>
    </row>
    <row r="89" spans="2:41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D89"/>
      <c r="AE89"/>
      <c r="AG89"/>
      <c r="AH89"/>
      <c r="AJ89"/>
      <c r="AK89"/>
      <c r="AL89"/>
      <c r="AM89"/>
      <c r="AN89"/>
      <c r="AO89"/>
    </row>
    <row r="90" spans="2:41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D90"/>
      <c r="AE90"/>
      <c r="AG90"/>
      <c r="AH90"/>
      <c r="AJ90"/>
      <c r="AK90"/>
      <c r="AL90"/>
      <c r="AM90"/>
      <c r="AN90"/>
      <c r="AO90"/>
    </row>
    <row r="91" spans="2:41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D91"/>
      <c r="AE91"/>
      <c r="AG91"/>
      <c r="AH91"/>
      <c r="AJ91"/>
      <c r="AK91"/>
      <c r="AL91"/>
      <c r="AM91"/>
      <c r="AN91"/>
      <c r="AO91"/>
    </row>
    <row r="92" spans="2:41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D92"/>
      <c r="AE92"/>
      <c r="AG92"/>
      <c r="AH92"/>
      <c r="AJ92"/>
      <c r="AK92"/>
      <c r="AL92"/>
      <c r="AM92"/>
      <c r="AN92"/>
      <c r="AO92"/>
    </row>
    <row r="93" spans="2:41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D93"/>
      <c r="AE93"/>
      <c r="AG93"/>
      <c r="AH93"/>
      <c r="AJ93"/>
      <c r="AK93"/>
      <c r="AL93"/>
      <c r="AM93"/>
      <c r="AN93"/>
      <c r="AO93"/>
    </row>
    <row r="94" spans="2:41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D94"/>
      <c r="AE94"/>
      <c r="AG94"/>
      <c r="AH94"/>
      <c r="AJ94"/>
      <c r="AK94"/>
      <c r="AL94"/>
      <c r="AM94"/>
      <c r="AN94"/>
      <c r="AO94"/>
    </row>
    <row r="95" spans="2:41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D95"/>
      <c r="AE95"/>
      <c r="AG95"/>
      <c r="AH95"/>
      <c r="AJ95"/>
      <c r="AK95"/>
      <c r="AL95"/>
      <c r="AM95"/>
      <c r="AN95"/>
      <c r="AO95"/>
    </row>
    <row r="96" spans="2:41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D96"/>
      <c r="AE96"/>
      <c r="AG96"/>
      <c r="AH96"/>
      <c r="AJ96"/>
      <c r="AK96"/>
      <c r="AL96"/>
      <c r="AM96"/>
      <c r="AN96"/>
      <c r="AO96"/>
    </row>
    <row r="97" spans="2:41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D97"/>
      <c r="AE97"/>
      <c r="AG97"/>
      <c r="AH97"/>
      <c r="AJ97"/>
      <c r="AK97"/>
      <c r="AL97"/>
      <c r="AM97"/>
      <c r="AN97"/>
      <c r="AO97"/>
    </row>
    <row r="98" spans="2:41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D98"/>
      <c r="AE98"/>
      <c r="AG98"/>
      <c r="AH98"/>
      <c r="AJ98"/>
      <c r="AK98"/>
      <c r="AL98"/>
      <c r="AM98"/>
      <c r="AN98"/>
      <c r="AO98"/>
    </row>
    <row r="99" spans="2:41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D99"/>
      <c r="AE99"/>
      <c r="AG99"/>
      <c r="AH99"/>
      <c r="AJ99"/>
      <c r="AK99"/>
      <c r="AL99"/>
      <c r="AM99"/>
      <c r="AN99"/>
      <c r="AO99"/>
    </row>
    <row r="100" spans="2:41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D100"/>
      <c r="AE100"/>
      <c r="AG100"/>
      <c r="AH100"/>
      <c r="AJ100"/>
      <c r="AK100"/>
      <c r="AL100"/>
      <c r="AM100"/>
      <c r="AN100"/>
      <c r="AO100"/>
    </row>
    <row r="101" spans="2:41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D101"/>
      <c r="AE101"/>
      <c r="AG101"/>
      <c r="AH101"/>
      <c r="AJ101"/>
      <c r="AK101"/>
      <c r="AL101"/>
      <c r="AM101"/>
      <c r="AN101"/>
      <c r="AO101"/>
    </row>
    <row r="102" spans="2:41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D102"/>
      <c r="AE102"/>
      <c r="AG102"/>
      <c r="AH102"/>
      <c r="AJ102"/>
      <c r="AK102"/>
      <c r="AL102"/>
      <c r="AM102"/>
      <c r="AN102"/>
      <c r="AO102"/>
    </row>
    <row r="103" spans="2:41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D103"/>
      <c r="AE103"/>
      <c r="AG103"/>
      <c r="AH103"/>
      <c r="AJ103"/>
      <c r="AK103"/>
      <c r="AL103"/>
      <c r="AM103"/>
      <c r="AN103"/>
      <c r="AO103"/>
    </row>
    <row r="104" spans="2:41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D104"/>
      <c r="AE104"/>
      <c r="AG104"/>
      <c r="AH104"/>
      <c r="AJ104"/>
      <c r="AK104"/>
      <c r="AL104"/>
      <c r="AM104"/>
      <c r="AN104"/>
      <c r="AO104"/>
    </row>
    <row r="105" spans="2:41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D105"/>
      <c r="AE105"/>
      <c r="AG105"/>
      <c r="AH105"/>
      <c r="AJ105"/>
      <c r="AK105"/>
      <c r="AL105"/>
      <c r="AM105"/>
      <c r="AN105"/>
      <c r="AO105"/>
    </row>
    <row r="106" spans="2:41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D106"/>
      <c r="AE106"/>
      <c r="AG106"/>
      <c r="AH106"/>
      <c r="AJ106"/>
      <c r="AK106"/>
      <c r="AL106"/>
      <c r="AM106"/>
      <c r="AN106"/>
      <c r="AO106"/>
    </row>
    <row r="107" spans="2:41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D107"/>
      <c r="AE107"/>
      <c r="AG107"/>
      <c r="AH107"/>
      <c r="AJ107"/>
      <c r="AK107"/>
      <c r="AL107"/>
      <c r="AM107"/>
      <c r="AN107"/>
      <c r="AO107"/>
    </row>
    <row r="108" spans="2:41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D108"/>
      <c r="AE108"/>
      <c r="AG108"/>
      <c r="AH108"/>
      <c r="AJ108"/>
      <c r="AK108"/>
      <c r="AL108"/>
      <c r="AM108"/>
      <c r="AN108"/>
      <c r="AO108"/>
    </row>
    <row r="109" spans="2:41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D109"/>
      <c r="AE109"/>
      <c r="AG109"/>
      <c r="AH109"/>
      <c r="AJ109"/>
      <c r="AK109"/>
      <c r="AL109"/>
      <c r="AM109"/>
      <c r="AN109"/>
      <c r="AO109"/>
    </row>
    <row r="110" spans="2:41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D110"/>
      <c r="AE110"/>
      <c r="AG110"/>
      <c r="AH110"/>
      <c r="AJ110"/>
      <c r="AK110"/>
      <c r="AL110"/>
      <c r="AM110"/>
      <c r="AN110"/>
      <c r="AO110"/>
    </row>
    <row r="111" spans="2:41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D111"/>
      <c r="AE111"/>
      <c r="AG111"/>
      <c r="AH111"/>
      <c r="AJ111"/>
      <c r="AK111"/>
      <c r="AL111"/>
      <c r="AM111"/>
      <c r="AN111"/>
      <c r="AO111"/>
    </row>
  </sheetData>
  <mergeCells count="33">
    <mergeCell ref="H51:I51"/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L20:AL21"/>
    <mergeCell ref="AC38:AD38"/>
    <mergeCell ref="AE1:AL1"/>
    <mergeCell ref="AG3:AH3"/>
    <mergeCell ref="AK3:AM3"/>
    <mergeCell ref="AK45:AL45"/>
    <mergeCell ref="AJ51:AK51"/>
    <mergeCell ref="AC40:AD40"/>
    <mergeCell ref="AF40:AG40"/>
    <mergeCell ref="AJ39:AK39"/>
    <mergeCell ref="AL39:AM39"/>
    <mergeCell ref="Q1:X1"/>
    <mergeCell ref="S3:T3"/>
    <mergeCell ref="W3:Y3"/>
    <mergeCell ref="X20:X21"/>
    <mergeCell ref="O38:P38"/>
    <mergeCell ref="V51:W51"/>
    <mergeCell ref="V39:W39"/>
    <mergeCell ref="X39:Y39"/>
    <mergeCell ref="O40:P40"/>
    <mergeCell ref="R40:S40"/>
    <mergeCell ref="W45:X4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51"/>
  <sheetViews>
    <sheetView tabSelected="1" workbookViewId="0">
      <selection activeCell="N22" sqref="N22"/>
    </sheetView>
  </sheetViews>
  <sheetFormatPr baseColWidth="10" defaultRowHeight="15" x14ac:dyDescent="0.25"/>
  <cols>
    <col min="1" max="1" width="2.7109375" customWidth="1"/>
    <col min="2" max="2" width="14.85546875" customWidth="1"/>
    <col min="3" max="3" width="3.140625" style="3" customWidth="1"/>
    <col min="4" max="4" width="21.28515625" customWidth="1"/>
    <col min="5" max="5" width="15.7109375" customWidth="1"/>
    <col min="6" max="6" width="4.7109375" customWidth="1"/>
    <col min="7" max="7" width="19.7109375" bestFit="1" customWidth="1"/>
    <col min="8" max="8" width="4.28515625" customWidth="1"/>
    <col min="9" max="9" width="4.5703125" customWidth="1"/>
    <col min="10" max="10" width="25" customWidth="1"/>
  </cols>
  <sheetData>
    <row r="2" spans="2:10" ht="23.25" x14ac:dyDescent="0.35">
      <c r="B2" s="271" t="s">
        <v>165</v>
      </c>
      <c r="I2" s="86" t="s">
        <v>166</v>
      </c>
    </row>
    <row r="6" spans="2:10" ht="19.5" thickBot="1" x14ac:dyDescent="0.35">
      <c r="B6" t="s">
        <v>176</v>
      </c>
      <c r="F6" s="272"/>
      <c r="G6" s="273"/>
    </row>
    <row r="8" spans="2:10" ht="15.75" thickBot="1" x14ac:dyDescent="0.3"/>
    <row r="9" spans="2:10" ht="19.5" thickBot="1" x14ac:dyDescent="0.35">
      <c r="B9" s="304" t="s">
        <v>167</v>
      </c>
      <c r="E9" s="320" t="s">
        <v>173</v>
      </c>
      <c r="F9" s="275"/>
    </row>
    <row r="10" spans="2:10" ht="20.25" customHeight="1" x14ac:dyDescent="0.3">
      <c r="B10" s="276" t="s">
        <v>168</v>
      </c>
      <c r="C10" s="3" t="s">
        <v>153</v>
      </c>
      <c r="D10" s="277"/>
      <c r="E10" s="319"/>
      <c r="F10" s="275"/>
      <c r="G10" s="247" t="s">
        <v>156</v>
      </c>
      <c r="H10" s="113"/>
      <c r="I10" s="115" t="s">
        <v>153</v>
      </c>
      <c r="J10" s="288"/>
    </row>
    <row r="11" spans="2:10" ht="20.25" customHeight="1" thickBot="1" x14ac:dyDescent="0.3">
      <c r="B11" s="276" t="s">
        <v>169</v>
      </c>
      <c r="C11" s="280" t="s">
        <v>153</v>
      </c>
      <c r="D11" s="277"/>
      <c r="E11" s="192"/>
      <c r="F11" s="275"/>
      <c r="G11" s="247" t="s">
        <v>157</v>
      </c>
      <c r="H11" s="113"/>
      <c r="I11" s="289" t="s">
        <v>153</v>
      </c>
      <c r="J11" s="293"/>
    </row>
    <row r="12" spans="2:10" ht="20.25" customHeight="1" thickTop="1" x14ac:dyDescent="0.25">
      <c r="B12" s="276" t="s">
        <v>169</v>
      </c>
      <c r="C12" s="3" t="s">
        <v>153</v>
      </c>
      <c r="D12" s="277"/>
      <c r="E12" s="192"/>
      <c r="F12" s="275"/>
      <c r="G12" s="247" t="s">
        <v>158</v>
      </c>
      <c r="I12" t="s">
        <v>155</v>
      </c>
      <c r="J12" s="293"/>
    </row>
    <row r="13" spans="2:10" ht="20.25" customHeight="1" x14ac:dyDescent="0.3">
      <c r="B13" s="276" t="s">
        <v>169</v>
      </c>
      <c r="C13" s="3" t="s">
        <v>153</v>
      </c>
      <c r="D13" s="277"/>
      <c r="E13" s="192"/>
      <c r="F13" s="275"/>
      <c r="G13" s="290" t="s">
        <v>159</v>
      </c>
      <c r="H13" s="290"/>
      <c r="I13" s="248" t="s">
        <v>153</v>
      </c>
      <c r="J13" s="288"/>
    </row>
    <row r="14" spans="2:10" ht="20.25" customHeight="1" thickBot="1" x14ac:dyDescent="0.35">
      <c r="B14" s="276" t="s">
        <v>169</v>
      </c>
      <c r="C14" s="3" t="s">
        <v>153</v>
      </c>
      <c r="D14" s="277"/>
      <c r="E14" s="303"/>
      <c r="F14" s="275"/>
      <c r="G14" s="86" t="s">
        <v>160</v>
      </c>
      <c r="H14" s="113"/>
      <c r="I14" s="115" t="s">
        <v>153</v>
      </c>
      <c r="J14" s="288"/>
    </row>
    <row r="15" spans="2:10" ht="20.25" customHeight="1" thickTop="1" x14ac:dyDescent="0.3">
      <c r="B15" s="295" t="s">
        <v>11</v>
      </c>
      <c r="C15" s="300" t="s">
        <v>155</v>
      </c>
      <c r="D15" s="318"/>
      <c r="F15" s="275"/>
      <c r="G15" s="247" t="s">
        <v>161</v>
      </c>
      <c r="H15" s="113"/>
      <c r="I15" s="292" t="s">
        <v>153</v>
      </c>
      <c r="J15" s="293"/>
    </row>
    <row r="16" spans="2:10" ht="20.25" customHeight="1" thickBot="1" x14ac:dyDescent="0.3">
      <c r="F16" s="275"/>
      <c r="G16" s="285"/>
      <c r="H16" s="294"/>
      <c r="I16" s="292" t="s">
        <v>153</v>
      </c>
      <c r="J16" s="315"/>
    </row>
    <row r="17" spans="2:10" ht="21.75" customHeight="1" thickTop="1" thickBot="1" x14ac:dyDescent="0.35">
      <c r="F17" s="275"/>
      <c r="G17" s="113"/>
      <c r="H17" s="295" t="s">
        <v>11</v>
      </c>
      <c r="I17" s="287" t="s">
        <v>153</v>
      </c>
      <c r="J17" s="314"/>
    </row>
    <row r="18" spans="2:10" ht="21.75" customHeight="1" thickBot="1" x14ac:dyDescent="0.35">
      <c r="B18" s="285" t="s">
        <v>170</v>
      </c>
      <c r="E18" s="320" t="s">
        <v>173</v>
      </c>
      <c r="J18" s="67"/>
    </row>
    <row r="19" spans="2:10" ht="21.75" customHeight="1" thickTop="1" x14ac:dyDescent="0.25">
      <c r="B19" t="s">
        <v>171</v>
      </c>
      <c r="C19" s="3" t="s">
        <v>153</v>
      </c>
      <c r="D19" s="279"/>
      <c r="E19" s="319"/>
      <c r="J19" s="67"/>
    </row>
    <row r="20" spans="2:10" ht="21.75" customHeight="1" x14ac:dyDescent="0.25">
      <c r="B20" t="s">
        <v>171</v>
      </c>
      <c r="C20" s="3" t="s">
        <v>153</v>
      </c>
      <c r="D20" s="279"/>
      <c r="E20" s="192"/>
      <c r="J20" s="67"/>
    </row>
    <row r="21" spans="2:10" ht="21.75" customHeight="1" x14ac:dyDescent="0.3">
      <c r="B21" t="s">
        <v>171</v>
      </c>
      <c r="C21" s="3" t="s">
        <v>153</v>
      </c>
      <c r="D21" s="279"/>
      <c r="E21" s="192"/>
      <c r="F21" s="299" t="s">
        <v>163</v>
      </c>
      <c r="G21" s="299"/>
      <c r="I21" s="300" t="str">
        <f>I17</f>
        <v>$</v>
      </c>
      <c r="J21" s="3"/>
    </row>
    <row r="22" spans="2:10" ht="21.75" customHeight="1" x14ac:dyDescent="0.25">
      <c r="B22" t="s">
        <v>172</v>
      </c>
      <c r="C22" s="3" t="s">
        <v>153</v>
      </c>
      <c r="D22" s="279"/>
      <c r="E22" s="192"/>
      <c r="F22" s="3"/>
      <c r="G22" s="301"/>
      <c r="H22" s="301"/>
      <c r="I22" s="301"/>
      <c r="J22" s="301"/>
    </row>
    <row r="23" spans="2:10" ht="21.75" customHeight="1" x14ac:dyDescent="0.25">
      <c r="B23" t="s">
        <v>171</v>
      </c>
      <c r="C23" s="3" t="s">
        <v>153</v>
      </c>
      <c r="D23" s="279"/>
      <c r="E23" s="192"/>
    </row>
    <row r="24" spans="2:10" ht="21.75" customHeight="1" x14ac:dyDescent="0.3">
      <c r="B24" s="282" t="s">
        <v>11</v>
      </c>
      <c r="C24" s="3" t="s">
        <v>153</v>
      </c>
      <c r="D24" s="291"/>
    </row>
    <row r="25" spans="2:10" ht="18.75" customHeight="1" x14ac:dyDescent="0.25"/>
    <row r="26" spans="2:10" ht="16.5" customHeight="1" thickBot="1" x14ac:dyDescent="0.3">
      <c r="B26" s="274" t="s">
        <v>162</v>
      </c>
      <c r="C26" s="274"/>
    </row>
    <row r="27" spans="2:10" ht="21.75" customHeight="1" x14ac:dyDescent="0.25">
      <c r="C27"/>
      <c r="G27" s="306" t="s">
        <v>175</v>
      </c>
      <c r="H27" s="306"/>
      <c r="I27" s="306"/>
      <c r="J27" s="306"/>
    </row>
    <row r="28" spans="2:10" ht="21.75" customHeight="1" x14ac:dyDescent="0.25">
      <c r="B28" s="192"/>
      <c r="C28" s="3" t="s">
        <v>153</v>
      </c>
      <c r="D28" s="296"/>
      <c r="G28" s="192"/>
      <c r="H28" s="192"/>
      <c r="I28" s="307" t="s">
        <v>155</v>
      </c>
      <c r="J28" s="192"/>
    </row>
    <row r="29" spans="2:10" ht="21.75" customHeight="1" x14ac:dyDescent="0.25">
      <c r="B29" s="192"/>
      <c r="C29" s="3" t="s">
        <v>153</v>
      </c>
      <c r="D29" s="296"/>
      <c r="G29" s="192"/>
      <c r="H29" s="192"/>
      <c r="I29" s="307" t="s">
        <v>155</v>
      </c>
      <c r="J29" s="192"/>
    </row>
    <row r="30" spans="2:10" ht="20.25" customHeight="1" thickBot="1" x14ac:dyDescent="0.3">
      <c r="B30" s="192"/>
      <c r="C30" s="3" t="s">
        <v>153</v>
      </c>
      <c r="D30" s="297"/>
      <c r="G30" s="192"/>
      <c r="H30" s="192"/>
      <c r="I30" s="307" t="s">
        <v>155</v>
      </c>
      <c r="J30" s="192"/>
    </row>
    <row r="31" spans="2:10" ht="20.25" customHeight="1" thickTop="1" x14ac:dyDescent="0.25">
      <c r="B31" s="282" t="s">
        <v>154</v>
      </c>
      <c r="C31" s="3" t="s">
        <v>153</v>
      </c>
      <c r="D31" s="298"/>
      <c r="G31" s="192"/>
      <c r="H31" s="192"/>
      <c r="I31" s="307" t="s">
        <v>155</v>
      </c>
      <c r="J31" s="192"/>
    </row>
    <row r="32" spans="2:10" ht="20.25" customHeight="1" x14ac:dyDescent="0.25">
      <c r="E32" s="67"/>
      <c r="G32" s="192"/>
      <c r="H32" s="192"/>
      <c r="I32" s="307" t="s">
        <v>155</v>
      </c>
      <c r="J32" s="192"/>
    </row>
    <row r="33" spans="2:10" ht="20.25" customHeight="1" thickBot="1" x14ac:dyDescent="0.3">
      <c r="B33" s="305" t="s">
        <v>152</v>
      </c>
      <c r="C33" s="305"/>
      <c r="D33" s="305"/>
      <c r="E33" s="67"/>
      <c r="F33" s="275"/>
      <c r="G33" s="310"/>
      <c r="H33" s="311"/>
      <c r="I33" s="312" t="s">
        <v>155</v>
      </c>
      <c r="J33" s="138"/>
    </row>
    <row r="34" spans="2:10" ht="20.25" customHeight="1" thickTop="1" x14ac:dyDescent="0.3">
      <c r="B34" t="s">
        <v>174</v>
      </c>
      <c r="C34" s="278" t="s">
        <v>153</v>
      </c>
      <c r="D34" s="279"/>
      <c r="E34" s="67"/>
      <c r="F34" s="275"/>
      <c r="G34" s="295" t="s">
        <v>154</v>
      </c>
      <c r="I34" s="308" t="s">
        <v>155</v>
      </c>
      <c r="J34" s="316"/>
    </row>
    <row r="35" spans="2:10" ht="18.75" customHeight="1" x14ac:dyDescent="0.25">
      <c r="B35" s="192" t="s">
        <v>174</v>
      </c>
      <c r="C35" s="278" t="s">
        <v>153</v>
      </c>
      <c r="D35" s="279"/>
      <c r="G35" s="67"/>
      <c r="H35" s="67"/>
      <c r="I35" s="309"/>
      <c r="J35" s="67"/>
    </row>
    <row r="36" spans="2:10" ht="18.75" customHeight="1" thickBot="1" x14ac:dyDescent="0.3">
      <c r="B36" s="192" t="s">
        <v>174</v>
      </c>
      <c r="C36" s="281" t="s">
        <v>153</v>
      </c>
      <c r="D36" s="279"/>
    </row>
    <row r="37" spans="2:10" ht="18.75" customHeight="1" thickTop="1" x14ac:dyDescent="0.25">
      <c r="B37" s="192" t="s">
        <v>174</v>
      </c>
      <c r="C37" s="283" t="s">
        <v>153</v>
      </c>
      <c r="D37" s="279"/>
      <c r="F37" s="275"/>
      <c r="I37" s="3"/>
    </row>
    <row r="38" spans="2:10" ht="18.75" customHeight="1" x14ac:dyDescent="0.25">
      <c r="B38" s="192" t="s">
        <v>174</v>
      </c>
      <c r="C38" s="278" t="s">
        <v>153</v>
      </c>
      <c r="D38" s="279"/>
      <c r="F38" s="275"/>
    </row>
    <row r="39" spans="2:10" ht="18.75" customHeight="1" thickBot="1" x14ac:dyDescent="0.3">
      <c r="B39" s="192" t="s">
        <v>174</v>
      </c>
      <c r="C39" s="278" t="s">
        <v>153</v>
      </c>
      <c r="D39" s="284"/>
      <c r="E39" s="67"/>
      <c r="F39" s="67"/>
      <c r="G39" s="67"/>
    </row>
    <row r="40" spans="2:10" ht="21.75" customHeight="1" thickTop="1" x14ac:dyDescent="0.25">
      <c r="B40" s="286" t="s">
        <v>154</v>
      </c>
      <c r="C40" s="200" t="s">
        <v>155</v>
      </c>
      <c r="D40" s="317"/>
    </row>
    <row r="42" spans="2:10" ht="15.75" thickBot="1" x14ac:dyDescent="0.3">
      <c r="F42" s="302"/>
      <c r="G42" s="302"/>
      <c r="H42" s="302"/>
      <c r="I42" s="302"/>
      <c r="J42" s="302"/>
    </row>
    <row r="43" spans="2:10" ht="18.75" x14ac:dyDescent="0.3">
      <c r="F43" s="313" t="s">
        <v>164</v>
      </c>
      <c r="G43" s="313"/>
      <c r="H43" s="313"/>
      <c r="I43" s="313"/>
      <c r="J43" s="313"/>
    </row>
    <row r="47" spans="2:10" x14ac:dyDescent="0.25">
      <c r="E47" s="3"/>
    </row>
    <row r="50" spans="9:9" x14ac:dyDescent="0.25">
      <c r="I50" s="3"/>
    </row>
    <row r="51" spans="9:9" x14ac:dyDescent="0.25">
      <c r="I51" s="3"/>
    </row>
  </sheetData>
  <mergeCells count="4">
    <mergeCell ref="F43:J43"/>
    <mergeCell ref="F21:G21"/>
    <mergeCell ref="B33:D33"/>
    <mergeCell ref="G27:J27"/>
  </mergeCells>
  <pageMargins left="0.11811023622047245" right="0.19685039370078741" top="0.74803149606299213" bottom="0.15748031496062992" header="0.31496062992125984" footer="0.31496062992125984"/>
  <pageSetup scale="85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41"/>
  <sheetViews>
    <sheetView workbookViewId="0">
      <selection activeCell="D9" sqref="D9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2" max="12" width="15.42578125" customWidth="1"/>
    <col min="15" max="15" width="20.140625" bestFit="1" customWidth="1"/>
  </cols>
  <sheetData>
    <row r="1" spans="1:16" ht="19.5" customHeight="1" thickBot="1" x14ac:dyDescent="0.35">
      <c r="K1" s="268">
        <v>1</v>
      </c>
      <c r="L1" s="86" t="s">
        <v>28</v>
      </c>
      <c r="M1" s="86"/>
      <c r="N1" s="110"/>
      <c r="O1" s="111">
        <v>42375</v>
      </c>
      <c r="P1" s="112"/>
    </row>
    <row r="2" spans="1:16" ht="19.5" customHeight="1" thickBot="1" x14ac:dyDescent="0.35">
      <c r="B2" s="176"/>
      <c r="C2" s="177"/>
      <c r="D2" s="178" t="s">
        <v>21</v>
      </c>
      <c r="E2" s="179"/>
      <c r="F2" s="180"/>
      <c r="G2" s="181"/>
      <c r="K2" s="269"/>
      <c r="L2" s="113"/>
      <c r="M2" s="113"/>
      <c r="N2" s="114"/>
      <c r="O2" s="115"/>
      <c r="P2" s="112"/>
    </row>
    <row r="3" spans="1:16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K3" s="116" t="s">
        <v>23</v>
      </c>
      <c r="L3" s="116" t="s">
        <v>24</v>
      </c>
      <c r="M3" s="116"/>
      <c r="N3" s="117" t="s">
        <v>29</v>
      </c>
      <c r="O3" s="118" t="s">
        <v>30</v>
      </c>
      <c r="P3" s="119"/>
    </row>
    <row r="4" spans="1:16" x14ac:dyDescent="0.25">
      <c r="A4" s="14"/>
      <c r="B4" s="92">
        <v>42372</v>
      </c>
      <c r="C4" s="189" t="s">
        <v>27</v>
      </c>
      <c r="D4" s="190">
        <v>64808.800000000003</v>
      </c>
      <c r="E4" s="95" t="s">
        <v>60</v>
      </c>
      <c r="F4" s="94">
        <f>53359.27+11449.53</f>
        <v>64808.799999999996</v>
      </c>
      <c r="G4" s="158">
        <f t="shared" ref="G4:G21" si="0">D4-F4</f>
        <v>0</v>
      </c>
      <c r="H4" s="146"/>
      <c r="I4" s="147"/>
      <c r="K4" s="93" t="s">
        <v>32</v>
      </c>
      <c r="L4" s="94">
        <v>282286.43</v>
      </c>
      <c r="M4" s="120" t="s">
        <v>36</v>
      </c>
      <c r="N4" s="121">
        <v>3358503</v>
      </c>
      <c r="O4" s="122">
        <v>50000</v>
      </c>
      <c r="P4" s="123">
        <v>42350</v>
      </c>
    </row>
    <row r="5" spans="1:16" x14ac:dyDescent="0.25">
      <c r="A5" s="14"/>
      <c r="B5" s="96">
        <v>42375</v>
      </c>
      <c r="C5" s="189" t="s">
        <v>38</v>
      </c>
      <c r="D5" s="94">
        <v>46406.8</v>
      </c>
      <c r="E5" s="95">
        <v>42378</v>
      </c>
      <c r="F5" s="94">
        <v>46406.8</v>
      </c>
      <c r="G5" s="97">
        <f t="shared" si="0"/>
        <v>0</v>
      </c>
      <c r="H5" s="146"/>
      <c r="I5" s="147"/>
      <c r="K5" s="93" t="s">
        <v>33</v>
      </c>
      <c r="L5" s="94">
        <v>343984.8</v>
      </c>
      <c r="M5" s="124"/>
      <c r="N5" s="125">
        <v>3358502</v>
      </c>
      <c r="O5" s="126">
        <v>30000</v>
      </c>
      <c r="P5" s="127">
        <v>42350</v>
      </c>
    </row>
    <row r="6" spans="1:16" x14ac:dyDescent="0.25">
      <c r="A6" s="14"/>
      <c r="B6" s="96">
        <v>42371</v>
      </c>
      <c r="C6" s="188" t="s">
        <v>39</v>
      </c>
      <c r="D6" s="94">
        <v>256564</v>
      </c>
      <c r="E6" s="95">
        <v>42378</v>
      </c>
      <c r="F6" s="94">
        <v>256564</v>
      </c>
      <c r="G6" s="97">
        <f t="shared" si="0"/>
        <v>0</v>
      </c>
      <c r="H6" s="38"/>
      <c r="I6" s="147"/>
      <c r="K6" s="93" t="s">
        <v>34</v>
      </c>
      <c r="L6" s="94">
        <v>313225</v>
      </c>
      <c r="M6" s="124"/>
      <c r="N6" s="125">
        <v>3358501</v>
      </c>
      <c r="O6" s="126">
        <v>40000</v>
      </c>
      <c r="P6" s="127">
        <v>42350</v>
      </c>
    </row>
    <row r="7" spans="1:16" x14ac:dyDescent="0.25">
      <c r="A7" s="14"/>
      <c r="B7" s="96">
        <v>42376</v>
      </c>
      <c r="C7" s="189" t="s">
        <v>40</v>
      </c>
      <c r="D7" s="94">
        <v>227579.35</v>
      </c>
      <c r="E7" s="95" t="s">
        <v>63</v>
      </c>
      <c r="F7" s="94">
        <f>214497.17+13082.18</f>
        <v>227579.35</v>
      </c>
      <c r="G7" s="99">
        <f>D7-F7</f>
        <v>0</v>
      </c>
      <c r="H7" s="38"/>
      <c r="I7" s="147"/>
      <c r="K7" s="93" t="s">
        <v>35</v>
      </c>
      <c r="L7" s="94">
        <v>303639</v>
      </c>
      <c r="M7" s="124"/>
      <c r="N7" s="125">
        <v>3358500</v>
      </c>
      <c r="O7" s="126">
        <v>19545.5</v>
      </c>
      <c r="P7" s="127">
        <v>42350</v>
      </c>
    </row>
    <row r="8" spans="1:16" x14ac:dyDescent="0.25">
      <c r="A8" s="14"/>
      <c r="B8" s="96">
        <v>42379</v>
      </c>
      <c r="C8" s="189" t="s">
        <v>44</v>
      </c>
      <c r="D8" s="94">
        <v>268326</v>
      </c>
      <c r="E8" s="95">
        <v>42396</v>
      </c>
      <c r="F8" s="94">
        <v>268326</v>
      </c>
      <c r="G8" s="97">
        <f>D8-F8</f>
        <v>0</v>
      </c>
      <c r="H8" s="38"/>
      <c r="I8" s="147"/>
      <c r="K8" s="93" t="s">
        <v>27</v>
      </c>
      <c r="L8" s="94">
        <v>53359.27</v>
      </c>
      <c r="M8" s="124" t="s">
        <v>37</v>
      </c>
      <c r="N8" s="125">
        <v>3358499</v>
      </c>
      <c r="O8" s="126">
        <v>44712</v>
      </c>
      <c r="P8" s="127">
        <v>42351</v>
      </c>
    </row>
    <row r="9" spans="1:16" x14ac:dyDescent="0.25">
      <c r="A9" s="82"/>
      <c r="B9" s="96" t="s">
        <v>48</v>
      </c>
      <c r="C9" s="189" t="s">
        <v>45</v>
      </c>
      <c r="D9" s="94">
        <v>231464.75</v>
      </c>
      <c r="E9" s="95">
        <v>42396</v>
      </c>
      <c r="F9" s="94">
        <v>231464.75</v>
      </c>
      <c r="G9" s="99">
        <f>D9-F9</f>
        <v>0</v>
      </c>
      <c r="H9" s="38"/>
      <c r="I9" s="147"/>
      <c r="K9" s="93"/>
      <c r="L9" s="94"/>
      <c r="M9" s="128"/>
      <c r="N9" s="125">
        <v>3358497</v>
      </c>
      <c r="O9" s="126">
        <v>66045</v>
      </c>
      <c r="P9" s="127">
        <v>42352</v>
      </c>
    </row>
    <row r="10" spans="1:16" x14ac:dyDescent="0.25">
      <c r="A10" s="14"/>
      <c r="B10" s="96">
        <v>42384</v>
      </c>
      <c r="C10" s="189" t="s">
        <v>46</v>
      </c>
      <c r="D10" s="100">
        <v>105831.6</v>
      </c>
      <c r="E10" s="95">
        <v>42396</v>
      </c>
      <c r="F10" s="100">
        <v>105831.6</v>
      </c>
      <c r="G10" s="99">
        <f>D10-F10</f>
        <v>0</v>
      </c>
      <c r="H10" s="38"/>
      <c r="I10" s="147"/>
      <c r="K10" s="93"/>
      <c r="L10" s="94"/>
      <c r="M10" s="129"/>
      <c r="N10" s="125">
        <v>3358496</v>
      </c>
      <c r="O10" s="126">
        <v>55000</v>
      </c>
      <c r="P10" s="127">
        <v>42353</v>
      </c>
    </row>
    <row r="11" spans="1:16" ht="15" x14ac:dyDescent="0.25">
      <c r="A11" s="14"/>
      <c r="B11" s="96">
        <v>42388</v>
      </c>
      <c r="C11" s="189" t="s">
        <v>47</v>
      </c>
      <c r="D11" s="94">
        <v>30131</v>
      </c>
      <c r="E11" s="95">
        <v>42396</v>
      </c>
      <c r="F11" s="94">
        <v>30131</v>
      </c>
      <c r="G11" s="99">
        <f>D11-F11</f>
        <v>0</v>
      </c>
      <c r="H11" s="38"/>
      <c r="I11" s="147"/>
      <c r="K11" s="93"/>
      <c r="L11" s="94"/>
      <c r="M11" s="124"/>
      <c r="N11" s="130">
        <v>3358495</v>
      </c>
      <c r="O11" s="131">
        <v>22365</v>
      </c>
      <c r="P11" s="127">
        <v>42353</v>
      </c>
    </row>
    <row r="12" spans="1:16" ht="15" x14ac:dyDescent="0.25">
      <c r="A12" s="14"/>
      <c r="B12" s="96">
        <v>42389</v>
      </c>
      <c r="C12" s="189" t="s">
        <v>62</v>
      </c>
      <c r="D12" s="94">
        <v>341765</v>
      </c>
      <c r="E12" s="95">
        <v>42396</v>
      </c>
      <c r="F12" s="94">
        <v>341765</v>
      </c>
      <c r="G12" s="99">
        <f t="shared" si="0"/>
        <v>0</v>
      </c>
      <c r="H12" s="38"/>
      <c r="I12" s="147"/>
      <c r="K12" s="93"/>
      <c r="L12" s="94"/>
      <c r="M12" s="124"/>
      <c r="N12" s="130">
        <v>3358494</v>
      </c>
      <c r="O12" s="131">
        <v>75000</v>
      </c>
      <c r="P12" s="127">
        <v>42354</v>
      </c>
    </row>
    <row r="13" spans="1:16" ht="15" x14ac:dyDescent="0.25">
      <c r="A13" s="14"/>
      <c r="B13" s="96">
        <v>42389</v>
      </c>
      <c r="C13" s="189" t="s">
        <v>61</v>
      </c>
      <c r="D13" s="94">
        <v>198766</v>
      </c>
      <c r="E13" s="182" t="s">
        <v>73</v>
      </c>
      <c r="F13" s="101">
        <f>196047.96+2718.04</f>
        <v>198766</v>
      </c>
      <c r="G13" s="99">
        <f t="shared" si="0"/>
        <v>0</v>
      </c>
      <c r="H13" s="146"/>
      <c r="I13" s="147"/>
      <c r="K13" s="93"/>
      <c r="L13" s="132"/>
      <c r="M13" s="124"/>
      <c r="N13" s="130">
        <v>3358493</v>
      </c>
      <c r="O13" s="131">
        <v>36616</v>
      </c>
      <c r="P13" s="127">
        <v>42354</v>
      </c>
    </row>
    <row r="14" spans="1:16" ht="15" x14ac:dyDescent="0.25">
      <c r="A14" s="14"/>
      <c r="B14" s="96">
        <v>42390</v>
      </c>
      <c r="C14" s="189" t="s">
        <v>64</v>
      </c>
      <c r="D14" s="94">
        <v>578.20000000000005</v>
      </c>
      <c r="E14" s="102">
        <v>42411</v>
      </c>
      <c r="F14" s="101">
        <v>578.20000000000005</v>
      </c>
      <c r="G14" s="99">
        <f t="shared" si="0"/>
        <v>0</v>
      </c>
      <c r="H14" s="147"/>
      <c r="I14" s="147"/>
      <c r="K14" s="133"/>
      <c r="L14" s="134"/>
      <c r="M14" s="128"/>
      <c r="N14" s="135">
        <v>3358492</v>
      </c>
      <c r="O14" s="136">
        <v>75000</v>
      </c>
      <c r="P14" s="137">
        <v>42355</v>
      </c>
    </row>
    <row r="15" spans="1:16" ht="15" x14ac:dyDescent="0.25">
      <c r="A15" s="14"/>
      <c r="B15" s="96">
        <v>42393</v>
      </c>
      <c r="C15" s="189" t="s">
        <v>65</v>
      </c>
      <c r="D15" s="94">
        <v>16562</v>
      </c>
      <c r="E15" s="102">
        <v>42411</v>
      </c>
      <c r="F15" s="101">
        <v>16562</v>
      </c>
      <c r="G15" s="99">
        <f>D15-F15</f>
        <v>0</v>
      </c>
      <c r="H15" s="147"/>
      <c r="I15" s="147"/>
      <c r="K15" s="133"/>
      <c r="L15" s="134"/>
      <c r="M15" s="128"/>
      <c r="N15" s="135">
        <v>3358490</v>
      </c>
      <c r="O15" s="136">
        <v>40000</v>
      </c>
      <c r="P15" s="137">
        <v>42355</v>
      </c>
    </row>
    <row r="16" spans="1:16" ht="15" x14ac:dyDescent="0.25">
      <c r="A16" s="14"/>
      <c r="B16" s="96">
        <v>42394</v>
      </c>
      <c r="C16" s="189" t="s">
        <v>66</v>
      </c>
      <c r="D16" s="94">
        <v>3629</v>
      </c>
      <c r="E16" s="102">
        <v>42411</v>
      </c>
      <c r="F16" s="101">
        <v>3629</v>
      </c>
      <c r="G16" s="99">
        <f>D16-F16</f>
        <v>0</v>
      </c>
      <c r="K16" s="133"/>
      <c r="L16" s="134"/>
      <c r="M16" s="128"/>
      <c r="N16" s="135">
        <v>3358491</v>
      </c>
      <c r="O16" s="136">
        <v>28206.5</v>
      </c>
      <c r="P16" s="137">
        <v>42355</v>
      </c>
    </row>
    <row r="17" spans="1:17" ht="15" x14ac:dyDescent="0.25">
      <c r="A17" s="14"/>
      <c r="B17" s="96">
        <v>42396</v>
      </c>
      <c r="C17" s="189" t="s">
        <v>67</v>
      </c>
      <c r="D17" s="94">
        <v>112086.45</v>
      </c>
      <c r="E17" s="102">
        <v>42411</v>
      </c>
      <c r="F17" s="101">
        <v>112086.45</v>
      </c>
      <c r="G17" s="97">
        <f>D17-F17</f>
        <v>0</v>
      </c>
      <c r="K17" s="133"/>
      <c r="L17" s="134"/>
      <c r="M17" s="128"/>
      <c r="N17" s="135">
        <v>3358489</v>
      </c>
      <c r="O17" s="136">
        <v>115000</v>
      </c>
      <c r="P17" s="137">
        <v>42356</v>
      </c>
    </row>
    <row r="18" spans="1:17" ht="15" x14ac:dyDescent="0.25">
      <c r="A18" s="14"/>
      <c r="B18" s="96">
        <v>42399</v>
      </c>
      <c r="C18" s="189" t="s">
        <v>69</v>
      </c>
      <c r="D18" s="94">
        <v>19937</v>
      </c>
      <c r="E18" s="102">
        <v>42411</v>
      </c>
      <c r="F18" s="101">
        <v>19937</v>
      </c>
      <c r="G18" s="97">
        <f>D18-F18</f>
        <v>0</v>
      </c>
      <c r="K18" s="133"/>
      <c r="L18" s="134"/>
      <c r="M18" s="128"/>
      <c r="N18" s="135">
        <v>3358488</v>
      </c>
      <c r="O18" s="136">
        <v>60000</v>
      </c>
      <c r="P18" s="137">
        <v>42356</v>
      </c>
    </row>
    <row r="19" spans="1:17" ht="15" x14ac:dyDescent="0.25">
      <c r="A19" s="14"/>
      <c r="B19" s="96">
        <v>42399</v>
      </c>
      <c r="C19" s="189" t="s">
        <v>71</v>
      </c>
      <c r="D19" s="94">
        <v>286045.2</v>
      </c>
      <c r="E19" s="102">
        <v>42411</v>
      </c>
      <c r="F19" s="101">
        <v>286045.2</v>
      </c>
      <c r="G19" s="99">
        <f>D19-F19</f>
        <v>0</v>
      </c>
      <c r="K19" s="133"/>
      <c r="L19" s="134"/>
      <c r="M19" s="128"/>
      <c r="N19" s="135">
        <v>3358486</v>
      </c>
      <c r="O19" s="136">
        <v>20114</v>
      </c>
      <c r="P19" s="137">
        <v>42356</v>
      </c>
    </row>
    <row r="20" spans="1:17" ht="15" x14ac:dyDescent="0.25">
      <c r="A20" s="14"/>
      <c r="B20" s="96"/>
      <c r="C20" s="93"/>
      <c r="D20" s="94">
        <v>0</v>
      </c>
      <c r="E20" s="102"/>
      <c r="F20" s="101"/>
      <c r="G20" s="97">
        <f t="shared" si="0"/>
        <v>0</v>
      </c>
      <c r="K20" s="133"/>
      <c r="L20" s="134"/>
      <c r="M20" s="128"/>
      <c r="N20" s="135">
        <v>33558487</v>
      </c>
      <c r="O20" s="136">
        <v>60000</v>
      </c>
      <c r="P20" s="137">
        <v>42357</v>
      </c>
    </row>
    <row r="21" spans="1:17" thickBot="1" x14ac:dyDescent="0.3">
      <c r="A21" s="14"/>
      <c r="B21" s="171"/>
      <c r="C21" s="172"/>
      <c r="D21" s="173">
        <v>0</v>
      </c>
      <c r="E21" s="174"/>
      <c r="F21" s="173"/>
      <c r="G21" s="175">
        <f t="shared" si="0"/>
        <v>0</v>
      </c>
      <c r="K21" s="133"/>
      <c r="L21" s="134"/>
      <c r="M21" s="128"/>
      <c r="N21" s="135">
        <v>3358485</v>
      </c>
      <c r="O21" s="136">
        <v>20000</v>
      </c>
      <c r="P21" s="137">
        <v>42357</v>
      </c>
    </row>
    <row r="22" spans="1:17" thickTop="1" x14ac:dyDescent="0.25">
      <c r="A22" s="147"/>
      <c r="B22" s="160"/>
      <c r="C22" s="161"/>
      <c r="D22" s="41">
        <f>SUM(D4:D21)</f>
        <v>2210481.15</v>
      </c>
      <c r="E22" s="41"/>
      <c r="F22" s="41">
        <f t="shared" ref="F22:G22" si="1">SUM(F4:F21)</f>
        <v>2210481.15</v>
      </c>
      <c r="G22" s="41">
        <f t="shared" si="1"/>
        <v>0</v>
      </c>
      <c r="K22" s="133"/>
      <c r="L22" s="134"/>
      <c r="M22" s="128"/>
      <c r="N22" s="135">
        <v>3358484</v>
      </c>
      <c r="O22" s="136">
        <v>60000</v>
      </c>
      <c r="P22" s="137">
        <v>42357</v>
      </c>
    </row>
    <row r="23" spans="1:17" ht="15" x14ac:dyDescent="0.25">
      <c r="A23" s="147"/>
      <c r="B23" s="160"/>
      <c r="C23" s="161"/>
      <c r="D23" s="41"/>
      <c r="E23" s="95"/>
      <c r="F23" s="41"/>
      <c r="G23" s="38"/>
      <c r="K23" s="133"/>
      <c r="L23" s="134"/>
      <c r="M23" s="128"/>
      <c r="N23" s="135">
        <v>3358482</v>
      </c>
      <c r="O23" s="136">
        <v>20186</v>
      </c>
      <c r="P23" s="137">
        <v>42357</v>
      </c>
    </row>
    <row r="24" spans="1:17" ht="15" x14ac:dyDescent="0.25">
      <c r="A24" s="147"/>
      <c r="B24" s="160"/>
      <c r="C24" s="161"/>
      <c r="D24" s="41"/>
      <c r="E24" s="95"/>
      <c r="F24" s="41"/>
      <c r="G24" s="38"/>
      <c r="K24" s="133"/>
      <c r="L24" s="134"/>
      <c r="M24" s="128"/>
      <c r="N24" s="135" t="s">
        <v>31</v>
      </c>
      <c r="O24" s="136">
        <v>102000</v>
      </c>
      <c r="P24" s="137">
        <v>42362</v>
      </c>
      <c r="Q24" s="145">
        <v>42358</v>
      </c>
    </row>
    <row r="25" spans="1:17" ht="15" x14ac:dyDescent="0.25">
      <c r="A25" s="147"/>
      <c r="B25" s="160"/>
      <c r="C25" s="161"/>
      <c r="D25" s="41"/>
      <c r="E25" s="95"/>
      <c r="F25" s="41"/>
      <c r="G25" s="38"/>
      <c r="K25" s="133"/>
      <c r="L25" s="134"/>
      <c r="M25" s="128"/>
      <c r="N25" s="135">
        <v>3358480</v>
      </c>
      <c r="O25" s="136">
        <v>60000</v>
      </c>
      <c r="P25" s="137">
        <v>42358</v>
      </c>
    </row>
    <row r="26" spans="1:17" ht="15" x14ac:dyDescent="0.25">
      <c r="A26" s="147"/>
      <c r="B26" s="160"/>
      <c r="C26" s="161"/>
      <c r="D26" s="41"/>
      <c r="E26" s="95"/>
      <c r="F26" s="41"/>
      <c r="G26" s="38"/>
      <c r="K26" s="133"/>
      <c r="L26" s="134"/>
      <c r="M26" s="128"/>
      <c r="N26" s="135">
        <v>3358478</v>
      </c>
      <c r="O26" s="136">
        <v>25000</v>
      </c>
      <c r="P26" s="137">
        <v>42358</v>
      </c>
    </row>
    <row r="27" spans="1:17" ht="15" x14ac:dyDescent="0.25">
      <c r="A27" s="147"/>
      <c r="B27" s="160"/>
      <c r="C27" s="161"/>
      <c r="D27" s="41"/>
      <c r="E27" s="95"/>
      <c r="F27" s="41"/>
      <c r="G27" s="38"/>
      <c r="K27" s="133"/>
      <c r="L27" s="134"/>
      <c r="M27" s="128"/>
      <c r="N27" s="135">
        <v>3358479</v>
      </c>
      <c r="O27" s="136">
        <v>20091</v>
      </c>
      <c r="P27" s="137">
        <v>42358</v>
      </c>
    </row>
    <row r="28" spans="1:17" ht="15" x14ac:dyDescent="0.25">
      <c r="A28" s="147"/>
      <c r="B28" s="160"/>
      <c r="C28" s="161"/>
      <c r="D28" s="41"/>
      <c r="E28" s="95"/>
      <c r="F28" s="41"/>
      <c r="G28" s="38"/>
      <c r="K28" s="133"/>
      <c r="L28" s="134"/>
      <c r="M28" s="128"/>
      <c r="N28" s="135" t="s">
        <v>31</v>
      </c>
      <c r="O28" s="136">
        <v>26910</v>
      </c>
      <c r="P28" s="137">
        <v>42359</v>
      </c>
    </row>
    <row r="29" spans="1:17" ht="15" x14ac:dyDescent="0.25">
      <c r="A29" s="147"/>
      <c r="B29" s="160"/>
      <c r="C29" s="161"/>
      <c r="D29" s="41"/>
      <c r="E29" s="95"/>
      <c r="F29" s="41"/>
      <c r="G29" s="38"/>
      <c r="K29" s="133"/>
      <c r="L29" s="134"/>
      <c r="M29" s="128"/>
      <c r="N29" s="135">
        <v>3358477</v>
      </c>
      <c r="O29" s="136">
        <v>100000</v>
      </c>
      <c r="P29" s="137">
        <v>42359</v>
      </c>
    </row>
    <row r="30" spans="1:17" ht="15" x14ac:dyDescent="0.25">
      <c r="A30" s="147"/>
      <c r="B30" s="160"/>
      <c r="C30" s="161"/>
      <c r="D30" s="41"/>
      <c r="E30" s="95"/>
      <c r="F30" s="41"/>
      <c r="G30" s="38"/>
      <c r="K30" s="133"/>
      <c r="L30" s="134"/>
      <c r="M30" s="128"/>
      <c r="N30" s="135">
        <v>3358476</v>
      </c>
      <c r="O30" s="136">
        <v>24703.5</v>
      </c>
      <c r="P30" s="137">
        <v>42359</v>
      </c>
    </row>
    <row r="31" spans="1:17" thickBot="1" x14ac:dyDescent="0.3">
      <c r="A31" s="147"/>
      <c r="B31" s="160"/>
      <c r="C31" s="161"/>
      <c r="D31" s="41"/>
      <c r="E31" s="95"/>
      <c r="F31" s="41"/>
      <c r="G31" s="38"/>
      <c r="K31" s="138"/>
      <c r="L31" s="138"/>
      <c r="M31" s="138"/>
      <c r="N31" s="139"/>
      <c r="O31" s="140">
        <v>0</v>
      </c>
      <c r="P31" s="141"/>
    </row>
    <row r="32" spans="1:17" ht="19.5" thickTop="1" x14ac:dyDescent="0.3">
      <c r="A32" s="147"/>
      <c r="B32" s="160"/>
      <c r="C32" s="161"/>
      <c r="D32" s="41"/>
      <c r="E32" s="95"/>
      <c r="F32" s="41"/>
      <c r="G32" s="38"/>
      <c r="K32" s="67"/>
      <c r="L32" s="142">
        <f>SUM(L4:L31)</f>
        <v>1296494.5</v>
      </c>
      <c r="M32" s="143"/>
      <c r="N32" s="143"/>
      <c r="O32" s="143">
        <f>SUM(O4:O31)</f>
        <v>1296494.5</v>
      </c>
      <c r="P32" s="144"/>
    </row>
    <row r="33" spans="1:16" ht="15" x14ac:dyDescent="0.25">
      <c r="A33" s="147"/>
      <c r="B33" s="160"/>
      <c r="C33" s="161"/>
      <c r="D33" s="41"/>
      <c r="E33" s="95"/>
      <c r="F33" s="41"/>
      <c r="G33" s="38"/>
      <c r="O33" s="3"/>
    </row>
    <row r="34" spans="1:16" ht="19.5" customHeight="1" thickBot="1" x14ac:dyDescent="0.3">
      <c r="A34" s="147"/>
      <c r="B34" s="160"/>
      <c r="C34" s="161"/>
      <c r="D34" s="41"/>
      <c r="E34" s="95"/>
      <c r="F34" s="41"/>
      <c r="G34" s="38"/>
    </row>
    <row r="35" spans="1:16" ht="19.5" customHeight="1" thickBot="1" x14ac:dyDescent="0.35">
      <c r="A35" s="147"/>
      <c r="B35" s="160"/>
      <c r="C35" s="161"/>
      <c r="D35" s="41"/>
      <c r="E35" s="95"/>
      <c r="F35" s="41"/>
      <c r="G35" s="38"/>
      <c r="K35" s="268">
        <v>1</v>
      </c>
      <c r="L35" s="86" t="s">
        <v>28</v>
      </c>
      <c r="M35" s="86"/>
      <c r="N35" s="110"/>
      <c r="O35" s="148">
        <v>42378</v>
      </c>
      <c r="P35" s="112"/>
    </row>
    <row r="36" spans="1:16" ht="19.5" customHeight="1" thickBot="1" x14ac:dyDescent="0.3">
      <c r="A36" s="147"/>
      <c r="B36" s="160"/>
      <c r="C36" s="161"/>
      <c r="D36" s="41"/>
      <c r="E36" s="95"/>
      <c r="F36" s="41"/>
      <c r="G36" s="38"/>
      <c r="K36" s="269"/>
      <c r="L36" s="113"/>
      <c r="M36" s="113"/>
      <c r="N36" s="114"/>
      <c r="O36" s="115"/>
      <c r="P36" s="112"/>
    </row>
    <row r="37" spans="1:16" ht="19.5" customHeight="1" thickBot="1" x14ac:dyDescent="0.3">
      <c r="A37" s="147"/>
      <c r="B37" s="160"/>
      <c r="C37" s="161"/>
      <c r="D37" s="41"/>
      <c r="E37" s="95"/>
      <c r="F37" s="41"/>
      <c r="G37" s="38"/>
      <c r="K37" s="116" t="s">
        <v>23</v>
      </c>
      <c r="L37" s="116" t="s">
        <v>24</v>
      </c>
      <c r="M37" s="116"/>
      <c r="N37" s="117" t="s">
        <v>29</v>
      </c>
      <c r="O37" s="118" t="s">
        <v>30</v>
      </c>
      <c r="P37" s="119"/>
    </row>
    <row r="38" spans="1:16" ht="19.5" customHeight="1" thickTop="1" x14ac:dyDescent="0.25">
      <c r="A38" s="147"/>
      <c r="B38" s="160"/>
      <c r="C38" s="161"/>
      <c r="D38" s="41"/>
      <c r="E38" s="95"/>
      <c r="F38" s="41"/>
      <c r="G38" s="38"/>
      <c r="K38" s="93" t="s">
        <v>41</v>
      </c>
      <c r="L38" s="94">
        <v>277119</v>
      </c>
      <c r="M38" s="120"/>
      <c r="N38" s="121">
        <v>3358474</v>
      </c>
      <c r="O38" s="122">
        <v>40000</v>
      </c>
      <c r="P38" s="123">
        <v>42360</v>
      </c>
    </row>
    <row r="39" spans="1:16" x14ac:dyDescent="0.25">
      <c r="A39" s="147"/>
      <c r="B39" s="160"/>
      <c r="C39" s="161"/>
      <c r="D39" s="41"/>
      <c r="E39" s="95"/>
      <c r="F39" s="41"/>
      <c r="G39" s="38"/>
      <c r="K39" s="93" t="s">
        <v>42</v>
      </c>
      <c r="L39" s="94">
        <v>118.8</v>
      </c>
      <c r="M39" s="124"/>
      <c r="N39" s="125">
        <v>3358475</v>
      </c>
      <c r="O39" s="126">
        <v>52000</v>
      </c>
      <c r="P39" s="127">
        <v>42360</v>
      </c>
    </row>
    <row r="40" spans="1:16" x14ac:dyDescent="0.25">
      <c r="A40" s="147"/>
      <c r="B40" s="160"/>
      <c r="C40" s="161"/>
      <c r="D40" s="41"/>
      <c r="E40" s="95"/>
      <c r="F40" s="41"/>
      <c r="G40" s="162"/>
      <c r="K40" s="93" t="s">
        <v>43</v>
      </c>
      <c r="L40" s="94">
        <v>284267.2</v>
      </c>
      <c r="M40" s="124"/>
      <c r="N40" s="125">
        <v>3358473</v>
      </c>
      <c r="O40" s="126">
        <v>26643.5</v>
      </c>
      <c r="P40" s="127">
        <v>42360</v>
      </c>
    </row>
    <row r="41" spans="1:16" ht="19.5" customHeight="1" x14ac:dyDescent="0.25">
      <c r="A41" s="147"/>
      <c r="B41" s="160"/>
      <c r="C41" s="161"/>
      <c r="D41" s="41"/>
      <c r="E41" s="95"/>
      <c r="F41" s="41"/>
      <c r="G41" s="162"/>
      <c r="K41" s="93" t="s">
        <v>27</v>
      </c>
      <c r="L41" s="94">
        <v>11449.53</v>
      </c>
      <c r="M41" s="124" t="s">
        <v>36</v>
      </c>
      <c r="N41" s="125">
        <v>3237887</v>
      </c>
      <c r="O41" s="126">
        <v>67323</v>
      </c>
      <c r="P41" s="127">
        <v>42360</v>
      </c>
    </row>
    <row r="42" spans="1:16" ht="16.5" customHeight="1" x14ac:dyDescent="0.25">
      <c r="A42" s="147"/>
      <c r="B42" s="160"/>
      <c r="C42" s="161"/>
      <c r="D42" s="41"/>
      <c r="E42" s="95"/>
      <c r="F42" s="41"/>
      <c r="G42" s="162"/>
      <c r="K42" s="93" t="s">
        <v>38</v>
      </c>
      <c r="L42" s="94">
        <v>46406.8</v>
      </c>
      <c r="M42" s="124"/>
      <c r="N42" s="125">
        <v>3358472</v>
      </c>
      <c r="O42" s="126">
        <v>110000</v>
      </c>
      <c r="P42" s="127">
        <v>42361</v>
      </c>
    </row>
    <row r="43" spans="1:16" x14ac:dyDescent="0.25">
      <c r="A43" s="147"/>
      <c r="B43" s="160"/>
      <c r="C43" s="161"/>
      <c r="D43" s="38"/>
      <c r="E43" s="95"/>
      <c r="F43" s="41"/>
      <c r="G43" s="162"/>
      <c r="K43" s="98" t="s">
        <v>39</v>
      </c>
      <c r="L43" s="94">
        <v>256564</v>
      </c>
      <c r="M43" s="128"/>
      <c r="N43" s="125">
        <v>3358471</v>
      </c>
      <c r="O43" s="126">
        <v>50000</v>
      </c>
      <c r="P43" s="127">
        <v>42361</v>
      </c>
    </row>
    <row r="44" spans="1:16" x14ac:dyDescent="0.25">
      <c r="A44" s="147"/>
      <c r="B44" s="160"/>
      <c r="C44" s="161"/>
      <c r="D44" s="41"/>
      <c r="E44" s="95"/>
      <c r="F44" s="41"/>
      <c r="G44" s="162"/>
      <c r="K44" s="93" t="s">
        <v>40</v>
      </c>
      <c r="L44" s="94">
        <v>214497.17</v>
      </c>
      <c r="M44" s="129" t="s">
        <v>37</v>
      </c>
      <c r="N44" s="125">
        <v>3237970</v>
      </c>
      <c r="O44" s="126">
        <v>27000</v>
      </c>
      <c r="P44" s="127">
        <v>42361</v>
      </c>
    </row>
    <row r="45" spans="1:16" ht="15" x14ac:dyDescent="0.25">
      <c r="A45" s="163"/>
      <c r="B45" s="160"/>
      <c r="C45" s="161"/>
      <c r="D45" s="41"/>
      <c r="E45" s="95"/>
      <c r="F45" s="41"/>
      <c r="G45" s="162"/>
      <c r="K45" s="93"/>
      <c r="L45" s="94"/>
      <c r="M45" s="124"/>
      <c r="N45" s="130">
        <v>3237966</v>
      </c>
      <c r="O45" s="131">
        <v>35304.5</v>
      </c>
      <c r="P45" s="127">
        <v>42362</v>
      </c>
    </row>
    <row r="46" spans="1:16" ht="15" x14ac:dyDescent="0.25">
      <c r="A46" s="163"/>
      <c r="B46" s="160"/>
      <c r="C46" s="161"/>
      <c r="D46" s="41"/>
      <c r="E46" s="95"/>
      <c r="F46" s="41"/>
      <c r="G46" s="162"/>
      <c r="K46" s="93"/>
      <c r="L46" s="94"/>
      <c r="M46" s="124"/>
      <c r="N46" s="130">
        <v>3237969</v>
      </c>
      <c r="O46" s="131">
        <v>67511.5</v>
      </c>
      <c r="P46" s="127">
        <v>42361</v>
      </c>
    </row>
    <row r="47" spans="1:16" ht="15" x14ac:dyDescent="0.25">
      <c r="A47" s="163"/>
      <c r="B47" s="160"/>
      <c r="C47" s="161"/>
      <c r="D47" s="41"/>
      <c r="E47" s="95"/>
      <c r="F47" s="41"/>
      <c r="G47" s="162"/>
      <c r="K47" s="93"/>
      <c r="L47" s="132"/>
      <c r="M47" s="124"/>
      <c r="N47" s="130">
        <v>3237967</v>
      </c>
      <c r="O47" s="131">
        <v>75000</v>
      </c>
      <c r="P47" s="127">
        <v>42362</v>
      </c>
    </row>
    <row r="48" spans="1:16" ht="15" x14ac:dyDescent="0.25">
      <c r="A48" s="163"/>
      <c r="B48" s="160"/>
      <c r="C48" s="161"/>
      <c r="D48" s="41"/>
      <c r="E48" s="95"/>
      <c r="F48" s="41"/>
      <c r="G48" s="162"/>
      <c r="K48" s="133"/>
      <c r="L48" s="134"/>
      <c r="M48" s="128"/>
      <c r="N48" s="135">
        <v>3237968</v>
      </c>
      <c r="O48" s="136">
        <v>95000</v>
      </c>
      <c r="P48" s="137">
        <v>42362</v>
      </c>
    </row>
    <row r="49" spans="1:17" ht="15" x14ac:dyDescent="0.25">
      <c r="A49" s="163"/>
      <c r="B49" s="160"/>
      <c r="C49" s="161"/>
      <c r="D49" s="41"/>
      <c r="E49" s="95"/>
      <c r="F49" s="41"/>
      <c r="G49" s="162"/>
      <c r="K49" s="133"/>
      <c r="L49" s="134"/>
      <c r="M49" s="128"/>
      <c r="N49" s="135">
        <v>3237965</v>
      </c>
      <c r="O49" s="136">
        <v>35732</v>
      </c>
      <c r="P49" s="137">
        <v>42362</v>
      </c>
    </row>
    <row r="50" spans="1:17" ht="15" x14ac:dyDescent="0.25">
      <c r="A50" s="163"/>
      <c r="B50" s="160"/>
      <c r="C50" s="161"/>
      <c r="D50" s="41"/>
      <c r="E50" s="95"/>
      <c r="F50" s="41"/>
      <c r="G50" s="162"/>
      <c r="K50" s="133"/>
      <c r="L50" s="134"/>
      <c r="M50" s="128"/>
      <c r="N50" s="135" t="s">
        <v>31</v>
      </c>
      <c r="O50" s="136">
        <v>15541.5</v>
      </c>
      <c r="P50" s="137">
        <v>42352</v>
      </c>
      <c r="Q50" s="145">
        <v>42364</v>
      </c>
    </row>
    <row r="51" spans="1:17" ht="15" x14ac:dyDescent="0.25">
      <c r="A51" s="163"/>
      <c r="B51" s="160"/>
      <c r="C51" s="161"/>
      <c r="D51" s="41"/>
      <c r="E51" s="95"/>
      <c r="F51" s="41"/>
      <c r="G51" s="162"/>
      <c r="K51" s="133"/>
      <c r="L51" s="134"/>
      <c r="M51" s="128"/>
      <c r="N51" s="135" t="s">
        <v>31</v>
      </c>
      <c r="O51" s="136">
        <v>13866.5</v>
      </c>
      <c r="P51" s="137">
        <v>42352</v>
      </c>
      <c r="Q51" s="145">
        <v>42364</v>
      </c>
    </row>
    <row r="52" spans="1:17" ht="15" x14ac:dyDescent="0.25">
      <c r="A52" s="163"/>
      <c r="B52" s="160"/>
      <c r="C52" s="161"/>
      <c r="D52" s="41"/>
      <c r="E52" s="95"/>
      <c r="F52" s="41"/>
      <c r="G52" s="162"/>
      <c r="K52" s="133"/>
      <c r="L52" s="134"/>
      <c r="M52" s="128"/>
      <c r="N52" s="135" t="s">
        <v>31</v>
      </c>
      <c r="O52" s="136">
        <v>13500</v>
      </c>
      <c r="P52" s="137">
        <v>42353</v>
      </c>
      <c r="Q52" s="145">
        <v>42364</v>
      </c>
    </row>
    <row r="53" spans="1:17" ht="15" x14ac:dyDescent="0.25">
      <c r="A53" s="163"/>
      <c r="B53" s="160"/>
      <c r="C53" s="161"/>
      <c r="D53" s="41"/>
      <c r="E53" s="95"/>
      <c r="F53" s="41"/>
      <c r="G53" s="162"/>
      <c r="K53" s="133"/>
      <c r="L53" s="134"/>
      <c r="M53" s="128"/>
      <c r="N53" s="135">
        <v>3237964</v>
      </c>
      <c r="O53" s="136">
        <v>94000</v>
      </c>
      <c r="P53" s="137">
        <v>42364</v>
      </c>
    </row>
    <row r="54" spans="1:17" ht="15" x14ac:dyDescent="0.25">
      <c r="A54" s="163"/>
      <c r="B54" s="160"/>
      <c r="C54" s="161"/>
      <c r="D54" s="41"/>
      <c r="E54" s="95"/>
      <c r="F54" s="41"/>
      <c r="G54" s="162"/>
      <c r="K54" s="133"/>
      <c r="L54" s="134"/>
      <c r="M54" s="128"/>
      <c r="N54" s="135">
        <v>3237963</v>
      </c>
      <c r="O54" s="136">
        <v>47000</v>
      </c>
      <c r="P54" s="137">
        <v>42364</v>
      </c>
    </row>
    <row r="55" spans="1:17" ht="15" x14ac:dyDescent="0.25">
      <c r="A55" s="163"/>
      <c r="B55" s="160"/>
      <c r="C55" s="161"/>
      <c r="D55" s="41"/>
      <c r="E55" s="95"/>
      <c r="F55" s="41"/>
      <c r="G55" s="162"/>
      <c r="K55" s="133"/>
      <c r="L55" s="134"/>
      <c r="M55" s="128"/>
      <c r="N55" s="135">
        <v>3237962</v>
      </c>
      <c r="O55" s="136">
        <v>35000</v>
      </c>
      <c r="P55" s="137">
        <v>42364</v>
      </c>
    </row>
    <row r="56" spans="1:17" ht="15" x14ac:dyDescent="0.25">
      <c r="A56" s="163"/>
      <c r="B56" s="160"/>
      <c r="C56" s="161"/>
      <c r="D56" s="41"/>
      <c r="E56" s="95"/>
      <c r="F56" s="41"/>
      <c r="G56" s="162"/>
      <c r="K56" s="133"/>
      <c r="L56" s="134"/>
      <c r="M56" s="128"/>
      <c r="N56" s="135">
        <v>3237961</v>
      </c>
      <c r="O56" s="136">
        <v>30000</v>
      </c>
      <c r="P56" s="137">
        <v>42364</v>
      </c>
    </row>
    <row r="57" spans="1:17" ht="15" x14ac:dyDescent="0.25">
      <c r="A57" s="163"/>
      <c r="B57" s="160"/>
      <c r="C57" s="161"/>
      <c r="D57" s="41"/>
      <c r="E57" s="95"/>
      <c r="F57" s="41"/>
      <c r="G57" s="162"/>
      <c r="K57" s="133"/>
      <c r="L57" s="134"/>
      <c r="M57" s="128"/>
      <c r="N57" s="135" t="s">
        <v>31</v>
      </c>
      <c r="O57" s="136">
        <v>110000</v>
      </c>
      <c r="P57" s="137">
        <v>42367</v>
      </c>
      <c r="Q57" s="145">
        <v>42365</v>
      </c>
    </row>
    <row r="58" spans="1:17" ht="15" x14ac:dyDescent="0.25">
      <c r="A58" s="163"/>
      <c r="B58" s="160"/>
      <c r="C58" s="161"/>
      <c r="D58" s="41"/>
      <c r="E58" s="95"/>
      <c r="F58" s="41"/>
      <c r="G58" s="162"/>
      <c r="K58" s="133"/>
      <c r="L58" s="134"/>
      <c r="M58" s="128"/>
      <c r="N58" s="135">
        <v>3237959</v>
      </c>
      <c r="O58" s="136">
        <v>50000</v>
      </c>
      <c r="P58" s="137">
        <v>42365</v>
      </c>
    </row>
    <row r="59" spans="1:17" thickBot="1" x14ac:dyDescent="0.3">
      <c r="A59" s="163"/>
      <c r="B59" s="160"/>
      <c r="C59" s="161"/>
      <c r="D59" s="41"/>
      <c r="E59" s="95"/>
      <c r="F59" s="41"/>
      <c r="G59" s="162"/>
      <c r="K59" s="138"/>
      <c r="L59" s="138"/>
      <c r="M59" s="138"/>
      <c r="N59" s="139"/>
      <c r="O59" s="140">
        <v>0</v>
      </c>
      <c r="P59" s="141"/>
    </row>
    <row r="60" spans="1:17" ht="19.5" thickTop="1" x14ac:dyDescent="0.3">
      <c r="A60" s="163"/>
      <c r="B60" s="160"/>
      <c r="C60" s="161"/>
      <c r="D60" s="41"/>
      <c r="E60" s="95"/>
      <c r="F60" s="41"/>
      <c r="G60" s="162"/>
      <c r="K60" s="67"/>
      <c r="L60" s="142">
        <f>SUM(L38:L59)</f>
        <v>1090422.5</v>
      </c>
      <c r="M60" s="143"/>
      <c r="N60" s="143"/>
      <c r="O60" s="143">
        <f>SUM(O38:O59)</f>
        <v>1090422.5</v>
      </c>
      <c r="P60" s="144"/>
    </row>
    <row r="61" spans="1:17" ht="15" x14ac:dyDescent="0.25">
      <c r="A61" s="163"/>
      <c r="B61" s="160"/>
      <c r="C61" s="161"/>
      <c r="D61" s="41"/>
      <c r="E61" s="95"/>
      <c r="F61" s="41"/>
      <c r="G61" s="162"/>
    </row>
    <row r="62" spans="1:17" ht="15" x14ac:dyDescent="0.25">
      <c r="A62" s="163"/>
      <c r="B62" s="160"/>
      <c r="C62" s="161"/>
      <c r="D62" s="41"/>
      <c r="E62" s="95"/>
      <c r="F62" s="41"/>
      <c r="G62" s="162"/>
    </row>
    <row r="63" spans="1:17" ht="15" x14ac:dyDescent="0.25">
      <c r="A63" s="147"/>
      <c r="B63" s="160"/>
      <c r="C63" s="161"/>
      <c r="D63" s="41"/>
      <c r="E63" s="95"/>
      <c r="F63" s="41"/>
      <c r="G63" s="162"/>
    </row>
    <row r="64" spans="1:17" thickBot="1" x14ac:dyDescent="0.3">
      <c r="A64" s="147"/>
      <c r="B64" s="160"/>
      <c r="C64" s="161"/>
      <c r="D64" s="41"/>
      <c r="E64" s="95"/>
      <c r="F64" s="41"/>
      <c r="G64" s="162"/>
    </row>
    <row r="65" spans="1:16" ht="19.5" thickBot="1" x14ac:dyDescent="0.35">
      <c r="A65" s="147"/>
      <c r="B65" s="160"/>
      <c r="C65" s="161"/>
      <c r="D65" s="41"/>
      <c r="E65" s="95"/>
      <c r="F65" s="164"/>
      <c r="G65" s="162"/>
      <c r="K65" s="268">
        <v>1</v>
      </c>
      <c r="L65" s="86" t="s">
        <v>28</v>
      </c>
      <c r="M65" s="86"/>
      <c r="N65" s="110"/>
      <c r="O65" s="148">
        <v>42396</v>
      </c>
      <c r="P65" s="112"/>
    </row>
    <row r="66" spans="1:16" ht="16.5" thickBot="1" x14ac:dyDescent="0.3">
      <c r="A66" s="147"/>
      <c r="B66" s="160"/>
      <c r="C66" s="161"/>
      <c r="D66" s="41"/>
      <c r="E66" s="102"/>
      <c r="F66" s="164"/>
      <c r="G66" s="162"/>
      <c r="K66" s="269"/>
      <c r="L66" s="113"/>
      <c r="M66" s="113"/>
      <c r="N66" s="114"/>
      <c r="O66" s="115"/>
      <c r="P66" s="112"/>
    </row>
    <row r="67" spans="1:16" ht="16.5" thickBot="1" x14ac:dyDescent="0.3">
      <c r="A67" s="147"/>
      <c r="B67" s="160"/>
      <c r="C67" s="161"/>
      <c r="D67" s="41"/>
      <c r="E67" s="102"/>
      <c r="F67" s="164"/>
      <c r="G67" s="162"/>
      <c r="K67" s="116" t="s">
        <v>23</v>
      </c>
      <c r="L67" s="116" t="s">
        <v>24</v>
      </c>
      <c r="M67" s="116"/>
      <c r="N67" s="117" t="s">
        <v>29</v>
      </c>
      <c r="O67" s="118" t="s">
        <v>30</v>
      </c>
      <c r="P67" s="119"/>
    </row>
    <row r="68" spans="1:16" ht="19.5" customHeight="1" thickTop="1" x14ac:dyDescent="0.25">
      <c r="A68" s="67"/>
      <c r="B68" s="160"/>
      <c r="C68" s="161"/>
      <c r="D68" s="41"/>
      <c r="E68" s="103"/>
      <c r="F68" s="41"/>
      <c r="G68" s="162"/>
      <c r="K68" s="93" t="s">
        <v>40</v>
      </c>
      <c r="L68" s="94">
        <v>13082.189</v>
      </c>
      <c r="M68" s="120" t="s">
        <v>36</v>
      </c>
      <c r="N68" s="121">
        <v>3237960</v>
      </c>
      <c r="O68" s="122">
        <v>24915.5</v>
      </c>
      <c r="P68" s="123">
        <v>42364</v>
      </c>
    </row>
    <row r="69" spans="1:16" ht="16.5" customHeight="1" x14ac:dyDescent="0.25">
      <c r="A69" s="67"/>
      <c r="B69" s="160"/>
      <c r="C69" s="161"/>
      <c r="D69" s="41"/>
      <c r="E69" s="103"/>
      <c r="F69" s="41"/>
      <c r="G69" s="162"/>
      <c r="K69" s="93" t="s">
        <v>44</v>
      </c>
      <c r="L69" s="94">
        <v>268326</v>
      </c>
      <c r="M69" s="124"/>
      <c r="N69" s="125">
        <v>3237958</v>
      </c>
      <c r="O69" s="126">
        <v>22295.5</v>
      </c>
      <c r="P69" s="127">
        <v>42365</v>
      </c>
    </row>
    <row r="70" spans="1:16" x14ac:dyDescent="0.25">
      <c r="A70" s="67"/>
      <c r="B70" s="160"/>
      <c r="C70" s="161"/>
      <c r="D70" s="41"/>
      <c r="E70" s="103"/>
      <c r="F70" s="41"/>
      <c r="G70" s="162"/>
      <c r="K70" s="93" t="s">
        <v>45</v>
      </c>
      <c r="L70" s="94">
        <v>231464.75</v>
      </c>
      <c r="M70" s="124"/>
      <c r="N70" s="125">
        <v>3237956</v>
      </c>
      <c r="O70" s="126">
        <v>55000</v>
      </c>
      <c r="P70" s="127">
        <v>42366</v>
      </c>
    </row>
    <row r="71" spans="1:16" x14ac:dyDescent="0.25">
      <c r="A71" s="67"/>
      <c r="B71" s="160"/>
      <c r="C71" s="161"/>
      <c r="D71" s="41"/>
      <c r="E71" s="103"/>
      <c r="F71" s="41"/>
      <c r="G71" s="162"/>
      <c r="K71" s="93" t="s">
        <v>46</v>
      </c>
      <c r="L71" s="100">
        <v>105831.6</v>
      </c>
      <c r="M71" s="124"/>
      <c r="N71" s="125">
        <v>3237955</v>
      </c>
      <c r="O71" s="126">
        <v>23660</v>
      </c>
      <c r="P71" s="127">
        <v>42366</v>
      </c>
    </row>
    <row r="72" spans="1:16" x14ac:dyDescent="0.25">
      <c r="A72" s="67"/>
      <c r="B72" s="160"/>
      <c r="C72" s="161"/>
      <c r="D72" s="41"/>
      <c r="E72" s="103"/>
      <c r="F72" s="41"/>
      <c r="G72" s="162"/>
      <c r="K72" s="93" t="s">
        <v>47</v>
      </c>
      <c r="L72" s="94">
        <v>30131</v>
      </c>
      <c r="M72" s="124"/>
      <c r="N72" s="125">
        <v>3237954</v>
      </c>
      <c r="O72" s="126">
        <v>75000</v>
      </c>
      <c r="P72" s="127">
        <v>42367</v>
      </c>
    </row>
    <row r="73" spans="1:16" x14ac:dyDescent="0.25">
      <c r="A73" s="67"/>
      <c r="B73" s="160"/>
      <c r="C73" s="161"/>
      <c r="D73" s="41"/>
      <c r="E73" s="103"/>
      <c r="F73" s="41"/>
      <c r="G73" s="162"/>
      <c r="K73" s="93" t="s">
        <v>62</v>
      </c>
      <c r="L73" s="94">
        <v>341765</v>
      </c>
      <c r="M73" s="128"/>
      <c r="N73" s="125">
        <v>3237953</v>
      </c>
      <c r="O73" s="126">
        <v>29929</v>
      </c>
      <c r="P73" s="127">
        <v>42367</v>
      </c>
    </row>
    <row r="74" spans="1:16" x14ac:dyDescent="0.25">
      <c r="A74" s="67"/>
      <c r="B74" s="160"/>
      <c r="C74" s="161"/>
      <c r="D74" s="41"/>
      <c r="E74" s="103"/>
      <c r="F74" s="41"/>
      <c r="G74" s="162"/>
      <c r="K74" s="93" t="s">
        <v>61</v>
      </c>
      <c r="L74" s="94">
        <v>196047.96</v>
      </c>
      <c r="M74" s="129" t="s">
        <v>37</v>
      </c>
      <c r="N74" s="125">
        <v>3237952</v>
      </c>
      <c r="O74" s="126">
        <v>93000</v>
      </c>
      <c r="P74" s="127">
        <v>42368</v>
      </c>
    </row>
    <row r="75" spans="1:16" ht="15" x14ac:dyDescent="0.25">
      <c r="A75" s="67"/>
      <c r="B75" s="160"/>
      <c r="C75" s="161"/>
      <c r="D75" s="41"/>
      <c r="E75" s="103"/>
      <c r="F75" s="41"/>
      <c r="G75" s="162"/>
      <c r="K75" s="93"/>
      <c r="L75" s="94"/>
      <c r="M75" s="124"/>
      <c r="N75" s="130">
        <v>3237951</v>
      </c>
      <c r="O75" s="131">
        <v>80000</v>
      </c>
      <c r="P75" s="127">
        <v>42368</v>
      </c>
    </row>
    <row r="76" spans="1:16" ht="15" x14ac:dyDescent="0.25">
      <c r="A76" s="67"/>
      <c r="B76" s="147"/>
      <c r="C76" s="147"/>
      <c r="D76" s="41"/>
      <c r="E76" s="147"/>
      <c r="F76" s="165"/>
      <c r="G76" s="162"/>
      <c r="K76" s="93"/>
      <c r="L76" s="94"/>
      <c r="M76" s="124"/>
      <c r="N76" s="130">
        <v>3237980</v>
      </c>
      <c r="O76" s="131">
        <v>20000</v>
      </c>
      <c r="P76" s="127">
        <v>42368</v>
      </c>
    </row>
    <row r="77" spans="1:16" x14ac:dyDescent="0.25">
      <c r="A77" s="67"/>
      <c r="B77" s="67"/>
      <c r="C77" s="67"/>
      <c r="D77" s="166"/>
      <c r="E77" s="166"/>
      <c r="F77" s="167"/>
      <c r="G77" s="167"/>
      <c r="K77" s="93"/>
      <c r="L77" s="132"/>
      <c r="M77" s="124"/>
      <c r="N77" s="130">
        <v>3237979</v>
      </c>
      <c r="O77" s="131">
        <v>25126</v>
      </c>
      <c r="P77" s="127">
        <v>42368</v>
      </c>
    </row>
    <row r="78" spans="1:16" x14ac:dyDescent="0.25">
      <c r="A78" s="67"/>
      <c r="B78" s="168"/>
      <c r="C78" s="169"/>
      <c r="D78" s="67"/>
      <c r="E78" s="170"/>
      <c r="F78" s="165"/>
      <c r="G78" s="147"/>
      <c r="K78" s="133"/>
      <c r="L78" s="134"/>
      <c r="M78" s="128"/>
      <c r="N78" s="135">
        <v>3237978</v>
      </c>
      <c r="O78" s="136">
        <v>67500</v>
      </c>
      <c r="P78" s="137">
        <v>42369</v>
      </c>
    </row>
    <row r="79" spans="1:16" x14ac:dyDescent="0.25">
      <c r="K79" s="133"/>
      <c r="L79" s="134"/>
      <c r="M79" s="128"/>
      <c r="N79" s="135">
        <v>3237977</v>
      </c>
      <c r="O79" s="136">
        <v>29741.5</v>
      </c>
      <c r="P79" s="137">
        <v>42369</v>
      </c>
    </row>
    <row r="80" spans="1:16" x14ac:dyDescent="0.25">
      <c r="K80" s="133"/>
      <c r="L80" s="134"/>
      <c r="M80" s="128"/>
      <c r="N80" s="135">
        <v>3237976</v>
      </c>
      <c r="O80" s="136">
        <v>70000</v>
      </c>
      <c r="P80" s="137">
        <v>42371</v>
      </c>
    </row>
    <row r="81" spans="11:17" customFormat="1" ht="15" x14ac:dyDescent="0.25">
      <c r="K81" s="133"/>
      <c r="L81" s="134"/>
      <c r="M81" s="128"/>
      <c r="N81" s="135">
        <v>3237975</v>
      </c>
      <c r="O81" s="136">
        <v>17025.5</v>
      </c>
      <c r="P81" s="137">
        <v>42371</v>
      </c>
    </row>
    <row r="82" spans="11:17" customFormat="1" ht="15" x14ac:dyDescent="0.25">
      <c r="K82" s="133"/>
      <c r="L82" s="134"/>
      <c r="M82" s="128"/>
      <c r="N82" s="135">
        <v>3237974</v>
      </c>
      <c r="O82" s="136">
        <v>15000</v>
      </c>
      <c r="P82" s="137">
        <v>42372</v>
      </c>
    </row>
    <row r="83" spans="11:17" customFormat="1" ht="15" x14ac:dyDescent="0.25">
      <c r="K83" s="133"/>
      <c r="L83" s="134"/>
      <c r="M83" s="128"/>
      <c r="N83" s="135" t="s">
        <v>31</v>
      </c>
      <c r="O83" s="136">
        <v>34039</v>
      </c>
      <c r="P83" s="137">
        <v>42366</v>
      </c>
      <c r="Q83" s="159">
        <v>42372</v>
      </c>
    </row>
    <row r="84" spans="11:17" customFormat="1" ht="15" x14ac:dyDescent="0.25">
      <c r="K84" s="133"/>
      <c r="L84" s="134"/>
      <c r="M84" s="128"/>
      <c r="N84" s="135" t="s">
        <v>31</v>
      </c>
      <c r="O84" s="136">
        <v>8234</v>
      </c>
      <c r="P84" s="137">
        <v>42367</v>
      </c>
      <c r="Q84" s="159">
        <v>42372</v>
      </c>
    </row>
    <row r="85" spans="11:17" customFormat="1" ht="15" x14ac:dyDescent="0.25">
      <c r="K85" s="133"/>
      <c r="L85" s="134"/>
      <c r="M85" s="128"/>
      <c r="N85" s="135" t="s">
        <v>31</v>
      </c>
      <c r="O85" s="136">
        <v>5672</v>
      </c>
      <c r="P85" s="137">
        <v>42367</v>
      </c>
      <c r="Q85" s="159">
        <v>42372</v>
      </c>
    </row>
    <row r="86" spans="11:17" customFormat="1" ht="15" x14ac:dyDescent="0.25">
      <c r="K86" s="133"/>
      <c r="L86" s="134"/>
      <c r="M86" s="128"/>
      <c r="N86" s="135">
        <v>3237973</v>
      </c>
      <c r="O86" s="136">
        <v>24057</v>
      </c>
      <c r="P86" s="137">
        <v>42372</v>
      </c>
    </row>
    <row r="87" spans="11:17" customFormat="1" ht="15" x14ac:dyDescent="0.25">
      <c r="K87" s="133"/>
      <c r="L87" s="134"/>
      <c r="M87" s="128"/>
      <c r="N87" s="135" t="s">
        <v>31</v>
      </c>
      <c r="O87" s="136">
        <v>99325</v>
      </c>
      <c r="P87" s="137">
        <v>42375</v>
      </c>
      <c r="Q87" s="159">
        <v>42373</v>
      </c>
    </row>
    <row r="88" spans="11:17" customFormat="1" ht="15" x14ac:dyDescent="0.25">
      <c r="K88" s="133"/>
      <c r="L88" s="134"/>
      <c r="M88" s="128"/>
      <c r="N88" s="135" t="s">
        <v>31</v>
      </c>
      <c r="O88" s="136">
        <v>17240</v>
      </c>
      <c r="P88" s="137">
        <v>42374</v>
      </c>
      <c r="Q88" s="159">
        <v>42373</v>
      </c>
    </row>
    <row r="89" spans="11:17" customFormat="1" ht="15" x14ac:dyDescent="0.25">
      <c r="K89" s="133"/>
      <c r="L89" s="134"/>
      <c r="M89" s="128"/>
      <c r="N89" s="135" t="s">
        <v>31</v>
      </c>
      <c r="O89" s="136">
        <v>18792</v>
      </c>
      <c r="P89" s="137">
        <v>42374</v>
      </c>
      <c r="Q89" s="159">
        <v>42373</v>
      </c>
    </row>
    <row r="90" spans="11:17" customFormat="1" ht="15" x14ac:dyDescent="0.25">
      <c r="K90" s="133"/>
      <c r="L90" s="134"/>
      <c r="M90" s="128"/>
      <c r="N90" s="135">
        <v>3237990</v>
      </c>
      <c r="O90" s="136">
        <v>60000</v>
      </c>
      <c r="P90" s="137">
        <v>42373</v>
      </c>
      <c r="Q90" s="159"/>
    </row>
    <row r="91" spans="11:17" customFormat="1" ht="15" x14ac:dyDescent="0.25">
      <c r="K91" s="133"/>
      <c r="L91" s="134"/>
      <c r="M91" s="128"/>
      <c r="N91" s="135">
        <v>3237989</v>
      </c>
      <c r="O91" s="136">
        <v>19822.5</v>
      </c>
      <c r="P91" s="137">
        <v>42373</v>
      </c>
      <c r="Q91" s="159"/>
    </row>
    <row r="92" spans="11:17" customFormat="1" ht="15" x14ac:dyDescent="0.25">
      <c r="K92" s="133"/>
      <c r="L92" s="134"/>
      <c r="M92" s="128"/>
      <c r="N92" s="135" t="s">
        <v>31</v>
      </c>
      <c r="O92" s="136">
        <v>10027</v>
      </c>
      <c r="P92" s="137">
        <v>42377</v>
      </c>
      <c r="Q92" s="159">
        <v>42374</v>
      </c>
    </row>
    <row r="93" spans="11:17" customFormat="1" ht="15" x14ac:dyDescent="0.25">
      <c r="K93" s="133"/>
      <c r="L93" s="134"/>
      <c r="M93" s="128"/>
      <c r="N93" s="135">
        <v>3237971</v>
      </c>
      <c r="O93" s="136">
        <v>49600</v>
      </c>
      <c r="P93" s="137">
        <v>42374</v>
      </c>
    </row>
    <row r="94" spans="11:17" customFormat="1" ht="15" x14ac:dyDescent="0.25">
      <c r="K94" s="133"/>
      <c r="L94" s="134"/>
      <c r="M94" s="128"/>
      <c r="N94" s="135">
        <v>3237972</v>
      </c>
      <c r="O94" s="136">
        <v>35274</v>
      </c>
      <c r="P94" s="137">
        <v>42374</v>
      </c>
    </row>
    <row r="95" spans="11:17" customFormat="1" ht="15" x14ac:dyDescent="0.25">
      <c r="K95" s="133"/>
      <c r="L95" s="134"/>
      <c r="M95" s="128"/>
      <c r="N95" s="135" t="s">
        <v>31</v>
      </c>
      <c r="O95" s="136">
        <v>3705</v>
      </c>
      <c r="P95" s="137">
        <v>42374</v>
      </c>
    </row>
    <row r="96" spans="11:17" customFormat="1" ht="15" x14ac:dyDescent="0.25">
      <c r="K96" s="133"/>
      <c r="L96" s="134"/>
      <c r="M96" s="128"/>
      <c r="N96" s="135" t="s">
        <v>31</v>
      </c>
      <c r="O96" s="136">
        <v>32200</v>
      </c>
      <c r="P96" s="137">
        <v>42374</v>
      </c>
    </row>
    <row r="97" spans="2:16" x14ac:dyDescent="0.25">
      <c r="K97" s="133"/>
      <c r="L97" s="134"/>
      <c r="M97" s="128"/>
      <c r="N97" s="135" t="s">
        <v>31</v>
      </c>
      <c r="O97" s="136">
        <v>6268</v>
      </c>
      <c r="P97" s="137">
        <v>42374</v>
      </c>
    </row>
    <row r="98" spans="2:16" x14ac:dyDescent="0.25">
      <c r="K98" s="133"/>
      <c r="L98" s="134"/>
      <c r="M98" s="128"/>
      <c r="N98" s="135">
        <v>3237988</v>
      </c>
      <c r="O98" s="136">
        <v>18591.5</v>
      </c>
      <c r="P98" s="137">
        <v>42375</v>
      </c>
    </row>
    <row r="99" spans="2:16" x14ac:dyDescent="0.25">
      <c r="K99" s="133"/>
      <c r="L99" s="134"/>
      <c r="M99" s="128"/>
      <c r="N99" s="135">
        <v>3237987</v>
      </c>
      <c r="O99" s="136">
        <v>53608.5</v>
      </c>
      <c r="P99" s="137">
        <v>42376</v>
      </c>
    </row>
    <row r="100" spans="2:16" ht="16.5" thickBot="1" x14ac:dyDescent="0.3">
      <c r="K100" s="138"/>
      <c r="L100" s="138"/>
      <c r="M100" s="138"/>
      <c r="N100" s="139">
        <v>3237995</v>
      </c>
      <c r="O100" s="140">
        <v>42000</v>
      </c>
      <c r="P100" s="141">
        <v>42382</v>
      </c>
    </row>
    <row r="101" spans="2:16" ht="19.5" thickTop="1" x14ac:dyDescent="0.3">
      <c r="K101" s="67"/>
      <c r="L101" s="142">
        <f>SUM(L68:L100)</f>
        <v>1186648.4990000001</v>
      </c>
      <c r="M101" s="143"/>
      <c r="N101" s="143"/>
      <c r="O101" s="143">
        <f>SUM(O68:O100)</f>
        <v>1186648.5</v>
      </c>
      <c r="P101" s="144"/>
    </row>
    <row r="109" spans="2:16" ht="15" x14ac:dyDescent="0.25">
      <c r="B109"/>
      <c r="C109"/>
      <c r="E109"/>
      <c r="F109" s="14"/>
    </row>
    <row r="110" spans="2:16" ht="19.5" customHeight="1" x14ac:dyDescent="0.25">
      <c r="B110"/>
      <c r="C110"/>
      <c r="E110"/>
      <c r="F110" s="14"/>
    </row>
    <row r="111" spans="2:16" ht="16.5" customHeight="1" x14ac:dyDescent="0.25">
      <c r="B111"/>
      <c r="C111"/>
      <c r="E111"/>
      <c r="F111" s="14"/>
    </row>
    <row r="112" spans="2:16" ht="15" x14ac:dyDescent="0.25">
      <c r="B112"/>
      <c r="C112"/>
      <c r="E112"/>
      <c r="F112" s="14"/>
    </row>
    <row r="113" spans="2:9" ht="15" x14ac:dyDescent="0.25">
      <c r="B113"/>
      <c r="C113"/>
      <c r="E113"/>
      <c r="F113" s="14"/>
    </row>
    <row r="114" spans="2:9" ht="15" x14ac:dyDescent="0.25">
      <c r="B114"/>
      <c r="C114"/>
      <c r="E114"/>
      <c r="F114" s="14"/>
    </row>
    <row r="115" spans="2:9" ht="15" x14ac:dyDescent="0.25">
      <c r="B115"/>
      <c r="C115"/>
      <c r="E115"/>
      <c r="F115" s="14"/>
    </row>
    <row r="116" spans="2:9" ht="15" x14ac:dyDescent="0.25">
      <c r="B116"/>
      <c r="C116"/>
      <c r="E116"/>
      <c r="F116" s="14"/>
    </row>
    <row r="117" spans="2:9" ht="15" x14ac:dyDescent="0.25">
      <c r="B117"/>
      <c r="C117"/>
      <c r="E117"/>
      <c r="F117" s="14"/>
    </row>
    <row r="118" spans="2:9" ht="15" x14ac:dyDescent="0.25">
      <c r="B118"/>
      <c r="C118"/>
      <c r="E118"/>
      <c r="F118" s="14"/>
    </row>
    <row r="119" spans="2:9" ht="15" x14ac:dyDescent="0.25">
      <c r="B119"/>
      <c r="C119"/>
      <c r="E119"/>
      <c r="F119" s="14"/>
      <c r="G119"/>
      <c r="H119"/>
      <c r="I119"/>
    </row>
    <row r="120" spans="2:9" ht="15" x14ac:dyDescent="0.25">
      <c r="B120"/>
      <c r="C120"/>
      <c r="E120"/>
      <c r="F120" s="14"/>
      <c r="G120"/>
      <c r="H120"/>
      <c r="I120"/>
    </row>
    <row r="121" spans="2:9" ht="15" x14ac:dyDescent="0.25">
      <c r="B121"/>
      <c r="C121"/>
      <c r="E121"/>
      <c r="F121" s="14"/>
      <c r="G121"/>
      <c r="H121"/>
      <c r="I121"/>
    </row>
    <row r="122" spans="2:9" ht="15" x14ac:dyDescent="0.25">
      <c r="B122"/>
      <c r="C122"/>
      <c r="E122"/>
      <c r="F122" s="14"/>
      <c r="G122"/>
      <c r="H122"/>
      <c r="I122"/>
    </row>
    <row r="123" spans="2:9" ht="15" x14ac:dyDescent="0.25">
      <c r="B123"/>
      <c r="C123"/>
      <c r="E123"/>
      <c r="F123" s="14"/>
      <c r="G123"/>
      <c r="H123"/>
      <c r="I123"/>
    </row>
    <row r="124" spans="2:9" ht="15" x14ac:dyDescent="0.25">
      <c r="B124"/>
      <c r="C124"/>
      <c r="E124"/>
      <c r="F124" s="14"/>
      <c r="G124"/>
      <c r="H124"/>
      <c r="I124"/>
    </row>
    <row r="125" spans="2:9" ht="15" x14ac:dyDescent="0.25">
      <c r="B125"/>
      <c r="C125"/>
      <c r="E125"/>
      <c r="F125" s="14"/>
      <c r="G125"/>
      <c r="H125"/>
      <c r="I125"/>
    </row>
    <row r="126" spans="2:9" ht="15" x14ac:dyDescent="0.25">
      <c r="B126"/>
      <c r="C126"/>
      <c r="E126"/>
      <c r="F126" s="14"/>
      <c r="G126"/>
      <c r="H126"/>
      <c r="I126"/>
    </row>
    <row r="127" spans="2:9" ht="15" x14ac:dyDescent="0.25">
      <c r="B127"/>
      <c r="C127"/>
      <c r="E127"/>
      <c r="F127" s="14"/>
      <c r="G127"/>
      <c r="H127"/>
      <c r="I127"/>
    </row>
    <row r="128" spans="2:9" ht="15" x14ac:dyDescent="0.25">
      <c r="B128"/>
      <c r="C128"/>
      <c r="E128"/>
      <c r="F128" s="14"/>
      <c r="G128"/>
      <c r="H128"/>
      <c r="I128"/>
    </row>
    <row r="129" spans="2:9" ht="15" x14ac:dyDescent="0.25">
      <c r="B129"/>
      <c r="C129"/>
      <c r="E129"/>
      <c r="F129" s="14"/>
      <c r="G129"/>
      <c r="H129"/>
      <c r="I129"/>
    </row>
    <row r="130" spans="2:9" ht="15" x14ac:dyDescent="0.25">
      <c r="B130"/>
      <c r="C130"/>
      <c r="E130"/>
      <c r="F130" s="14"/>
      <c r="G130"/>
      <c r="H130"/>
      <c r="I130"/>
    </row>
    <row r="131" spans="2:9" ht="15" x14ac:dyDescent="0.25">
      <c r="B131"/>
      <c r="C131"/>
      <c r="E131"/>
      <c r="F131" s="14"/>
      <c r="G131"/>
      <c r="H131"/>
      <c r="I131"/>
    </row>
    <row r="132" spans="2:9" ht="15" x14ac:dyDescent="0.25">
      <c r="B132"/>
      <c r="C132"/>
      <c r="E132"/>
      <c r="F132" s="14"/>
      <c r="G132"/>
      <c r="H132"/>
      <c r="I132"/>
    </row>
    <row r="133" spans="2:9" ht="15" x14ac:dyDescent="0.25">
      <c r="B133"/>
      <c r="C133"/>
      <c r="E133"/>
      <c r="F133" s="14"/>
      <c r="G133"/>
      <c r="H133"/>
      <c r="I133"/>
    </row>
    <row r="134" spans="2:9" ht="15" x14ac:dyDescent="0.25">
      <c r="B134"/>
      <c r="C134"/>
      <c r="E134"/>
      <c r="F134" s="14"/>
      <c r="G134"/>
      <c r="H134"/>
      <c r="I134"/>
    </row>
    <row r="135" spans="2:9" ht="15" x14ac:dyDescent="0.25">
      <c r="B135"/>
      <c r="C135"/>
      <c r="E135"/>
      <c r="F135" s="14"/>
      <c r="G135"/>
      <c r="H135"/>
      <c r="I135"/>
    </row>
    <row r="136" spans="2:9" ht="15" x14ac:dyDescent="0.25">
      <c r="B136"/>
      <c r="C136"/>
      <c r="E136"/>
      <c r="F136" s="14"/>
      <c r="G136"/>
      <c r="H136"/>
      <c r="I136"/>
    </row>
    <row r="137" spans="2:9" ht="15" x14ac:dyDescent="0.25">
      <c r="B137"/>
      <c r="C137"/>
      <c r="E137"/>
      <c r="F137" s="14"/>
      <c r="G137"/>
      <c r="H137"/>
      <c r="I137"/>
    </row>
    <row r="138" spans="2:9" ht="15" x14ac:dyDescent="0.25">
      <c r="B138"/>
      <c r="C138"/>
      <c r="E138"/>
      <c r="F138" s="14"/>
      <c r="G138"/>
      <c r="H138"/>
      <c r="I138"/>
    </row>
    <row r="139" spans="2:9" ht="15" x14ac:dyDescent="0.25">
      <c r="B139"/>
      <c r="C139"/>
      <c r="E139"/>
      <c r="F139" s="14"/>
      <c r="G139"/>
      <c r="H139"/>
      <c r="I139"/>
    </row>
    <row r="140" spans="2:9" ht="15" x14ac:dyDescent="0.25">
      <c r="B140"/>
      <c r="C140"/>
      <c r="E140"/>
      <c r="F140" s="14"/>
      <c r="G140"/>
      <c r="H140"/>
      <c r="I140"/>
    </row>
    <row r="141" spans="2:9" ht="15" x14ac:dyDescent="0.25">
      <c r="B141"/>
      <c r="C141"/>
      <c r="E141"/>
      <c r="F141" s="14"/>
      <c r="G141"/>
      <c r="H141"/>
      <c r="I141"/>
    </row>
  </sheetData>
  <mergeCells count="3">
    <mergeCell ref="K1:K2"/>
    <mergeCell ref="K35:K36"/>
    <mergeCell ref="K65:K6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1"/>
  <sheetViews>
    <sheetView topLeftCell="A19" workbookViewId="0">
      <selection activeCell="M32" sqref="M32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85546875" style="1" bestFit="1" customWidth="1"/>
    <col min="12" max="12" width="14.140625" style="2" bestFit="1" customWidth="1"/>
    <col min="13" max="13" width="11.42578125" style="3"/>
  </cols>
  <sheetData>
    <row r="1" spans="1:13" ht="24" customHeight="1" thickBot="1" x14ac:dyDescent="0.4">
      <c r="C1" s="259" t="s">
        <v>75</v>
      </c>
      <c r="D1" s="259"/>
      <c r="E1" s="259"/>
      <c r="F1" s="259"/>
      <c r="G1" s="259"/>
      <c r="H1" s="259"/>
      <c r="I1" s="259"/>
      <c r="J1" s="259"/>
    </row>
    <row r="2" spans="1:13" ht="19.5" customHeight="1" thickBot="1" x14ac:dyDescent="0.3">
      <c r="C2" s="4" t="s">
        <v>0</v>
      </c>
      <c r="E2" s="5"/>
      <c r="F2" s="5"/>
    </row>
    <row r="3" spans="1:13" ht="32.25" customHeight="1" thickTop="1" thickBot="1" x14ac:dyDescent="0.35">
      <c r="A3" s="6" t="s">
        <v>1</v>
      </c>
      <c r="B3" s="7"/>
      <c r="C3" s="8">
        <v>370048.27</v>
      </c>
      <c r="D3" s="9"/>
      <c r="E3" s="260" t="s">
        <v>2</v>
      </c>
      <c r="F3" s="261"/>
      <c r="I3" s="262" t="s">
        <v>3</v>
      </c>
      <c r="J3" s="263"/>
      <c r="K3" s="264"/>
      <c r="L3" s="10" t="s">
        <v>4</v>
      </c>
    </row>
    <row r="4" spans="1:13" ht="15.75" thickTop="1" x14ac:dyDescent="0.25">
      <c r="B4" s="11">
        <v>42401</v>
      </c>
      <c r="C4" s="12">
        <v>640</v>
      </c>
      <c r="D4" s="185" t="s">
        <v>81</v>
      </c>
      <c r="E4" s="186">
        <v>42401</v>
      </c>
      <c r="F4" s="13">
        <v>87203</v>
      </c>
      <c r="G4" s="14"/>
      <c r="H4" s="187">
        <v>42401</v>
      </c>
      <c r="I4" s="15">
        <v>0</v>
      </c>
      <c r="J4" s="16"/>
      <c r="K4" s="17"/>
      <c r="L4" s="18">
        <f>38633+40301+7629</f>
        <v>86563</v>
      </c>
      <c r="M4" s="33"/>
    </row>
    <row r="5" spans="1:13" x14ac:dyDescent="0.25">
      <c r="B5" s="11">
        <v>42402</v>
      </c>
      <c r="C5" s="12">
        <v>0</v>
      </c>
      <c r="D5" s="19"/>
      <c r="E5" s="20">
        <v>42402</v>
      </c>
      <c r="F5" s="13">
        <v>69903.5</v>
      </c>
      <c r="G5" s="21"/>
      <c r="H5" s="22">
        <v>42402</v>
      </c>
      <c r="I5" s="15">
        <v>0</v>
      </c>
      <c r="J5" s="23" t="s">
        <v>5</v>
      </c>
      <c r="K5" s="24">
        <v>0</v>
      </c>
      <c r="L5" s="18">
        <f>41000+28904.5</f>
        <v>69904.5</v>
      </c>
    </row>
    <row r="6" spans="1:13" x14ac:dyDescent="0.25">
      <c r="B6" s="11">
        <v>42403</v>
      </c>
      <c r="C6" s="12">
        <v>2250</v>
      </c>
      <c r="D6" s="19" t="s">
        <v>49</v>
      </c>
      <c r="E6" s="20">
        <v>42403</v>
      </c>
      <c r="F6" s="13">
        <v>34113.5</v>
      </c>
      <c r="G6" s="14"/>
      <c r="H6" s="22">
        <v>42403</v>
      </c>
      <c r="I6" s="15">
        <v>0</v>
      </c>
      <c r="J6" s="25" t="s">
        <v>6</v>
      </c>
      <c r="K6" s="24">
        <v>10000</v>
      </c>
      <c r="L6" s="18">
        <v>33139</v>
      </c>
    </row>
    <row r="7" spans="1:13" x14ac:dyDescent="0.25">
      <c r="B7" s="11">
        <v>42404</v>
      </c>
      <c r="C7" s="12">
        <v>7961</v>
      </c>
      <c r="D7" s="26" t="s">
        <v>49</v>
      </c>
      <c r="E7" s="20">
        <v>42404</v>
      </c>
      <c r="F7" s="13">
        <v>60986</v>
      </c>
      <c r="G7" s="14"/>
      <c r="H7" s="22">
        <v>42404</v>
      </c>
      <c r="I7" s="15">
        <v>65</v>
      </c>
      <c r="J7" s="23" t="s">
        <v>7</v>
      </c>
      <c r="K7" s="24">
        <f>7187.5+7187.5+7187.5+7187.5</f>
        <v>28750</v>
      </c>
      <c r="L7" s="18">
        <v>52960</v>
      </c>
    </row>
    <row r="8" spans="1:13" x14ac:dyDescent="0.25">
      <c r="B8" s="11">
        <v>42405</v>
      </c>
      <c r="C8" s="12">
        <v>0</v>
      </c>
      <c r="D8" s="26"/>
      <c r="E8" s="20">
        <v>42405</v>
      </c>
      <c r="F8" s="13">
        <v>47496</v>
      </c>
      <c r="G8" s="14"/>
      <c r="H8" s="22">
        <v>42405</v>
      </c>
      <c r="I8" s="15">
        <v>0</v>
      </c>
      <c r="J8" s="23" t="s">
        <v>76</v>
      </c>
      <c r="K8" s="13">
        <v>9476.19</v>
      </c>
      <c r="L8" s="18">
        <f>30000+35810</f>
        <v>65810</v>
      </c>
    </row>
    <row r="9" spans="1:13" x14ac:dyDescent="0.25">
      <c r="B9" s="11">
        <v>42406</v>
      </c>
      <c r="C9" s="12">
        <v>7687</v>
      </c>
      <c r="D9" s="26" t="s">
        <v>82</v>
      </c>
      <c r="E9" s="20">
        <v>42406</v>
      </c>
      <c r="F9" s="13">
        <v>130008</v>
      </c>
      <c r="G9" s="14"/>
      <c r="H9" s="22">
        <v>42406</v>
      </c>
      <c r="I9" s="15">
        <v>0</v>
      </c>
      <c r="J9" s="23" t="s">
        <v>77</v>
      </c>
      <c r="K9" s="13">
        <v>8609.7199999999993</v>
      </c>
      <c r="L9" s="18">
        <f>9440+60016+30890+31415</f>
        <v>131761</v>
      </c>
      <c r="M9" s="33"/>
    </row>
    <row r="10" spans="1:13" x14ac:dyDescent="0.25">
      <c r="A10" s="27"/>
      <c r="B10" s="11">
        <v>42407</v>
      </c>
      <c r="C10" s="12">
        <v>0</v>
      </c>
      <c r="D10" s="26"/>
      <c r="E10" s="20">
        <v>42407</v>
      </c>
      <c r="F10" s="13">
        <v>95917</v>
      </c>
      <c r="G10" s="14"/>
      <c r="H10" s="22">
        <v>42407</v>
      </c>
      <c r="I10" s="15">
        <v>0</v>
      </c>
      <c r="J10" s="23" t="s">
        <v>78</v>
      </c>
      <c r="K10" s="13">
        <f>4036.27+2000</f>
        <v>6036.27</v>
      </c>
      <c r="L10" s="18">
        <f>100+50000+45817</f>
        <v>95917</v>
      </c>
    </row>
    <row r="11" spans="1:13" x14ac:dyDescent="0.25">
      <c r="B11" s="11">
        <v>42408</v>
      </c>
      <c r="C11" s="12">
        <v>0</v>
      </c>
      <c r="D11" s="26"/>
      <c r="E11" s="20">
        <v>42408</v>
      </c>
      <c r="F11" s="13">
        <v>85508</v>
      </c>
      <c r="G11" s="14"/>
      <c r="H11" s="22">
        <v>42408</v>
      </c>
      <c r="I11" s="15">
        <v>0</v>
      </c>
      <c r="J11" s="23" t="s">
        <v>79</v>
      </c>
      <c r="K11" s="13">
        <v>5579.12</v>
      </c>
      <c r="L11" s="18">
        <f>36500+49008.5</f>
        <v>85508.5</v>
      </c>
    </row>
    <row r="12" spans="1:13" x14ac:dyDescent="0.25">
      <c r="A12" s="28"/>
      <c r="B12" s="11">
        <v>42409</v>
      </c>
      <c r="C12" s="12">
        <v>13914</v>
      </c>
      <c r="D12" s="26" t="s">
        <v>82</v>
      </c>
      <c r="E12" s="20">
        <v>42409</v>
      </c>
      <c r="F12" s="13">
        <v>82039</v>
      </c>
      <c r="G12" s="14"/>
      <c r="H12" s="22">
        <v>42409</v>
      </c>
      <c r="I12" s="15">
        <v>0</v>
      </c>
      <c r="J12" s="23" t="s">
        <v>114</v>
      </c>
      <c r="K12" s="13">
        <v>0</v>
      </c>
      <c r="L12" s="18">
        <v>58125</v>
      </c>
    </row>
    <row r="13" spans="1:13" x14ac:dyDescent="0.25">
      <c r="A13" s="28"/>
      <c r="B13" s="11">
        <v>42410</v>
      </c>
      <c r="C13" s="12">
        <v>2625</v>
      </c>
      <c r="D13" s="29" t="s">
        <v>49</v>
      </c>
      <c r="E13" s="20">
        <v>42410</v>
      </c>
      <c r="F13" s="13">
        <v>81699</v>
      </c>
      <c r="G13" s="14"/>
      <c r="H13" s="22">
        <v>42410</v>
      </c>
      <c r="I13" s="15">
        <v>0</v>
      </c>
      <c r="J13" s="30" t="s">
        <v>8</v>
      </c>
      <c r="K13" s="13">
        <v>800</v>
      </c>
      <c r="L13" s="18">
        <v>78274</v>
      </c>
    </row>
    <row r="14" spans="1:13" x14ac:dyDescent="0.25">
      <c r="B14" s="11">
        <v>42411</v>
      </c>
      <c r="C14" s="12">
        <v>0</v>
      </c>
      <c r="D14" s="19"/>
      <c r="E14" s="20">
        <v>42411</v>
      </c>
      <c r="F14" s="13">
        <v>88842</v>
      </c>
      <c r="G14" s="14"/>
      <c r="H14" s="22">
        <v>42411</v>
      </c>
      <c r="I14" s="15">
        <v>0</v>
      </c>
      <c r="J14" s="31">
        <v>42410</v>
      </c>
      <c r="K14" s="13">
        <v>0</v>
      </c>
      <c r="L14" s="18">
        <f>45342+43500</f>
        <v>88842</v>
      </c>
    </row>
    <row r="15" spans="1:13" x14ac:dyDescent="0.25">
      <c r="A15" s="28"/>
      <c r="B15" s="11">
        <v>42412</v>
      </c>
      <c r="C15" s="12">
        <v>0</v>
      </c>
      <c r="D15" s="19"/>
      <c r="E15" s="20">
        <v>42412</v>
      </c>
      <c r="F15" s="13">
        <v>243230.7</v>
      </c>
      <c r="G15" s="14"/>
      <c r="H15" s="22">
        <v>42412</v>
      </c>
      <c r="I15" s="15">
        <v>0</v>
      </c>
      <c r="J15" s="32" t="s">
        <v>9</v>
      </c>
      <c r="K15" s="13">
        <v>0</v>
      </c>
      <c r="L15" s="18">
        <f>11909+36000+67000+72000+56322</f>
        <v>243231</v>
      </c>
    </row>
    <row r="16" spans="1:13" x14ac:dyDescent="0.25">
      <c r="A16" s="28"/>
      <c r="B16" s="11">
        <v>42413</v>
      </c>
      <c r="C16" s="12">
        <v>5584</v>
      </c>
      <c r="D16" s="19" t="s">
        <v>82</v>
      </c>
      <c r="E16" s="20">
        <v>42413</v>
      </c>
      <c r="F16" s="13">
        <v>72269.5</v>
      </c>
      <c r="G16" s="14"/>
      <c r="H16" s="22">
        <v>42413</v>
      </c>
      <c r="I16" s="15">
        <v>60</v>
      </c>
      <c r="J16" s="34"/>
      <c r="K16" s="13">
        <v>0</v>
      </c>
      <c r="L16" s="18">
        <f>35000+31625.5</f>
        <v>66625.5</v>
      </c>
    </row>
    <row r="17" spans="1:13" x14ac:dyDescent="0.25">
      <c r="A17" s="28"/>
      <c r="B17" s="11">
        <v>42414</v>
      </c>
      <c r="C17" s="12">
        <v>0</v>
      </c>
      <c r="D17" s="19"/>
      <c r="E17" s="20">
        <v>42414</v>
      </c>
      <c r="F17" s="13">
        <v>60987.45</v>
      </c>
      <c r="G17" s="14"/>
      <c r="H17" s="22">
        <v>42414</v>
      </c>
      <c r="I17" s="15">
        <v>0</v>
      </c>
      <c r="J17" s="35" t="s">
        <v>10</v>
      </c>
      <c r="K17" s="13">
        <v>0</v>
      </c>
      <c r="L17" s="18">
        <f>27000+33987.5</f>
        <v>60987.5</v>
      </c>
    </row>
    <row r="18" spans="1:13" x14ac:dyDescent="0.25">
      <c r="B18" s="11">
        <v>42415</v>
      </c>
      <c r="C18" s="12">
        <v>0</v>
      </c>
      <c r="D18" s="19"/>
      <c r="E18" s="20">
        <v>42415</v>
      </c>
      <c r="F18" s="13">
        <v>184846.17</v>
      </c>
      <c r="G18" s="14"/>
      <c r="H18" s="22">
        <v>42415</v>
      </c>
      <c r="I18" s="15">
        <v>0</v>
      </c>
      <c r="J18" s="36"/>
      <c r="K18" s="24">
        <v>0</v>
      </c>
      <c r="L18" s="18">
        <f>57849.75+14481+4783+11736+6576+13727+50000+25693.5</f>
        <v>184846.25</v>
      </c>
    </row>
    <row r="19" spans="1:13" x14ac:dyDescent="0.25">
      <c r="A19" s="28"/>
      <c r="B19" s="11">
        <v>42416</v>
      </c>
      <c r="C19" s="12">
        <v>0</v>
      </c>
      <c r="D19" s="19"/>
      <c r="E19" s="20">
        <v>42416</v>
      </c>
      <c r="F19" s="13">
        <v>29895.15</v>
      </c>
      <c r="G19" s="14"/>
      <c r="H19" s="22">
        <v>42416</v>
      </c>
      <c r="I19" s="15">
        <v>0</v>
      </c>
      <c r="J19" s="37"/>
      <c r="K19" s="13">
        <v>0</v>
      </c>
      <c r="L19" s="18">
        <f>22000+7895</f>
        <v>29895</v>
      </c>
    </row>
    <row r="20" spans="1:13" ht="15.75" customHeight="1" x14ac:dyDescent="0.25">
      <c r="B20" s="11">
        <v>42417</v>
      </c>
      <c r="C20" s="12">
        <v>624</v>
      </c>
      <c r="D20" s="19" t="s">
        <v>68</v>
      </c>
      <c r="E20" s="20">
        <v>42417</v>
      </c>
      <c r="F20" s="13">
        <v>56653</v>
      </c>
      <c r="G20" s="14"/>
      <c r="H20" s="22">
        <v>42417</v>
      </c>
      <c r="I20" s="38">
        <v>0</v>
      </c>
      <c r="J20" s="265"/>
      <c r="K20" s="39">
        <v>0</v>
      </c>
      <c r="L20" s="18">
        <f>5611+17500+38529</f>
        <v>61640</v>
      </c>
    </row>
    <row r="21" spans="1:13" ht="18" customHeight="1" x14ac:dyDescent="0.25">
      <c r="B21" s="11">
        <v>42418</v>
      </c>
      <c r="C21" s="12">
        <v>0</v>
      </c>
      <c r="D21" s="40"/>
      <c r="E21" s="20">
        <v>42418</v>
      </c>
      <c r="F21" s="13">
        <v>85014.65</v>
      </c>
      <c r="G21" s="14"/>
      <c r="H21" s="22">
        <v>42418</v>
      </c>
      <c r="I21" s="38">
        <v>0</v>
      </c>
      <c r="J21" s="266"/>
      <c r="K21" s="24">
        <v>0</v>
      </c>
      <c r="L21" s="18">
        <f>58262.5+26751.5</f>
        <v>85014</v>
      </c>
    </row>
    <row r="22" spans="1:13" x14ac:dyDescent="0.25">
      <c r="B22" s="11">
        <v>42419</v>
      </c>
      <c r="C22" s="12">
        <v>1011</v>
      </c>
      <c r="D22" s="40" t="s">
        <v>103</v>
      </c>
      <c r="E22" s="20">
        <v>42419</v>
      </c>
      <c r="F22" s="13">
        <v>68263.199999999997</v>
      </c>
      <c r="G22" s="21"/>
      <c r="H22" s="22">
        <v>42419</v>
      </c>
      <c r="I22" s="15">
        <v>0</v>
      </c>
      <c r="J22" s="23"/>
      <c r="K22" s="24">
        <v>0</v>
      </c>
      <c r="L22" s="18">
        <f>17000+30000+20252</f>
        <v>67252</v>
      </c>
      <c r="M22" s="33"/>
    </row>
    <row r="23" spans="1:13" ht="19.5" customHeight="1" x14ac:dyDescent="0.25">
      <c r="A23" s="28"/>
      <c r="B23" s="11">
        <v>42420</v>
      </c>
      <c r="C23" s="12">
        <v>2512</v>
      </c>
      <c r="D23" s="40" t="s">
        <v>49</v>
      </c>
      <c r="E23" s="20">
        <v>42420</v>
      </c>
      <c r="F23" s="13">
        <v>80373.75</v>
      </c>
      <c r="G23" s="14"/>
      <c r="H23" s="22">
        <v>42420</v>
      </c>
      <c r="I23" s="15">
        <v>0</v>
      </c>
      <c r="J23" s="23" t="s">
        <v>104</v>
      </c>
      <c r="K23" s="13">
        <v>20000</v>
      </c>
      <c r="L23" s="18">
        <f>50000+27862</f>
        <v>77862</v>
      </c>
    </row>
    <row r="24" spans="1:13" ht="16.5" customHeight="1" x14ac:dyDescent="0.25">
      <c r="A24" s="28"/>
      <c r="B24" s="11">
        <v>42421</v>
      </c>
      <c r="C24" s="12">
        <v>0</v>
      </c>
      <c r="D24" s="40"/>
      <c r="E24" s="20">
        <v>42421</v>
      </c>
      <c r="F24" s="13">
        <v>34595.5</v>
      </c>
      <c r="G24" s="14"/>
      <c r="H24" s="22">
        <v>42421</v>
      </c>
      <c r="I24" s="15">
        <v>0</v>
      </c>
      <c r="J24" s="34"/>
      <c r="K24" s="24"/>
      <c r="L24" s="18">
        <v>34595.5</v>
      </c>
    </row>
    <row r="25" spans="1:13" x14ac:dyDescent="0.25">
      <c r="B25" s="11">
        <v>42422</v>
      </c>
      <c r="C25" s="12">
        <v>0</v>
      </c>
      <c r="D25" s="19"/>
      <c r="E25" s="20">
        <v>42422</v>
      </c>
      <c r="F25" s="13">
        <v>56031.7</v>
      </c>
      <c r="G25" s="14"/>
      <c r="H25" s="22">
        <v>42422</v>
      </c>
      <c r="I25" s="15">
        <v>0</v>
      </c>
      <c r="J25" s="23"/>
      <c r="K25" s="24"/>
      <c r="L25" s="18">
        <f>30000+26032</f>
        <v>56032</v>
      </c>
    </row>
    <row r="26" spans="1:13" x14ac:dyDescent="0.25">
      <c r="B26" s="11">
        <v>42423</v>
      </c>
      <c r="C26" s="12">
        <v>280</v>
      </c>
      <c r="D26" s="19" t="s">
        <v>68</v>
      </c>
      <c r="E26" s="20">
        <v>42423</v>
      </c>
      <c r="F26" s="13">
        <v>34989.5</v>
      </c>
      <c r="G26" s="14"/>
      <c r="H26" s="22">
        <v>42423</v>
      </c>
      <c r="I26" s="15">
        <v>0</v>
      </c>
      <c r="J26" s="23"/>
      <c r="K26" s="24"/>
      <c r="L26" s="18">
        <f>6052+7889+20768.5</f>
        <v>34709.5</v>
      </c>
      <c r="M26" s="33"/>
    </row>
    <row r="27" spans="1:13" x14ac:dyDescent="0.25">
      <c r="B27" s="11">
        <v>42424</v>
      </c>
      <c r="C27" s="12">
        <v>356.04</v>
      </c>
      <c r="D27" s="19" t="s">
        <v>58</v>
      </c>
      <c r="E27" s="20">
        <v>42424</v>
      </c>
      <c r="F27" s="13">
        <v>65675.42</v>
      </c>
      <c r="G27" s="14"/>
      <c r="H27" s="22">
        <v>42424</v>
      </c>
      <c r="I27" s="15">
        <v>348</v>
      </c>
      <c r="J27" s="23"/>
      <c r="K27" s="24"/>
      <c r="L27" s="18">
        <f>38378+26593.5</f>
        <v>64971.5</v>
      </c>
      <c r="M27" s="33"/>
    </row>
    <row r="28" spans="1:13" x14ac:dyDescent="0.25">
      <c r="B28" s="11">
        <v>42425</v>
      </c>
      <c r="C28" s="12">
        <v>0</v>
      </c>
      <c r="D28" s="19"/>
      <c r="E28" s="20">
        <v>42425</v>
      </c>
      <c r="F28" s="13">
        <v>58495.25</v>
      </c>
      <c r="G28" s="14"/>
      <c r="H28" s="22">
        <v>42425</v>
      </c>
      <c r="I28" s="15">
        <v>0</v>
      </c>
      <c r="J28" s="23"/>
      <c r="K28" s="24"/>
      <c r="L28" s="18">
        <f>30000+28495</f>
        <v>58495</v>
      </c>
    </row>
    <row r="29" spans="1:13" ht="19.5" customHeight="1" x14ac:dyDescent="0.25">
      <c r="B29" s="11">
        <v>42426</v>
      </c>
      <c r="C29" s="12">
        <v>789</v>
      </c>
      <c r="D29" s="19" t="s">
        <v>54</v>
      </c>
      <c r="E29" s="20">
        <v>42426</v>
      </c>
      <c r="F29" s="13">
        <v>48347.9</v>
      </c>
      <c r="G29" s="14"/>
      <c r="H29" s="22">
        <v>42426</v>
      </c>
      <c r="I29" s="15">
        <v>0</v>
      </c>
      <c r="J29" s="23"/>
      <c r="K29" s="24"/>
      <c r="L29" s="18">
        <v>47559</v>
      </c>
    </row>
    <row r="30" spans="1:13" ht="16.5" customHeight="1" x14ac:dyDescent="0.25">
      <c r="B30" s="11">
        <v>42427</v>
      </c>
      <c r="C30" s="12">
        <v>2287</v>
      </c>
      <c r="D30" s="19" t="s">
        <v>49</v>
      </c>
      <c r="E30" s="20">
        <v>42427</v>
      </c>
      <c r="F30" s="13">
        <v>64229</v>
      </c>
      <c r="G30" s="14"/>
      <c r="H30" s="22">
        <v>42427</v>
      </c>
      <c r="I30" s="15">
        <v>0</v>
      </c>
      <c r="J30" s="23"/>
      <c r="K30" s="24"/>
      <c r="L30" s="18">
        <f>27000+34942</f>
        <v>61942</v>
      </c>
    </row>
    <row r="31" spans="1:13" x14ac:dyDescent="0.25">
      <c r="B31" s="11">
        <v>42428</v>
      </c>
      <c r="C31" s="12">
        <v>0</v>
      </c>
      <c r="D31" s="19"/>
      <c r="E31" s="20">
        <v>42428</v>
      </c>
      <c r="F31" s="13">
        <v>53678</v>
      </c>
      <c r="G31" s="14"/>
      <c r="H31" s="22">
        <v>42428</v>
      </c>
      <c r="I31" s="15">
        <v>60</v>
      </c>
      <c r="J31" s="23"/>
      <c r="K31" s="24"/>
      <c r="L31" s="18">
        <v>53618</v>
      </c>
    </row>
    <row r="32" spans="1:13" x14ac:dyDescent="0.25">
      <c r="B32" s="11">
        <v>42429</v>
      </c>
      <c r="C32" s="12">
        <v>0</v>
      </c>
      <c r="D32" s="42"/>
      <c r="E32" s="20">
        <v>42429</v>
      </c>
      <c r="F32" s="13">
        <v>88590</v>
      </c>
      <c r="G32" s="14"/>
      <c r="H32" s="22">
        <v>42429</v>
      </c>
      <c r="I32" s="15">
        <v>0</v>
      </c>
      <c r="J32" s="23"/>
      <c r="K32" s="24"/>
      <c r="L32" s="18">
        <f>749+7255+452+5688+54446</f>
        <v>68590</v>
      </c>
      <c r="M32" s="33"/>
    </row>
    <row r="33" spans="1:12" x14ac:dyDescent="0.25">
      <c r="B33" s="11"/>
      <c r="C33" s="12"/>
      <c r="D33" s="19"/>
      <c r="E33" s="20"/>
      <c r="F33" s="13"/>
      <c r="G33" s="14"/>
      <c r="H33" s="22"/>
      <c r="I33" s="15"/>
      <c r="J33" s="23"/>
      <c r="K33" s="24"/>
      <c r="L33" s="18"/>
    </row>
    <row r="34" spans="1:12" ht="15.75" thickBot="1" x14ac:dyDescent="0.3">
      <c r="A34" s="28"/>
      <c r="B34" s="11"/>
      <c r="C34" s="12"/>
      <c r="D34" s="19"/>
      <c r="E34" s="20"/>
      <c r="F34" s="13"/>
      <c r="G34" s="14"/>
      <c r="H34" s="22"/>
      <c r="I34" s="15"/>
      <c r="J34" s="23"/>
      <c r="K34" s="24"/>
      <c r="L34" s="18"/>
    </row>
    <row r="35" spans="1:12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</row>
    <row r="36" spans="1:12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</row>
    <row r="37" spans="1:12" x14ac:dyDescent="0.25">
      <c r="B37" s="60" t="s">
        <v>11</v>
      </c>
      <c r="C37" s="61">
        <f>SUM(C4:C36)</f>
        <v>48520.04</v>
      </c>
      <c r="D37" s="46"/>
      <c r="E37" s="62" t="s">
        <v>11</v>
      </c>
      <c r="F37" s="63">
        <f>SUM(F4:F36)</f>
        <v>2249880.8399999994</v>
      </c>
      <c r="H37" s="1" t="s">
        <v>11</v>
      </c>
      <c r="I37" s="64">
        <f>SUM(I4:I36)</f>
        <v>533</v>
      </c>
      <c r="J37" s="64"/>
      <c r="K37" s="64">
        <f t="shared" ref="K37" si="0">SUM(K4:K36)</f>
        <v>89251.3</v>
      </c>
      <c r="L37" s="2">
        <f>SUM(L4:L36)</f>
        <v>2204669.75</v>
      </c>
    </row>
    <row r="38" spans="1:12" x14ac:dyDescent="0.25">
      <c r="A38" s="267"/>
      <c r="B38" s="267"/>
      <c r="C38" s="50"/>
      <c r="I38" s="64"/>
      <c r="K38" s="64"/>
    </row>
    <row r="39" spans="1:12" ht="15.75" customHeight="1" x14ac:dyDescent="0.25">
      <c r="A39" s="65"/>
      <c r="B39" s="66"/>
      <c r="C39" s="50"/>
      <c r="D39" s="67"/>
      <c r="E39" s="66"/>
      <c r="F39" s="66"/>
      <c r="H39" s="251" t="s">
        <v>12</v>
      </c>
      <c r="I39" s="252"/>
      <c r="J39" s="253">
        <f>I37+K37</f>
        <v>89784.3</v>
      </c>
      <c r="K39" s="254"/>
      <c r="L39" s="68"/>
    </row>
    <row r="40" spans="1:12" ht="15.75" customHeight="1" x14ac:dyDescent="0.25">
      <c r="A40" s="255"/>
      <c r="B40" s="255"/>
      <c r="C40" s="50"/>
      <c r="D40" s="256" t="s">
        <v>13</v>
      </c>
      <c r="E40" s="256"/>
      <c r="F40" s="69">
        <f>F37-J39-C37</f>
        <v>2111576.4999999995</v>
      </c>
      <c r="I40" s="70"/>
    </row>
    <row r="41" spans="1:12" x14ac:dyDescent="0.25">
      <c r="A41" s="67"/>
      <c r="B41" s="66"/>
      <c r="C41" s="50"/>
      <c r="D41" s="67"/>
      <c r="E41" s="66"/>
      <c r="F41" s="69">
        <v>0</v>
      </c>
    </row>
    <row r="42" spans="1:12" ht="15.75" thickBot="1" x14ac:dyDescent="0.3">
      <c r="E42" s="71" t="s">
        <v>14</v>
      </c>
      <c r="F42" s="50">
        <v>-2311866.91</v>
      </c>
      <c r="I42" s="72" t="s">
        <v>15</v>
      </c>
      <c r="J42" s="73"/>
      <c r="K42" s="74">
        <v>221672.33</v>
      </c>
    </row>
    <row r="43" spans="1:12" ht="15.75" thickTop="1" x14ac:dyDescent="0.25">
      <c r="E43" s="1" t="s">
        <v>16</v>
      </c>
      <c r="F43" s="64">
        <f>SUM(F40:F42)</f>
        <v>-200290.41000000061</v>
      </c>
      <c r="K43" s="64">
        <f>F45+K42</f>
        <v>345496.61999999941</v>
      </c>
    </row>
    <row r="44" spans="1:12" ht="15.75" thickBot="1" x14ac:dyDescent="0.3">
      <c r="D44" s="62" t="s">
        <v>17</v>
      </c>
      <c r="E44" s="62"/>
      <c r="F44" s="75">
        <v>324114.7</v>
      </c>
      <c r="I44" s="1" t="s">
        <v>1</v>
      </c>
      <c r="J44" s="76"/>
      <c r="K44" s="77">
        <f>-C3</f>
        <v>-370048.27</v>
      </c>
    </row>
    <row r="45" spans="1:12" ht="20.25" thickTop="1" thickBot="1" x14ac:dyDescent="0.35">
      <c r="E45" s="60" t="s">
        <v>18</v>
      </c>
      <c r="F45" s="78">
        <f>F44+F43</f>
        <v>123824.2899999994</v>
      </c>
      <c r="I45" s="257" t="s">
        <v>19</v>
      </c>
      <c r="J45" s="258"/>
      <c r="K45" s="79">
        <f>K43+K44</f>
        <v>-24551.650000000605</v>
      </c>
    </row>
    <row r="46" spans="1:12" ht="15.75" thickTop="1" x14ac:dyDescent="0.25"/>
    <row r="49" spans="8:13" customFormat="1" x14ac:dyDescent="0.25">
      <c r="M49" s="3"/>
    </row>
    <row r="50" spans="8:13" customFormat="1" x14ac:dyDescent="0.25">
      <c r="M50" s="3"/>
    </row>
    <row r="51" spans="8:13" customFormat="1" x14ac:dyDescent="0.25">
      <c r="H51" s="250"/>
      <c r="I51" s="250"/>
      <c r="J51" s="80"/>
      <c r="K51" s="81"/>
      <c r="M51" s="3"/>
    </row>
    <row r="52" spans="8:13" customFormat="1" x14ac:dyDescent="0.25">
      <c r="M52" s="3"/>
    </row>
    <row r="53" spans="8:13" customFormat="1" x14ac:dyDescent="0.25">
      <c r="M53" s="3"/>
    </row>
    <row r="54" spans="8:13" customFormat="1" x14ac:dyDescent="0.25">
      <c r="M54" s="3"/>
    </row>
    <row r="55" spans="8:13" customFormat="1" x14ac:dyDescent="0.25">
      <c r="M55" s="3"/>
    </row>
    <row r="56" spans="8:13" customFormat="1" x14ac:dyDescent="0.25">
      <c r="M56" s="3"/>
    </row>
    <row r="57" spans="8:13" customFormat="1" x14ac:dyDescent="0.25">
      <c r="M57" s="3"/>
    </row>
    <row r="58" spans="8:13" customFormat="1" x14ac:dyDescent="0.25">
      <c r="M58" s="3"/>
    </row>
    <row r="59" spans="8:13" customFormat="1" x14ac:dyDescent="0.25">
      <c r="M59" s="3"/>
    </row>
    <row r="60" spans="8:13" customFormat="1" x14ac:dyDescent="0.25">
      <c r="M60" s="3"/>
    </row>
    <row r="61" spans="8:13" customFormat="1" x14ac:dyDescent="0.25">
      <c r="M61" s="3"/>
    </row>
    <row r="62" spans="8:13" customFormat="1" x14ac:dyDescent="0.25">
      <c r="M62" s="3"/>
    </row>
    <row r="63" spans="8:13" customFormat="1" x14ac:dyDescent="0.25">
      <c r="M63" s="3"/>
    </row>
    <row r="64" spans="8:13" customFormat="1" x14ac:dyDescent="0.25">
      <c r="M64" s="3"/>
    </row>
    <row r="65" spans="13:13" customFormat="1" x14ac:dyDescent="0.25">
      <c r="M65" s="3"/>
    </row>
    <row r="66" spans="13:13" customFormat="1" x14ac:dyDescent="0.25">
      <c r="M66" s="3"/>
    </row>
    <row r="67" spans="13:13" customFormat="1" x14ac:dyDescent="0.25">
      <c r="M67" s="3"/>
    </row>
    <row r="68" spans="13:13" customFormat="1" x14ac:dyDescent="0.25">
      <c r="M68" s="3"/>
    </row>
    <row r="69" spans="13:13" customFormat="1" x14ac:dyDescent="0.25">
      <c r="M69" s="3"/>
    </row>
    <row r="70" spans="13:13" customFormat="1" x14ac:dyDescent="0.25">
      <c r="M70" s="3"/>
    </row>
    <row r="71" spans="13:13" customFormat="1" x14ac:dyDescent="0.25">
      <c r="M71" s="3"/>
    </row>
    <row r="72" spans="13:13" customFormat="1" x14ac:dyDescent="0.25">
      <c r="M72" s="3"/>
    </row>
    <row r="73" spans="13:13" customFormat="1" x14ac:dyDescent="0.25">
      <c r="M73" s="3"/>
    </row>
    <row r="74" spans="13:13" customFormat="1" x14ac:dyDescent="0.25">
      <c r="M74" s="3"/>
    </row>
    <row r="75" spans="13:13" customFormat="1" x14ac:dyDescent="0.25">
      <c r="M75" s="3"/>
    </row>
    <row r="76" spans="13:13" customFormat="1" x14ac:dyDescent="0.25">
      <c r="M76" s="3"/>
    </row>
    <row r="77" spans="13:13" customFormat="1" x14ac:dyDescent="0.25">
      <c r="M77" s="3"/>
    </row>
    <row r="78" spans="13:13" customFormat="1" x14ac:dyDescent="0.25">
      <c r="M78" s="3"/>
    </row>
    <row r="79" spans="13:13" customFormat="1" x14ac:dyDescent="0.25">
      <c r="M79" s="3"/>
    </row>
    <row r="80" spans="13:13" customFormat="1" x14ac:dyDescent="0.25">
      <c r="M80" s="3"/>
    </row>
    <row r="81" spans="13:13" customFormat="1" x14ac:dyDescent="0.25">
      <c r="M81" s="3"/>
    </row>
    <row r="82" spans="13:13" customFormat="1" x14ac:dyDescent="0.25">
      <c r="M82" s="3"/>
    </row>
    <row r="83" spans="13:13" customFormat="1" x14ac:dyDescent="0.25">
      <c r="M83" s="3"/>
    </row>
    <row r="84" spans="13:13" customFormat="1" x14ac:dyDescent="0.25">
      <c r="M84" s="3"/>
    </row>
    <row r="85" spans="13:13" customFormat="1" x14ac:dyDescent="0.25">
      <c r="M85" s="3"/>
    </row>
    <row r="86" spans="13:13" customFormat="1" x14ac:dyDescent="0.25">
      <c r="M86" s="3"/>
    </row>
    <row r="87" spans="13:13" customFormat="1" x14ac:dyDescent="0.25">
      <c r="M87" s="3"/>
    </row>
    <row r="88" spans="13:13" customFormat="1" x14ac:dyDescent="0.25">
      <c r="M88" s="3"/>
    </row>
    <row r="89" spans="13:13" customFormat="1" x14ac:dyDescent="0.25">
      <c r="M89" s="3"/>
    </row>
    <row r="90" spans="13:13" customFormat="1" x14ac:dyDescent="0.25">
      <c r="M90" s="3"/>
    </row>
    <row r="91" spans="13:13" customFormat="1" x14ac:dyDescent="0.25">
      <c r="M91" s="3"/>
    </row>
    <row r="92" spans="13:13" customFormat="1" x14ac:dyDescent="0.25">
      <c r="M92" s="3"/>
    </row>
    <row r="93" spans="13:13" customFormat="1" x14ac:dyDescent="0.25">
      <c r="M93" s="3"/>
    </row>
    <row r="94" spans="13:13" customFormat="1" x14ac:dyDescent="0.25">
      <c r="M94" s="3"/>
    </row>
    <row r="95" spans="13:13" customFormat="1" x14ac:dyDescent="0.25">
      <c r="M95" s="3"/>
    </row>
    <row r="96" spans="13:13" customFormat="1" x14ac:dyDescent="0.25">
      <c r="M96" s="3"/>
    </row>
    <row r="97" spans="13:13" customFormat="1" x14ac:dyDescent="0.25">
      <c r="M97" s="3"/>
    </row>
    <row r="98" spans="13:13" customFormat="1" x14ac:dyDescent="0.25">
      <c r="M98" s="3"/>
    </row>
    <row r="99" spans="13:13" customFormat="1" x14ac:dyDescent="0.25">
      <c r="M99" s="3"/>
    </row>
    <row r="100" spans="13:13" customFormat="1" x14ac:dyDescent="0.25">
      <c r="M100" s="3"/>
    </row>
    <row r="101" spans="13:13" customFormat="1" x14ac:dyDescent="0.25">
      <c r="M101" s="3"/>
    </row>
    <row r="102" spans="13:13" customFormat="1" x14ac:dyDescent="0.25">
      <c r="M102" s="3"/>
    </row>
    <row r="103" spans="13:13" customFormat="1" x14ac:dyDescent="0.25">
      <c r="M103" s="3"/>
    </row>
    <row r="104" spans="13:13" customFormat="1" x14ac:dyDescent="0.25">
      <c r="M104" s="3"/>
    </row>
    <row r="105" spans="13:13" customFormat="1" x14ac:dyDescent="0.25">
      <c r="M105" s="3"/>
    </row>
    <row r="106" spans="13:13" customFormat="1" x14ac:dyDescent="0.25">
      <c r="M106" s="3"/>
    </row>
    <row r="107" spans="13:13" customFormat="1" x14ac:dyDescent="0.25">
      <c r="M107" s="3"/>
    </row>
    <row r="108" spans="13:13" customFormat="1" x14ac:dyDescent="0.25">
      <c r="M108" s="3"/>
    </row>
    <row r="109" spans="13:13" customFormat="1" x14ac:dyDescent="0.25">
      <c r="M109" s="3"/>
    </row>
    <row r="110" spans="13:13" customFormat="1" x14ac:dyDescent="0.25">
      <c r="M110" s="3"/>
    </row>
    <row r="111" spans="13:13" customFormat="1" x14ac:dyDescent="0.25">
      <c r="M111" s="3"/>
    </row>
  </sheetData>
  <mergeCells count="11">
    <mergeCell ref="C1:J1"/>
    <mergeCell ref="E3:F3"/>
    <mergeCell ref="I3:K3"/>
    <mergeCell ref="H51:I51"/>
    <mergeCell ref="A40:B40"/>
    <mergeCell ref="D40:E40"/>
    <mergeCell ref="I45:J45"/>
    <mergeCell ref="J20:J21"/>
    <mergeCell ref="A38:B38"/>
    <mergeCell ref="H39:I39"/>
    <mergeCell ref="J39:K3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83"/>
  <sheetViews>
    <sheetView topLeftCell="A7" workbookViewId="0">
      <selection activeCell="C32" sqref="C32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9" width="11.42578125" style="14"/>
    <col min="11" max="11" width="16.28515625" customWidth="1"/>
    <col min="14" max="14" width="20.140625" bestFit="1" customWidth="1"/>
    <col min="19" max="19" width="14.42578125" customWidth="1"/>
    <col min="22" max="22" width="20.140625" bestFit="1" customWidth="1"/>
  </cols>
  <sheetData>
    <row r="1" spans="1:24" ht="19.5" customHeight="1" thickBot="1" x14ac:dyDescent="0.35">
      <c r="J1" s="268">
        <v>1</v>
      </c>
      <c r="K1" s="86" t="s">
        <v>28</v>
      </c>
      <c r="L1" s="86"/>
      <c r="M1" s="110"/>
      <c r="N1" s="148">
        <v>42411</v>
      </c>
      <c r="O1" s="112"/>
      <c r="R1" s="268">
        <v>1</v>
      </c>
      <c r="S1" s="86" t="s">
        <v>28</v>
      </c>
      <c r="T1" s="86"/>
      <c r="U1" s="110"/>
      <c r="V1" s="195">
        <v>42425</v>
      </c>
      <c r="W1" s="112"/>
    </row>
    <row r="2" spans="1:24" ht="19.5" customHeight="1" thickBot="1" x14ac:dyDescent="0.35">
      <c r="B2" s="176"/>
      <c r="C2" s="177"/>
      <c r="D2" s="178" t="s">
        <v>21</v>
      </c>
      <c r="E2" s="179"/>
      <c r="F2" s="180"/>
      <c r="G2" s="181"/>
      <c r="J2" s="269"/>
      <c r="K2" s="113"/>
      <c r="L2" s="113"/>
      <c r="M2" s="114"/>
      <c r="N2" s="115"/>
      <c r="O2" s="112"/>
      <c r="R2" s="269"/>
      <c r="S2" s="113"/>
      <c r="T2" s="113"/>
      <c r="U2" s="114"/>
      <c r="V2" s="115"/>
      <c r="W2" s="112"/>
    </row>
    <row r="3" spans="1:24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R3" s="116" t="s">
        <v>23</v>
      </c>
      <c r="S3" s="116" t="s">
        <v>24</v>
      </c>
      <c r="T3" s="116"/>
      <c r="U3" s="117" t="s">
        <v>29</v>
      </c>
      <c r="V3" s="118" t="s">
        <v>30</v>
      </c>
      <c r="W3" s="119"/>
    </row>
    <row r="4" spans="1:24" x14ac:dyDescent="0.25">
      <c r="A4" s="14"/>
      <c r="B4" s="92">
        <v>42403</v>
      </c>
      <c r="C4" s="93" t="s">
        <v>70</v>
      </c>
      <c r="D4" s="94">
        <v>271684</v>
      </c>
      <c r="E4" s="95" t="s">
        <v>87</v>
      </c>
      <c r="F4" s="94">
        <f>271030.61+653.39</f>
        <v>271684</v>
      </c>
      <c r="G4" s="158">
        <f t="shared" ref="G4:G27" si="0">D4-F4</f>
        <v>0</v>
      </c>
      <c r="H4" s="146"/>
      <c r="I4" s="147"/>
      <c r="J4" s="93" t="s">
        <v>61</v>
      </c>
      <c r="K4" s="94">
        <v>2718.04</v>
      </c>
      <c r="L4" s="120" t="s">
        <v>36</v>
      </c>
      <c r="M4" s="121" t="s">
        <v>31</v>
      </c>
      <c r="N4" s="122">
        <v>81027</v>
      </c>
      <c r="O4" s="123">
        <v>42383</v>
      </c>
      <c r="R4" s="93" t="s">
        <v>90</v>
      </c>
      <c r="S4" s="94">
        <v>1946.99</v>
      </c>
      <c r="T4" s="120" t="s">
        <v>96</v>
      </c>
      <c r="U4" s="121">
        <v>3358250</v>
      </c>
      <c r="V4" s="122">
        <v>30956.5</v>
      </c>
      <c r="W4" s="123">
        <v>42394</v>
      </c>
    </row>
    <row r="5" spans="1:24" x14ac:dyDescent="0.25">
      <c r="A5" s="14"/>
      <c r="B5" s="96">
        <v>42408</v>
      </c>
      <c r="C5" s="93" t="s">
        <v>83</v>
      </c>
      <c r="D5" s="94">
        <v>302188</v>
      </c>
      <c r="E5" s="95">
        <v>42413</v>
      </c>
      <c r="F5" s="94">
        <v>302188</v>
      </c>
      <c r="G5" s="97">
        <f t="shared" si="0"/>
        <v>0</v>
      </c>
      <c r="H5" s="146"/>
      <c r="I5" s="147"/>
      <c r="J5" s="93" t="s">
        <v>64</v>
      </c>
      <c r="K5" s="94">
        <v>578.20000000000005</v>
      </c>
      <c r="L5" s="124"/>
      <c r="M5" s="125">
        <v>3237985</v>
      </c>
      <c r="N5" s="126">
        <v>77900</v>
      </c>
      <c r="O5" s="127">
        <v>42377</v>
      </c>
      <c r="R5" s="93" t="s">
        <v>94</v>
      </c>
      <c r="S5" s="94">
        <v>292767.3</v>
      </c>
      <c r="T5" s="124"/>
      <c r="U5" s="125">
        <v>3358249</v>
      </c>
      <c r="V5" s="126">
        <v>49145</v>
      </c>
      <c r="W5" s="127">
        <v>42395</v>
      </c>
    </row>
    <row r="6" spans="1:24" x14ac:dyDescent="0.25">
      <c r="A6" s="14"/>
      <c r="B6" s="96">
        <v>42408</v>
      </c>
      <c r="C6" s="98" t="s">
        <v>84</v>
      </c>
      <c r="D6" s="94">
        <v>272583</v>
      </c>
      <c r="E6" s="95">
        <v>42413</v>
      </c>
      <c r="F6" s="94">
        <v>272583</v>
      </c>
      <c r="G6" s="97">
        <f t="shared" si="0"/>
        <v>0</v>
      </c>
      <c r="H6" s="38"/>
      <c r="I6" s="147"/>
      <c r="J6" s="93" t="s">
        <v>65</v>
      </c>
      <c r="K6" s="94">
        <v>16562</v>
      </c>
      <c r="L6" s="124"/>
      <c r="M6" s="125">
        <v>3237986</v>
      </c>
      <c r="N6" s="126">
        <v>45000</v>
      </c>
      <c r="O6" s="127">
        <v>42377</v>
      </c>
      <c r="R6" s="93" t="s">
        <v>95</v>
      </c>
      <c r="S6" s="94">
        <v>318854.71000000002</v>
      </c>
      <c r="T6" s="124" t="s">
        <v>88</v>
      </c>
      <c r="U6" s="125" t="s">
        <v>31</v>
      </c>
      <c r="V6" s="126">
        <v>14767</v>
      </c>
      <c r="W6" s="127">
        <v>42394</v>
      </c>
      <c r="X6" s="159">
        <v>42396</v>
      </c>
    </row>
    <row r="7" spans="1:24" x14ac:dyDescent="0.25">
      <c r="A7" s="14"/>
      <c r="B7" s="96">
        <v>42409</v>
      </c>
      <c r="C7" s="93" t="s">
        <v>85</v>
      </c>
      <c r="D7" s="94">
        <v>7210</v>
      </c>
      <c r="E7" s="95" t="s">
        <v>93</v>
      </c>
      <c r="F7" s="94">
        <f>6760.11+449.89</f>
        <v>7210</v>
      </c>
      <c r="G7" s="99">
        <f>D7-F7</f>
        <v>0</v>
      </c>
      <c r="H7" s="38"/>
      <c r="I7" s="147"/>
      <c r="J7" s="93" t="s">
        <v>66</v>
      </c>
      <c r="K7" s="94">
        <v>3629</v>
      </c>
      <c r="L7" s="124"/>
      <c r="M7" s="125">
        <v>3237984</v>
      </c>
      <c r="N7" s="126">
        <v>23439</v>
      </c>
      <c r="O7" s="127">
        <v>42377</v>
      </c>
      <c r="R7" s="93"/>
      <c r="S7" s="94"/>
      <c r="T7" s="124"/>
      <c r="U7" s="125">
        <v>3358248</v>
      </c>
      <c r="V7" s="126">
        <v>26918</v>
      </c>
      <c r="W7" s="127">
        <v>42396</v>
      </c>
    </row>
    <row r="8" spans="1:24" x14ac:dyDescent="0.25">
      <c r="A8" s="14"/>
      <c r="B8" s="96">
        <v>42413</v>
      </c>
      <c r="C8" s="93" t="s">
        <v>91</v>
      </c>
      <c r="D8" s="100">
        <v>318940.65000000002</v>
      </c>
      <c r="E8" s="95">
        <v>42420</v>
      </c>
      <c r="F8" s="100">
        <v>318940.65000000002</v>
      </c>
      <c r="G8" s="97">
        <f>D8-F8</f>
        <v>0</v>
      </c>
      <c r="H8" s="38"/>
      <c r="I8" s="147"/>
      <c r="J8" s="93" t="s">
        <v>67</v>
      </c>
      <c r="K8" s="94">
        <v>112086.45</v>
      </c>
      <c r="L8" s="124"/>
      <c r="M8" s="125">
        <v>3237983</v>
      </c>
      <c r="N8" s="126">
        <v>47594.5</v>
      </c>
      <c r="O8" s="127">
        <v>42378</v>
      </c>
      <c r="R8" s="93"/>
      <c r="S8" s="94"/>
      <c r="T8" s="124"/>
      <c r="U8" s="125">
        <v>3358247</v>
      </c>
      <c r="V8" s="126">
        <v>30000</v>
      </c>
      <c r="W8" s="127">
        <v>42397</v>
      </c>
    </row>
    <row r="9" spans="1:24" x14ac:dyDescent="0.25">
      <c r="A9" s="82"/>
      <c r="B9" s="96">
        <v>42413</v>
      </c>
      <c r="C9" s="93" t="s">
        <v>92</v>
      </c>
      <c r="D9" s="94">
        <v>290974.95</v>
      </c>
      <c r="E9" s="95">
        <v>42420</v>
      </c>
      <c r="F9" s="94">
        <v>290974.95</v>
      </c>
      <c r="G9" s="99">
        <f>D9-F9</f>
        <v>0</v>
      </c>
      <c r="H9" s="38"/>
      <c r="I9" s="147"/>
      <c r="J9" s="93" t="s">
        <v>69</v>
      </c>
      <c r="K9" s="94">
        <v>19937</v>
      </c>
      <c r="L9" s="128"/>
      <c r="M9" s="125">
        <v>3237982</v>
      </c>
      <c r="N9" s="126">
        <v>34000</v>
      </c>
      <c r="O9" s="127">
        <v>42379</v>
      </c>
      <c r="R9" s="93"/>
      <c r="S9" s="94"/>
      <c r="T9" s="128"/>
      <c r="U9" s="125">
        <v>3358246</v>
      </c>
      <c r="V9" s="126">
        <v>46885.5</v>
      </c>
      <c r="W9" s="127">
        <v>42397</v>
      </c>
    </row>
    <row r="10" spans="1:24" ht="15.75" customHeight="1" x14ac:dyDescent="0.25">
      <c r="A10" s="14"/>
      <c r="B10" s="96">
        <v>42413</v>
      </c>
      <c r="C10" s="93" t="s">
        <v>89</v>
      </c>
      <c r="D10" s="94">
        <v>5579</v>
      </c>
      <c r="E10" s="95">
        <v>42420</v>
      </c>
      <c r="F10" s="94">
        <v>5579</v>
      </c>
      <c r="G10" s="99">
        <f>D10-F10</f>
        <v>0</v>
      </c>
      <c r="H10" s="38"/>
      <c r="I10" s="147"/>
      <c r="J10" s="93" t="s">
        <v>71</v>
      </c>
      <c r="K10" s="94">
        <v>286045.2</v>
      </c>
      <c r="L10" s="129"/>
      <c r="M10" s="125">
        <v>3238000</v>
      </c>
      <c r="N10" s="126">
        <v>50541</v>
      </c>
      <c r="O10" s="127">
        <v>42379</v>
      </c>
      <c r="R10" s="93"/>
      <c r="S10" s="94"/>
      <c r="T10" s="129"/>
      <c r="U10" s="125">
        <v>3358244</v>
      </c>
      <c r="V10" s="126">
        <v>59497</v>
      </c>
      <c r="W10" s="127">
        <v>42398</v>
      </c>
    </row>
    <row r="11" spans="1:24" ht="15" x14ac:dyDescent="0.25">
      <c r="A11" s="14"/>
      <c r="B11" s="96">
        <v>42417</v>
      </c>
      <c r="C11" s="93" t="s">
        <v>90</v>
      </c>
      <c r="D11" s="94">
        <v>9991</v>
      </c>
      <c r="E11" s="196" t="s">
        <v>97</v>
      </c>
      <c r="F11" s="94">
        <f>8044.01+1946.99</f>
        <v>9991</v>
      </c>
      <c r="G11" s="99">
        <f>D11-F11</f>
        <v>0</v>
      </c>
      <c r="H11" s="38"/>
      <c r="I11" s="147"/>
      <c r="J11" s="93" t="s">
        <v>70</v>
      </c>
      <c r="K11" s="94">
        <v>271030.61</v>
      </c>
      <c r="L11" s="124" t="s">
        <v>37</v>
      </c>
      <c r="M11" s="130">
        <v>3237998</v>
      </c>
      <c r="N11" s="131">
        <v>60000</v>
      </c>
      <c r="O11" s="127">
        <v>42380</v>
      </c>
      <c r="R11" s="93"/>
      <c r="S11" s="94"/>
      <c r="T11" s="124"/>
      <c r="U11" s="130">
        <v>3358243</v>
      </c>
      <c r="V11" s="131">
        <v>33000</v>
      </c>
      <c r="W11" s="127">
        <v>42399</v>
      </c>
    </row>
    <row r="12" spans="1:24" ht="15" x14ac:dyDescent="0.25">
      <c r="A12" s="14"/>
      <c r="B12" s="96">
        <v>42420</v>
      </c>
      <c r="C12" s="93" t="s">
        <v>94</v>
      </c>
      <c r="D12" s="94">
        <v>292767.3</v>
      </c>
      <c r="E12" s="95">
        <v>42425</v>
      </c>
      <c r="F12" s="94">
        <v>292767.3</v>
      </c>
      <c r="G12" s="99">
        <f t="shared" si="0"/>
        <v>0</v>
      </c>
      <c r="H12" s="38"/>
      <c r="I12" s="147"/>
      <c r="J12" s="93"/>
      <c r="K12" s="94" t="s">
        <v>72</v>
      </c>
      <c r="L12" s="124"/>
      <c r="M12" s="130">
        <v>3237996</v>
      </c>
      <c r="N12" s="131">
        <v>21290</v>
      </c>
      <c r="O12" s="127">
        <v>42380</v>
      </c>
      <c r="R12" s="93"/>
      <c r="S12" s="94"/>
      <c r="T12" s="124"/>
      <c r="U12" s="130">
        <v>3358242</v>
      </c>
      <c r="V12" s="131">
        <v>61143.5</v>
      </c>
      <c r="W12" s="127">
        <v>42399</v>
      </c>
    </row>
    <row r="13" spans="1:24" ht="15" x14ac:dyDescent="0.25">
      <c r="A13" s="14"/>
      <c r="B13" s="96">
        <v>42420</v>
      </c>
      <c r="C13" s="93" t="s">
        <v>95</v>
      </c>
      <c r="D13" s="94">
        <v>322204.05</v>
      </c>
      <c r="E13" s="95" t="s">
        <v>102</v>
      </c>
      <c r="F13" s="94">
        <f>318854.71+3349.34</f>
        <v>322204.05000000005</v>
      </c>
      <c r="G13" s="99">
        <f t="shared" si="0"/>
        <v>0</v>
      </c>
      <c r="H13" s="146"/>
      <c r="I13" s="147"/>
      <c r="J13" s="93"/>
      <c r="K13" s="132"/>
      <c r="L13" s="124"/>
      <c r="M13" s="130">
        <v>3237999</v>
      </c>
      <c r="N13" s="131">
        <v>25800</v>
      </c>
      <c r="O13" s="127">
        <v>42381</v>
      </c>
      <c r="R13" s="93"/>
      <c r="S13" s="132"/>
      <c r="T13" s="124"/>
      <c r="U13" s="130">
        <v>3358240</v>
      </c>
      <c r="V13" s="131">
        <v>32124.5</v>
      </c>
      <c r="W13" s="127">
        <v>42400</v>
      </c>
    </row>
    <row r="14" spans="1:24" ht="15" x14ac:dyDescent="0.25">
      <c r="A14" s="14"/>
      <c r="B14" s="96">
        <v>42426</v>
      </c>
      <c r="C14" s="93" t="s">
        <v>98</v>
      </c>
      <c r="D14" s="94">
        <v>23418.36</v>
      </c>
      <c r="E14" s="95">
        <v>42433</v>
      </c>
      <c r="F14" s="94">
        <v>23418.36</v>
      </c>
      <c r="G14" s="99">
        <f t="shared" si="0"/>
        <v>0</v>
      </c>
      <c r="H14" s="147"/>
      <c r="I14" s="147"/>
      <c r="J14" s="133"/>
      <c r="K14" s="134"/>
      <c r="L14" s="128"/>
      <c r="M14" s="135">
        <v>3237997</v>
      </c>
      <c r="N14" s="136">
        <v>6589.5</v>
      </c>
      <c r="O14" s="137">
        <v>42381</v>
      </c>
      <c r="R14" s="133"/>
      <c r="S14" s="134"/>
      <c r="T14" s="128"/>
      <c r="U14" s="135">
        <v>3358241</v>
      </c>
      <c r="V14" s="136">
        <v>22000</v>
      </c>
      <c r="W14" s="137">
        <v>42400</v>
      </c>
    </row>
    <row r="15" spans="1:24" ht="15" x14ac:dyDescent="0.25">
      <c r="A15" s="14"/>
      <c r="B15" s="96">
        <v>42427</v>
      </c>
      <c r="C15" s="93" t="s">
        <v>99</v>
      </c>
      <c r="D15" s="94">
        <v>180743.8</v>
      </c>
      <c r="E15" s="95">
        <v>42433</v>
      </c>
      <c r="F15" s="94">
        <v>180743.8</v>
      </c>
      <c r="G15" s="99">
        <f>D15-F15</f>
        <v>0</v>
      </c>
      <c r="H15" s="147"/>
      <c r="I15" s="147"/>
      <c r="J15" s="133"/>
      <c r="K15" s="134"/>
      <c r="L15" s="128"/>
      <c r="M15" s="135">
        <v>3237994</v>
      </c>
      <c r="N15" s="136">
        <v>42417</v>
      </c>
      <c r="O15" s="137">
        <v>42382</v>
      </c>
      <c r="R15" s="133"/>
      <c r="S15" s="134"/>
      <c r="T15" s="128"/>
      <c r="U15" s="135">
        <v>3358239</v>
      </c>
      <c r="V15" s="136">
        <v>7629</v>
      </c>
      <c r="W15" s="137">
        <v>42401</v>
      </c>
    </row>
    <row r="16" spans="1:24" ht="15" x14ac:dyDescent="0.25">
      <c r="A16" s="14"/>
      <c r="B16" s="96">
        <v>42429</v>
      </c>
      <c r="C16" s="93" t="s">
        <v>101</v>
      </c>
      <c r="D16" s="94">
        <v>13582.8</v>
      </c>
      <c r="E16" s="95">
        <v>42433</v>
      </c>
      <c r="F16" s="94">
        <v>13582.8</v>
      </c>
      <c r="G16" s="99">
        <f>D16-F16</f>
        <v>0</v>
      </c>
      <c r="J16" s="133"/>
      <c r="K16" s="134"/>
      <c r="L16" s="128"/>
      <c r="M16" s="135" t="s">
        <v>31</v>
      </c>
      <c r="N16" s="136">
        <v>500</v>
      </c>
      <c r="O16" s="137">
        <v>42394</v>
      </c>
      <c r="P16" s="159">
        <v>42383</v>
      </c>
      <c r="R16" s="133"/>
      <c r="S16" s="134"/>
      <c r="T16" s="128"/>
      <c r="U16" s="135" t="s">
        <v>31</v>
      </c>
      <c r="V16" s="136">
        <v>22247</v>
      </c>
      <c r="W16" s="137">
        <v>42409</v>
      </c>
    </row>
    <row r="17" spans="1:24" ht="15" x14ac:dyDescent="0.25">
      <c r="A17" s="14"/>
      <c r="B17" s="96"/>
      <c r="C17" s="93"/>
      <c r="D17" s="94"/>
      <c r="E17" s="95"/>
      <c r="F17" s="94"/>
      <c r="G17" s="97">
        <f>D17-F17</f>
        <v>0</v>
      </c>
      <c r="J17" s="133"/>
      <c r="K17" s="134"/>
      <c r="L17" s="128"/>
      <c r="M17" s="135">
        <v>3237991</v>
      </c>
      <c r="N17" s="136">
        <v>58638</v>
      </c>
      <c r="O17" s="137">
        <v>42383</v>
      </c>
      <c r="R17" s="133"/>
      <c r="S17" s="134"/>
      <c r="T17" s="128"/>
      <c r="U17" s="135" t="s">
        <v>31</v>
      </c>
      <c r="V17" s="136">
        <v>100</v>
      </c>
      <c r="W17" s="137">
        <v>42394</v>
      </c>
      <c r="X17" s="159">
        <v>42407</v>
      </c>
    </row>
    <row r="18" spans="1:24" ht="15" x14ac:dyDescent="0.25">
      <c r="A18" s="14"/>
      <c r="B18" s="96"/>
      <c r="C18" s="93"/>
      <c r="D18" s="94"/>
      <c r="E18" s="95"/>
      <c r="F18" s="94"/>
      <c r="G18" s="97">
        <f>D18-F18</f>
        <v>0</v>
      </c>
      <c r="J18" s="133"/>
      <c r="K18" s="134"/>
      <c r="L18" s="128"/>
      <c r="M18" s="135">
        <v>3237993</v>
      </c>
      <c r="N18" s="136">
        <v>40000</v>
      </c>
      <c r="O18" s="137">
        <v>42383</v>
      </c>
      <c r="R18" s="192"/>
      <c r="S18" s="192"/>
      <c r="T18" s="192"/>
      <c r="U18" s="193" t="s">
        <v>31</v>
      </c>
      <c r="V18" s="194">
        <v>9440</v>
      </c>
      <c r="W18" s="137">
        <v>42405</v>
      </c>
      <c r="X18" s="159">
        <v>42406</v>
      </c>
    </row>
    <row r="19" spans="1:24" ht="15" x14ac:dyDescent="0.25">
      <c r="A19" s="14"/>
      <c r="B19" s="96"/>
      <c r="C19" s="93"/>
      <c r="D19" s="94"/>
      <c r="E19" s="95"/>
      <c r="F19" s="94"/>
      <c r="G19" s="99">
        <f>D19-F19</f>
        <v>0</v>
      </c>
      <c r="J19" s="133"/>
      <c r="K19" s="134"/>
      <c r="L19" s="128"/>
      <c r="M19" s="135">
        <v>3358270</v>
      </c>
      <c r="N19" s="136">
        <v>60000</v>
      </c>
      <c r="O19" s="137">
        <v>42384</v>
      </c>
      <c r="R19" s="192"/>
      <c r="S19" s="192"/>
      <c r="T19" s="192"/>
      <c r="U19" s="193" t="s">
        <v>31</v>
      </c>
      <c r="V19" s="194">
        <v>60016</v>
      </c>
      <c r="W19" s="137">
        <v>42406</v>
      </c>
    </row>
    <row r="20" spans="1:24" ht="15" x14ac:dyDescent="0.25">
      <c r="A20" s="14"/>
      <c r="B20" s="96"/>
      <c r="C20" s="93"/>
      <c r="D20" s="94"/>
      <c r="E20" s="95"/>
      <c r="F20" s="94"/>
      <c r="G20" s="97">
        <f t="shared" si="0"/>
        <v>0</v>
      </c>
      <c r="J20" s="133"/>
      <c r="K20" s="134"/>
      <c r="L20" s="128"/>
      <c r="M20" s="135" t="s">
        <v>31</v>
      </c>
      <c r="N20" s="136">
        <v>5976</v>
      </c>
      <c r="O20" s="137">
        <v>42391</v>
      </c>
      <c r="P20" s="159">
        <v>42381</v>
      </c>
      <c r="R20" s="192"/>
      <c r="S20" s="192"/>
      <c r="T20" s="192"/>
      <c r="U20" s="193">
        <v>3280422</v>
      </c>
      <c r="V20" s="194">
        <v>30890</v>
      </c>
      <c r="W20" s="137">
        <v>42406</v>
      </c>
    </row>
    <row r="21" spans="1:24" ht="15" x14ac:dyDescent="0.25">
      <c r="A21" s="14"/>
      <c r="B21" s="96"/>
      <c r="C21" s="93"/>
      <c r="D21" s="94"/>
      <c r="E21" s="95"/>
      <c r="F21" s="94"/>
      <c r="G21" s="97">
        <f t="shared" si="0"/>
        <v>0</v>
      </c>
      <c r="J21" s="133"/>
      <c r="K21" s="134"/>
      <c r="L21" s="128"/>
      <c r="M21" s="135" t="s">
        <v>31</v>
      </c>
      <c r="N21" s="136">
        <v>14142</v>
      </c>
      <c r="O21" s="137">
        <v>42385</v>
      </c>
      <c r="P21" s="159">
        <v>42386</v>
      </c>
      <c r="R21" s="192"/>
      <c r="S21" s="192"/>
      <c r="T21" s="192"/>
      <c r="U21" s="193">
        <v>3358232</v>
      </c>
      <c r="V21" s="194">
        <v>35810</v>
      </c>
      <c r="W21" s="137">
        <v>42405</v>
      </c>
    </row>
    <row r="22" spans="1:24" thickBot="1" x14ac:dyDescent="0.3">
      <c r="A22" s="14"/>
      <c r="B22" s="96"/>
      <c r="C22" s="93"/>
      <c r="D22" s="94"/>
      <c r="E22" s="95"/>
      <c r="F22" s="94"/>
      <c r="G22" s="97">
        <f t="shared" si="0"/>
        <v>0</v>
      </c>
      <c r="J22" s="133"/>
      <c r="K22" s="134"/>
      <c r="L22" s="128"/>
      <c r="M22" s="135">
        <v>3358268</v>
      </c>
      <c r="N22" s="136">
        <v>7901.5</v>
      </c>
      <c r="O22" s="137">
        <v>42384</v>
      </c>
      <c r="R22" s="138"/>
      <c r="S22" s="138"/>
      <c r="T22" s="138"/>
      <c r="U22" s="139">
        <v>3358238</v>
      </c>
      <c r="V22" s="140">
        <v>41000</v>
      </c>
      <c r="W22" s="141">
        <v>42402</v>
      </c>
    </row>
    <row r="23" spans="1:24" ht="19.5" thickTop="1" x14ac:dyDescent="0.3">
      <c r="A23" s="14"/>
      <c r="B23" s="96"/>
      <c r="C23" s="93"/>
      <c r="D23" s="94"/>
      <c r="E23" s="95"/>
      <c r="F23" s="94"/>
      <c r="G23" s="97">
        <f t="shared" si="0"/>
        <v>0</v>
      </c>
      <c r="J23" s="133"/>
      <c r="K23" s="134"/>
      <c r="L23" s="128"/>
      <c r="M23" s="135" t="s">
        <v>31</v>
      </c>
      <c r="N23" s="136">
        <v>9831</v>
      </c>
      <c r="O23" s="137">
        <v>42392</v>
      </c>
      <c r="R23" s="67"/>
      <c r="S23" s="142">
        <f>SUM(S4:S22)</f>
        <v>613569</v>
      </c>
      <c r="T23" s="143"/>
      <c r="U23" s="143"/>
      <c r="V23" s="143">
        <f>SUM(V4:V22)</f>
        <v>613569</v>
      </c>
      <c r="W23" s="144"/>
    </row>
    <row r="24" spans="1:24" ht="15" x14ac:dyDescent="0.25">
      <c r="A24" s="14"/>
      <c r="B24" s="96"/>
      <c r="C24" s="93"/>
      <c r="D24" s="94"/>
      <c r="E24" s="95"/>
      <c r="F24" s="94"/>
      <c r="G24" s="97">
        <f t="shared" si="0"/>
        <v>0</v>
      </c>
      <c r="J24" s="133"/>
      <c r="K24" s="134"/>
      <c r="L24" s="128"/>
      <c r="M24" s="135"/>
      <c r="N24" s="136"/>
      <c r="O24" s="137"/>
    </row>
    <row r="25" spans="1:24" thickBot="1" x14ac:dyDescent="0.3">
      <c r="A25" s="14"/>
      <c r="B25" s="96"/>
      <c r="C25" s="93"/>
      <c r="D25" s="94"/>
      <c r="E25" s="95"/>
      <c r="F25" s="94"/>
      <c r="G25" s="97">
        <f t="shared" si="0"/>
        <v>0</v>
      </c>
      <c r="J25" s="138"/>
      <c r="K25" s="138"/>
      <c r="L25" s="138"/>
      <c r="M25" s="139"/>
      <c r="N25" s="140">
        <v>0</v>
      </c>
      <c r="O25" s="141"/>
    </row>
    <row r="26" spans="1:24" ht="19.5" thickTop="1" x14ac:dyDescent="0.3">
      <c r="A26" s="14"/>
      <c r="B26" s="96"/>
      <c r="C26" s="93"/>
      <c r="D26" s="94"/>
      <c r="E26" s="95"/>
      <c r="F26" s="94"/>
      <c r="G26" s="97">
        <f t="shared" si="0"/>
        <v>0</v>
      </c>
      <c r="J26" s="67"/>
      <c r="K26" s="142">
        <f>SUM(K4:K25)</f>
        <v>712586.5</v>
      </c>
      <c r="L26" s="143"/>
      <c r="M26" s="143"/>
      <c r="N26" s="143">
        <f>SUM(N4:N25)</f>
        <v>712586.5</v>
      </c>
      <c r="O26" s="144"/>
    </row>
    <row r="27" spans="1:24" ht="15" x14ac:dyDescent="0.25">
      <c r="A27" s="14"/>
      <c r="B27" s="96"/>
      <c r="C27" s="93"/>
      <c r="D27" s="94"/>
      <c r="E27" s="95"/>
      <c r="F27" s="94"/>
      <c r="G27" s="97">
        <f t="shared" si="0"/>
        <v>0</v>
      </c>
    </row>
    <row r="28" spans="1:24" thickBot="1" x14ac:dyDescent="0.3">
      <c r="B28" s="14"/>
      <c r="C28" s="104"/>
      <c r="D28" s="105"/>
      <c r="E28" s="104"/>
      <c r="F28" s="106"/>
      <c r="G28" s="107">
        <f t="shared" ref="G28" si="1">D28-F28</f>
        <v>0</v>
      </c>
    </row>
    <row r="29" spans="1:24" ht="20.25" thickTop="1" thickBot="1" x14ac:dyDescent="0.35">
      <c r="B29"/>
      <c r="C29"/>
      <c r="D29" s="108">
        <f>SUM(D4:D28)</f>
        <v>2311866.9099999997</v>
      </c>
      <c r="E29" s="108"/>
      <c r="F29" s="109">
        <f>SUM(F4:F28)</f>
        <v>2311866.9099999997</v>
      </c>
      <c r="G29" s="109">
        <f>SUM(G4:G28)</f>
        <v>0</v>
      </c>
      <c r="J29" s="268">
        <v>1</v>
      </c>
      <c r="K29" s="86" t="s">
        <v>28</v>
      </c>
      <c r="L29" s="86"/>
      <c r="M29" s="110"/>
      <c r="N29" s="191">
        <v>42413</v>
      </c>
      <c r="O29" s="112"/>
      <c r="R29" s="268">
        <v>1</v>
      </c>
      <c r="S29" s="86" t="s">
        <v>28</v>
      </c>
      <c r="T29" s="86"/>
      <c r="U29" s="110"/>
      <c r="V29" s="197">
        <v>42432</v>
      </c>
      <c r="W29" s="112"/>
    </row>
    <row r="30" spans="1:24" ht="16.5" thickBot="1" x14ac:dyDescent="0.3">
      <c r="J30" s="269"/>
      <c r="K30" s="113"/>
      <c r="L30" s="113"/>
      <c r="M30" s="114"/>
      <c r="N30" s="115"/>
      <c r="O30" s="112"/>
      <c r="R30" s="269"/>
      <c r="S30" s="113"/>
      <c r="T30" s="113"/>
      <c r="U30" s="114"/>
      <c r="V30" s="115"/>
      <c r="W30" s="112"/>
    </row>
    <row r="31" spans="1:24" ht="16.5" thickBot="1" x14ac:dyDescent="0.3">
      <c r="J31" s="116" t="s">
        <v>23</v>
      </c>
      <c r="K31" s="116" t="s">
        <v>24</v>
      </c>
      <c r="L31" s="116"/>
      <c r="M31" s="117" t="s">
        <v>29</v>
      </c>
      <c r="N31" s="118" t="s">
        <v>30</v>
      </c>
      <c r="O31" s="119"/>
      <c r="R31" s="116" t="s">
        <v>23</v>
      </c>
      <c r="S31" s="116" t="s">
        <v>24</v>
      </c>
      <c r="T31" s="116"/>
      <c r="U31" s="117" t="s">
        <v>29</v>
      </c>
      <c r="V31" s="118" t="s">
        <v>30</v>
      </c>
      <c r="W31" s="119"/>
    </row>
    <row r="32" spans="1:24" ht="12.75" customHeight="1" thickTop="1" x14ac:dyDescent="0.25">
      <c r="J32" s="93" t="s">
        <v>70</v>
      </c>
      <c r="K32" s="94">
        <v>653.39</v>
      </c>
      <c r="L32" s="120" t="s">
        <v>36</v>
      </c>
      <c r="M32" s="121">
        <v>33582569</v>
      </c>
      <c r="N32" s="122">
        <v>45000</v>
      </c>
      <c r="O32" s="123">
        <v>42384</v>
      </c>
      <c r="R32" s="93" t="s">
        <v>95</v>
      </c>
      <c r="S32" s="94">
        <v>3349.34</v>
      </c>
      <c r="T32" s="120"/>
      <c r="U32" s="121" t="s">
        <v>31</v>
      </c>
      <c r="V32" s="122">
        <v>40301</v>
      </c>
      <c r="W32" s="123">
        <v>42403</v>
      </c>
      <c r="X32" s="159">
        <v>42401</v>
      </c>
    </row>
    <row r="33" spans="2:24" x14ac:dyDescent="0.25">
      <c r="B33"/>
      <c r="C33"/>
      <c r="E33"/>
      <c r="F33"/>
      <c r="G33"/>
      <c r="H33"/>
      <c r="I33"/>
      <c r="J33" s="93" t="s">
        <v>83</v>
      </c>
      <c r="K33" s="94">
        <v>302188</v>
      </c>
      <c r="L33" s="124"/>
      <c r="M33" s="125" t="s">
        <v>31</v>
      </c>
      <c r="N33" s="126">
        <v>68120</v>
      </c>
      <c r="O33" s="127">
        <v>42377</v>
      </c>
      <c r="R33" s="93" t="s">
        <v>98</v>
      </c>
      <c r="S33" s="94">
        <v>23418.36</v>
      </c>
      <c r="T33" s="124"/>
      <c r="U33" s="125" t="s">
        <v>31</v>
      </c>
      <c r="V33" s="126">
        <v>38633</v>
      </c>
      <c r="W33" s="127">
        <v>42403</v>
      </c>
      <c r="X33" s="159">
        <v>42401</v>
      </c>
    </row>
    <row r="34" spans="2:24" x14ac:dyDescent="0.25">
      <c r="B34"/>
      <c r="C34"/>
      <c r="E34"/>
      <c r="F34"/>
      <c r="G34"/>
      <c r="H34"/>
      <c r="I34"/>
      <c r="J34" s="98" t="s">
        <v>84</v>
      </c>
      <c r="K34" s="94">
        <v>272583</v>
      </c>
      <c r="L34" s="124"/>
      <c r="M34" s="125" t="s">
        <v>31</v>
      </c>
      <c r="N34" s="126">
        <v>42536</v>
      </c>
      <c r="O34" s="127">
        <v>42383</v>
      </c>
      <c r="R34" s="93" t="s">
        <v>99</v>
      </c>
      <c r="S34" s="94">
        <v>180743.8</v>
      </c>
      <c r="T34" s="124"/>
      <c r="U34" s="125">
        <v>3358234</v>
      </c>
      <c r="V34" s="126">
        <v>30000</v>
      </c>
      <c r="W34" s="127">
        <v>42405</v>
      </c>
    </row>
    <row r="35" spans="2:24" x14ac:dyDescent="0.25">
      <c r="B35"/>
      <c r="C35"/>
      <c r="E35"/>
      <c r="F35"/>
      <c r="G35"/>
      <c r="H35"/>
      <c r="I35"/>
      <c r="J35" s="93" t="s">
        <v>85</v>
      </c>
      <c r="K35" s="94">
        <v>6760.11</v>
      </c>
      <c r="L35" s="124" t="s">
        <v>88</v>
      </c>
      <c r="M35" s="125" t="s">
        <v>31</v>
      </c>
      <c r="N35" s="126">
        <v>29686</v>
      </c>
      <c r="O35" s="127">
        <v>42391</v>
      </c>
      <c r="R35" s="93" t="s">
        <v>100</v>
      </c>
      <c r="S35" s="94">
        <v>107363.8</v>
      </c>
      <c r="T35" s="124"/>
      <c r="U35" s="125">
        <v>3358235</v>
      </c>
      <c r="V35" s="126">
        <v>52960</v>
      </c>
      <c r="W35" s="127">
        <v>42404</v>
      </c>
    </row>
    <row r="36" spans="2:24" x14ac:dyDescent="0.25">
      <c r="B36"/>
      <c r="C36"/>
      <c r="E36"/>
      <c r="F36"/>
      <c r="G36"/>
      <c r="H36"/>
      <c r="I36"/>
      <c r="J36" s="93"/>
      <c r="K36" s="94"/>
      <c r="L36" s="124"/>
      <c r="M36" s="125" t="s">
        <v>31</v>
      </c>
      <c r="N36" s="126">
        <v>59000</v>
      </c>
      <c r="O36" s="127">
        <v>42391</v>
      </c>
      <c r="P36" t="s">
        <v>86</v>
      </c>
      <c r="R36" s="93"/>
      <c r="S36" s="94"/>
      <c r="T36" s="124"/>
      <c r="U36" s="125">
        <v>3358236</v>
      </c>
      <c r="V36" s="126">
        <v>33139</v>
      </c>
      <c r="W36" s="127">
        <v>42403</v>
      </c>
    </row>
    <row r="37" spans="2:24" x14ac:dyDescent="0.25">
      <c r="B37"/>
      <c r="C37"/>
      <c r="E37"/>
      <c r="F37"/>
      <c r="G37"/>
      <c r="H37"/>
      <c r="I37"/>
      <c r="J37" s="93"/>
      <c r="K37" s="94"/>
      <c r="L37" s="128"/>
      <c r="M37" s="125">
        <v>3358267</v>
      </c>
      <c r="N37" s="126">
        <v>65530.5</v>
      </c>
      <c r="O37" s="127">
        <v>42385</v>
      </c>
      <c r="R37" s="93"/>
      <c r="S37" s="94"/>
      <c r="T37" s="128"/>
      <c r="U37" s="125">
        <v>3358237</v>
      </c>
      <c r="V37" s="126">
        <v>28904.5</v>
      </c>
      <c r="W37" s="127">
        <v>42402</v>
      </c>
    </row>
    <row r="38" spans="2:24" x14ac:dyDescent="0.25">
      <c r="B38"/>
      <c r="C38"/>
      <c r="E38"/>
      <c r="F38"/>
      <c r="G38"/>
      <c r="H38"/>
      <c r="I38"/>
      <c r="J38" s="93"/>
      <c r="K38" s="94"/>
      <c r="L38" s="129"/>
      <c r="M38" s="125">
        <v>3358264</v>
      </c>
      <c r="N38" s="126">
        <v>36087</v>
      </c>
      <c r="O38" s="127">
        <v>42386</v>
      </c>
      <c r="R38" s="93"/>
      <c r="S38" s="94"/>
      <c r="T38" s="129"/>
      <c r="U38" s="125">
        <v>3358231</v>
      </c>
      <c r="V38" s="126">
        <v>31415</v>
      </c>
      <c r="W38" s="127">
        <v>42406</v>
      </c>
    </row>
    <row r="39" spans="2:24" x14ac:dyDescent="0.25">
      <c r="B39"/>
      <c r="C39"/>
      <c r="E39"/>
      <c r="F39"/>
      <c r="G39"/>
      <c r="H39"/>
      <c r="I39"/>
      <c r="J39" s="93"/>
      <c r="K39" s="94"/>
      <c r="L39" s="124"/>
      <c r="M39" s="130">
        <v>3358266</v>
      </c>
      <c r="N39" s="131">
        <v>65000</v>
      </c>
      <c r="O39" s="127">
        <v>42387</v>
      </c>
      <c r="R39" s="93"/>
      <c r="S39" s="94"/>
      <c r="T39" s="124"/>
      <c r="U39" s="130">
        <v>3358230</v>
      </c>
      <c r="V39" s="126">
        <v>50000</v>
      </c>
      <c r="W39" s="127">
        <v>42407</v>
      </c>
    </row>
    <row r="40" spans="2:24" ht="15" x14ac:dyDescent="0.25">
      <c r="B40"/>
      <c r="C40"/>
      <c r="E40"/>
      <c r="F40"/>
      <c r="G40"/>
      <c r="H40"/>
      <c r="I40"/>
      <c r="J40" s="93"/>
      <c r="K40" s="94"/>
      <c r="L40" s="124"/>
      <c r="M40" s="130">
        <v>3358263</v>
      </c>
      <c r="N40" s="131">
        <v>32252.5</v>
      </c>
      <c r="O40" s="127">
        <v>42387</v>
      </c>
      <c r="R40" s="93"/>
      <c r="S40" s="94"/>
      <c r="T40" s="124"/>
      <c r="U40" s="130"/>
      <c r="V40" s="131"/>
      <c r="W40" s="127"/>
    </row>
    <row r="41" spans="2:24" ht="15" x14ac:dyDescent="0.25">
      <c r="B41"/>
      <c r="C41"/>
      <c r="E41"/>
      <c r="F41"/>
      <c r="G41"/>
      <c r="H41"/>
      <c r="I41"/>
      <c r="J41" s="93"/>
      <c r="K41" s="132"/>
      <c r="L41" s="124"/>
      <c r="M41" s="130">
        <v>3358221</v>
      </c>
      <c r="N41" s="131">
        <v>27240</v>
      </c>
      <c r="O41" s="127">
        <v>42388</v>
      </c>
      <c r="R41" s="93"/>
      <c r="S41" s="132"/>
      <c r="T41" s="124"/>
      <c r="U41" s="130"/>
      <c r="V41" s="131"/>
      <c r="W41" s="127"/>
    </row>
    <row r="42" spans="2:24" ht="15" x14ac:dyDescent="0.25">
      <c r="B42"/>
      <c r="C42"/>
      <c r="E42"/>
      <c r="F42"/>
      <c r="G42"/>
      <c r="H42"/>
      <c r="I42"/>
      <c r="J42" s="133"/>
      <c r="K42" s="134"/>
      <c r="L42" s="128"/>
      <c r="M42" s="135">
        <v>3358261</v>
      </c>
      <c r="N42" s="136">
        <v>107000</v>
      </c>
      <c r="O42" s="137">
        <v>42389</v>
      </c>
      <c r="R42" s="133"/>
      <c r="S42" s="134"/>
      <c r="T42" s="128"/>
      <c r="U42" s="135"/>
      <c r="V42" s="136"/>
      <c r="W42" s="137"/>
    </row>
    <row r="43" spans="2:24" ht="15" x14ac:dyDescent="0.25">
      <c r="B43"/>
      <c r="C43"/>
      <c r="E43"/>
      <c r="F43"/>
      <c r="G43"/>
      <c r="H43"/>
      <c r="I43"/>
      <c r="J43" s="133"/>
      <c r="K43" s="134"/>
      <c r="L43" s="128"/>
      <c r="M43" s="135">
        <v>3358262</v>
      </c>
      <c r="N43" s="136">
        <v>1103.5</v>
      </c>
      <c r="O43" s="137">
        <v>42388</v>
      </c>
      <c r="R43" s="133"/>
      <c r="S43" s="134"/>
      <c r="T43" s="128"/>
      <c r="U43" s="135"/>
      <c r="V43" s="136"/>
      <c r="W43" s="137"/>
    </row>
    <row r="44" spans="2:24" ht="15" x14ac:dyDescent="0.25">
      <c r="B44"/>
      <c r="C44"/>
      <c r="E44"/>
      <c r="F44"/>
      <c r="G44"/>
      <c r="H44"/>
      <c r="I44"/>
      <c r="J44" s="133"/>
      <c r="K44" s="134"/>
      <c r="L44" s="128"/>
      <c r="M44" s="135" t="s">
        <v>31</v>
      </c>
      <c r="N44" s="136">
        <v>3629</v>
      </c>
      <c r="O44" s="137">
        <v>42396</v>
      </c>
      <c r="R44" s="133"/>
      <c r="S44" s="134"/>
      <c r="T44" s="128"/>
      <c r="U44" s="135"/>
      <c r="V44" s="136"/>
      <c r="W44" s="137"/>
    </row>
    <row r="45" spans="2:24" ht="15" x14ac:dyDescent="0.25">
      <c r="B45"/>
      <c r="C45"/>
      <c r="E45"/>
      <c r="F45"/>
      <c r="G45"/>
      <c r="H45"/>
      <c r="I45"/>
      <c r="J45" s="133"/>
      <c r="K45" s="134"/>
      <c r="L45" s="128"/>
      <c r="M45" s="135"/>
      <c r="N45" s="136"/>
      <c r="O45" s="137"/>
      <c r="R45" s="133"/>
      <c r="S45" s="134"/>
      <c r="T45" s="128"/>
      <c r="U45" s="135"/>
      <c r="V45" s="136"/>
      <c r="W45" s="137"/>
    </row>
    <row r="46" spans="2:24" ht="16.5" thickBot="1" x14ac:dyDescent="0.3">
      <c r="J46" s="138"/>
      <c r="K46" s="138"/>
      <c r="L46" s="138"/>
      <c r="M46" s="139"/>
      <c r="N46" s="140">
        <v>0</v>
      </c>
      <c r="O46" s="141"/>
      <c r="R46" s="192"/>
      <c r="S46" s="192"/>
      <c r="T46" s="192"/>
      <c r="U46" s="193"/>
      <c r="V46" s="194"/>
      <c r="W46" s="137"/>
    </row>
    <row r="47" spans="2:24" ht="19.5" thickTop="1" x14ac:dyDescent="0.3">
      <c r="J47" s="67"/>
      <c r="K47" s="142">
        <f>SUM(K32:K46)</f>
        <v>582184.5</v>
      </c>
      <c r="L47" s="143"/>
      <c r="M47" s="143"/>
      <c r="N47" s="143">
        <f>SUM(N32:N46)</f>
        <v>582184.5</v>
      </c>
      <c r="O47" s="144"/>
      <c r="R47" s="192"/>
      <c r="S47" s="192"/>
      <c r="T47" s="192"/>
      <c r="U47" s="193"/>
      <c r="V47" s="194"/>
      <c r="W47" s="137"/>
    </row>
    <row r="48" spans="2:24" x14ac:dyDescent="0.25">
      <c r="R48" s="192"/>
      <c r="S48" s="192"/>
      <c r="T48" s="192"/>
      <c r="U48" s="193"/>
      <c r="V48" s="194"/>
      <c r="W48" s="137"/>
    </row>
    <row r="49" spans="2:23" ht="16.5" thickBot="1" x14ac:dyDescent="0.3">
      <c r="R49" s="192"/>
      <c r="S49" s="192"/>
      <c r="T49" s="192"/>
      <c r="U49" s="193"/>
      <c r="V49" s="194"/>
      <c r="W49" s="137"/>
    </row>
    <row r="50" spans="2:23" ht="19.5" thickBot="1" x14ac:dyDescent="0.35">
      <c r="J50" s="268">
        <v>1</v>
      </c>
      <c r="K50" s="86" t="s">
        <v>28</v>
      </c>
      <c r="L50" s="86"/>
      <c r="M50" s="110"/>
      <c r="N50" s="148">
        <v>42420</v>
      </c>
      <c r="O50" s="112"/>
      <c r="R50" s="138"/>
      <c r="S50" s="138"/>
      <c r="T50" s="138"/>
      <c r="U50" s="139"/>
      <c r="V50" s="140"/>
      <c r="W50" s="141"/>
    </row>
    <row r="51" spans="2:23" ht="19.5" thickBot="1" x14ac:dyDescent="0.35">
      <c r="J51" s="269"/>
      <c r="K51" s="113"/>
      <c r="L51" s="113"/>
      <c r="M51" s="114"/>
      <c r="N51" s="115"/>
      <c r="O51" s="112"/>
      <c r="R51" s="67"/>
      <c r="S51" s="142">
        <f>SUM(S32:S50)</f>
        <v>314875.3</v>
      </c>
      <c r="T51" s="143"/>
      <c r="U51" s="143"/>
      <c r="V51" s="143">
        <f>SUM(V32:V50)</f>
        <v>305352.5</v>
      </c>
      <c r="W51" s="144"/>
    </row>
    <row r="52" spans="2:23" ht="16.5" thickBot="1" x14ac:dyDescent="0.3">
      <c r="J52" s="116" t="s">
        <v>23</v>
      </c>
      <c r="K52" s="116" t="s">
        <v>24</v>
      </c>
      <c r="L52" s="116"/>
      <c r="M52" s="117" t="s">
        <v>29</v>
      </c>
      <c r="N52" s="118" t="s">
        <v>30</v>
      </c>
      <c r="O52" s="119"/>
    </row>
    <row r="53" spans="2:23" ht="16.5" thickTop="1" x14ac:dyDescent="0.25">
      <c r="J53" s="93" t="s">
        <v>85</v>
      </c>
      <c r="K53" s="94">
        <v>449.89</v>
      </c>
      <c r="L53" s="120" t="s">
        <v>36</v>
      </c>
      <c r="M53" s="121" t="s">
        <v>31</v>
      </c>
      <c r="N53" s="122">
        <v>11493</v>
      </c>
      <c r="O53" s="123">
        <v>42387</v>
      </c>
    </row>
    <row r="54" spans="2:23" x14ac:dyDescent="0.25">
      <c r="B54"/>
      <c r="C54"/>
      <c r="E54"/>
      <c r="F54" s="14"/>
      <c r="J54" s="93" t="s">
        <v>91</v>
      </c>
      <c r="K54" s="100">
        <v>318940.65000000002</v>
      </c>
      <c r="L54" s="124"/>
      <c r="M54" s="125">
        <v>3358260</v>
      </c>
      <c r="N54" s="126">
        <v>13116</v>
      </c>
      <c r="O54" s="127">
        <v>42389</v>
      </c>
    </row>
    <row r="55" spans="2:23" x14ac:dyDescent="0.25">
      <c r="B55"/>
      <c r="C55"/>
      <c r="E55"/>
      <c r="F55" s="14"/>
      <c r="J55" s="93" t="s">
        <v>92</v>
      </c>
      <c r="K55" s="94">
        <v>290974.95</v>
      </c>
      <c r="L55" s="124"/>
      <c r="M55" s="125">
        <v>3358258</v>
      </c>
      <c r="N55" s="126">
        <v>51708</v>
      </c>
      <c r="O55" s="127">
        <v>42390</v>
      </c>
    </row>
    <row r="56" spans="2:23" x14ac:dyDescent="0.25">
      <c r="B56"/>
      <c r="C56"/>
      <c r="E56"/>
      <c r="F56" s="14"/>
      <c r="J56" s="93" t="s">
        <v>89</v>
      </c>
      <c r="K56" s="94">
        <v>5579</v>
      </c>
      <c r="L56" s="124"/>
      <c r="M56" s="125">
        <v>3358259</v>
      </c>
      <c r="N56" s="126">
        <v>70000</v>
      </c>
      <c r="O56" s="127">
        <v>42390</v>
      </c>
    </row>
    <row r="57" spans="2:23" x14ac:dyDescent="0.25">
      <c r="B57"/>
      <c r="C57"/>
      <c r="E57"/>
      <c r="F57" s="14"/>
      <c r="J57" s="93" t="s">
        <v>90</v>
      </c>
      <c r="K57" s="94">
        <v>8044.01</v>
      </c>
      <c r="L57" s="124" t="s">
        <v>88</v>
      </c>
      <c r="M57" s="125" t="s">
        <v>31</v>
      </c>
      <c r="N57" s="126">
        <v>7971</v>
      </c>
      <c r="O57" s="127">
        <v>42391</v>
      </c>
    </row>
    <row r="58" spans="2:23" x14ac:dyDescent="0.25">
      <c r="B58"/>
      <c r="C58"/>
      <c r="E58"/>
      <c r="F58" s="14"/>
      <c r="J58" s="93"/>
      <c r="K58" s="94"/>
      <c r="L58" s="128"/>
      <c r="M58" s="125" t="s">
        <v>31</v>
      </c>
      <c r="N58" s="126">
        <v>7562</v>
      </c>
      <c r="O58" s="127">
        <v>42392</v>
      </c>
    </row>
    <row r="59" spans="2:23" x14ac:dyDescent="0.25">
      <c r="B59"/>
      <c r="C59"/>
      <c r="E59"/>
      <c r="F59" s="14"/>
      <c r="J59" s="93"/>
      <c r="K59" s="94"/>
      <c r="L59" s="129"/>
      <c r="M59" s="125">
        <v>3358257</v>
      </c>
      <c r="N59" s="126">
        <v>45000</v>
      </c>
      <c r="O59" s="127">
        <v>42391</v>
      </c>
    </row>
    <row r="60" spans="2:23" ht="15" x14ac:dyDescent="0.25">
      <c r="B60"/>
      <c r="C60"/>
      <c r="E60"/>
      <c r="F60" s="14"/>
      <c r="J60" s="93"/>
      <c r="K60" s="94"/>
      <c r="L60" s="124"/>
      <c r="M60" s="130">
        <v>3358256</v>
      </c>
      <c r="N60" s="131">
        <v>55000</v>
      </c>
      <c r="O60" s="127">
        <v>42391</v>
      </c>
    </row>
    <row r="61" spans="2:23" ht="15" x14ac:dyDescent="0.25">
      <c r="B61"/>
      <c r="C61"/>
      <c r="E61"/>
      <c r="F61" s="14"/>
      <c r="J61" s="93"/>
      <c r="K61" s="94"/>
      <c r="L61" s="124"/>
      <c r="M61" s="130">
        <v>3358255</v>
      </c>
      <c r="N61" s="131">
        <v>28215</v>
      </c>
      <c r="O61" s="127">
        <v>42391</v>
      </c>
    </row>
    <row r="62" spans="2:23" ht="15" x14ac:dyDescent="0.25">
      <c r="B62"/>
      <c r="C62"/>
      <c r="E62"/>
      <c r="F62" s="14"/>
      <c r="J62" s="93"/>
      <c r="K62" s="132"/>
      <c r="L62" s="124"/>
      <c r="M62" s="130" t="s">
        <v>31</v>
      </c>
      <c r="N62" s="131">
        <v>956</v>
      </c>
      <c r="O62" s="127">
        <v>42394</v>
      </c>
    </row>
    <row r="63" spans="2:23" ht="15" x14ac:dyDescent="0.25">
      <c r="B63"/>
      <c r="C63"/>
      <c r="E63"/>
      <c r="F63" s="14"/>
      <c r="J63" s="133"/>
      <c r="K63" s="134"/>
      <c r="L63" s="128"/>
      <c r="M63" s="135" t="s">
        <v>31</v>
      </c>
      <c r="N63" s="136">
        <v>16200</v>
      </c>
      <c r="O63" s="137">
        <v>42392</v>
      </c>
    </row>
    <row r="64" spans="2:23" ht="15" x14ac:dyDescent="0.25">
      <c r="B64"/>
      <c r="C64"/>
      <c r="E64"/>
      <c r="F64" s="14"/>
      <c r="G64"/>
      <c r="H64"/>
      <c r="I64"/>
      <c r="J64" s="133"/>
      <c r="K64" s="134"/>
      <c r="L64" s="128"/>
      <c r="M64" s="135" t="s">
        <v>31</v>
      </c>
      <c r="N64" s="136">
        <v>5446</v>
      </c>
      <c r="O64" s="137">
        <v>42396</v>
      </c>
    </row>
    <row r="65" spans="2:16" ht="15" x14ac:dyDescent="0.25">
      <c r="B65"/>
      <c r="C65"/>
      <c r="E65"/>
      <c r="F65" s="14"/>
      <c r="G65"/>
      <c r="H65"/>
      <c r="I65"/>
      <c r="J65" s="133"/>
      <c r="K65" s="134"/>
      <c r="L65" s="128"/>
      <c r="M65" s="135" t="s">
        <v>31</v>
      </c>
      <c r="N65" s="136">
        <v>84363</v>
      </c>
      <c r="O65" s="137">
        <v>42397</v>
      </c>
      <c r="P65" t="s">
        <v>86</v>
      </c>
    </row>
    <row r="66" spans="2:16" ht="15" x14ac:dyDescent="0.25">
      <c r="B66"/>
      <c r="C66"/>
      <c r="E66"/>
      <c r="F66" s="14"/>
      <c r="G66"/>
      <c r="H66"/>
      <c r="I66"/>
      <c r="J66" s="133"/>
      <c r="K66" s="134"/>
      <c r="L66" s="128"/>
      <c r="M66" s="135">
        <v>3358254</v>
      </c>
      <c r="N66" s="136">
        <v>66988.5</v>
      </c>
      <c r="O66" s="137">
        <v>42392</v>
      </c>
    </row>
    <row r="67" spans="2:16" ht="15" x14ac:dyDescent="0.25">
      <c r="B67"/>
      <c r="C67"/>
      <c r="E67"/>
      <c r="F67" s="14"/>
      <c r="G67"/>
      <c r="H67"/>
      <c r="I67"/>
      <c r="J67" s="192"/>
      <c r="K67" s="192"/>
      <c r="L67" s="192"/>
      <c r="M67" s="193">
        <v>3358253</v>
      </c>
      <c r="N67" s="194">
        <v>65000</v>
      </c>
      <c r="O67" s="137">
        <v>42393</v>
      </c>
    </row>
    <row r="68" spans="2:16" ht="15" x14ac:dyDescent="0.25">
      <c r="B68"/>
      <c r="C68"/>
      <c r="E68"/>
      <c r="F68" s="14"/>
      <c r="G68"/>
      <c r="H68"/>
      <c r="I68"/>
      <c r="J68" s="192"/>
      <c r="K68" s="192"/>
      <c r="L68" s="192"/>
      <c r="M68" s="193">
        <v>3358252</v>
      </c>
      <c r="N68" s="194">
        <v>29970</v>
      </c>
      <c r="O68" s="137">
        <v>42393</v>
      </c>
    </row>
    <row r="69" spans="2:16" ht="15" x14ac:dyDescent="0.25">
      <c r="B69"/>
      <c r="C69"/>
      <c r="E69"/>
      <c r="F69" s="14"/>
      <c r="G69"/>
      <c r="H69"/>
      <c r="I69"/>
      <c r="J69" s="192"/>
      <c r="K69" s="192"/>
      <c r="L69" s="192"/>
      <c r="M69" s="193">
        <v>3358251</v>
      </c>
      <c r="N69" s="194">
        <v>45000</v>
      </c>
      <c r="O69" s="137">
        <v>42394</v>
      </c>
    </row>
    <row r="70" spans="2:16" ht="15" x14ac:dyDescent="0.25">
      <c r="B70"/>
      <c r="C70"/>
      <c r="E70"/>
      <c r="F70" s="14"/>
      <c r="G70"/>
      <c r="H70"/>
      <c r="I70"/>
      <c r="J70" s="192"/>
      <c r="K70" s="192"/>
      <c r="L70" s="192"/>
      <c r="M70" s="193">
        <v>3358245</v>
      </c>
      <c r="N70" s="194">
        <v>20000</v>
      </c>
      <c r="O70" s="137">
        <v>42398</v>
      </c>
    </row>
    <row r="71" spans="2:16" thickBot="1" x14ac:dyDescent="0.3">
      <c r="B71"/>
      <c r="C71"/>
      <c r="E71"/>
      <c r="F71" s="14"/>
      <c r="G71"/>
      <c r="H71"/>
      <c r="I71"/>
      <c r="J71" s="138"/>
      <c r="K71" s="138"/>
      <c r="L71" s="138"/>
      <c r="M71" s="139"/>
      <c r="N71" s="140">
        <v>0</v>
      </c>
      <c r="O71" s="141"/>
    </row>
    <row r="72" spans="2:16" ht="19.5" thickTop="1" x14ac:dyDescent="0.3">
      <c r="B72"/>
      <c r="C72"/>
      <c r="E72"/>
      <c r="F72" s="14"/>
      <c r="G72"/>
      <c r="H72"/>
      <c r="I72"/>
      <c r="J72" s="67"/>
      <c r="K72" s="142">
        <f>SUM(K53:K71)</f>
        <v>623988.5</v>
      </c>
      <c r="L72" s="143"/>
      <c r="M72" s="143"/>
      <c r="N72" s="143">
        <f>SUM(N53:N71)</f>
        <v>623988.5</v>
      </c>
      <c r="O72" s="144"/>
    </row>
    <row r="73" spans="2:16" ht="15" x14ac:dyDescent="0.25">
      <c r="B73"/>
      <c r="C73"/>
      <c r="E73"/>
      <c r="F73" s="14"/>
      <c r="G73"/>
      <c r="H73"/>
      <c r="I73"/>
    </row>
    <row r="74" spans="2:16" ht="15" x14ac:dyDescent="0.25">
      <c r="B74"/>
      <c r="C74"/>
      <c r="E74"/>
      <c r="F74" s="14"/>
      <c r="G74"/>
      <c r="H74"/>
      <c r="I74"/>
    </row>
    <row r="75" spans="2:16" ht="15" x14ac:dyDescent="0.25">
      <c r="B75"/>
      <c r="C75"/>
      <c r="E75"/>
      <c r="F75" s="14"/>
      <c r="G75"/>
      <c r="H75"/>
      <c r="I75"/>
    </row>
    <row r="76" spans="2:16" ht="15" x14ac:dyDescent="0.25">
      <c r="B76"/>
      <c r="C76"/>
      <c r="E76"/>
      <c r="F76" s="14"/>
      <c r="G76"/>
      <c r="H76"/>
      <c r="I76"/>
    </row>
    <row r="77" spans="2:16" ht="15" x14ac:dyDescent="0.25">
      <c r="B77"/>
      <c r="C77"/>
      <c r="E77"/>
      <c r="F77" s="14"/>
      <c r="G77"/>
      <c r="H77"/>
      <c r="I77"/>
    </row>
    <row r="78" spans="2:16" ht="15" x14ac:dyDescent="0.25">
      <c r="B78"/>
      <c r="C78"/>
      <c r="E78"/>
      <c r="F78" s="14"/>
      <c r="G78"/>
      <c r="H78"/>
      <c r="I78"/>
    </row>
    <row r="79" spans="2:16" ht="15" x14ac:dyDescent="0.25">
      <c r="B79"/>
      <c r="C79"/>
      <c r="E79"/>
      <c r="F79" s="14"/>
      <c r="G79"/>
      <c r="H79"/>
      <c r="I79"/>
    </row>
    <row r="80" spans="2:16" ht="15" x14ac:dyDescent="0.25">
      <c r="B80"/>
      <c r="C80"/>
      <c r="E80"/>
      <c r="F80" s="14"/>
      <c r="G80"/>
      <c r="H80"/>
      <c r="I80"/>
    </row>
    <row r="81" spans="2:9" ht="15" x14ac:dyDescent="0.25">
      <c r="B81"/>
      <c r="C81"/>
      <c r="E81"/>
      <c r="F81" s="14"/>
      <c r="G81"/>
      <c r="H81"/>
      <c r="I81"/>
    </row>
    <row r="82" spans="2:9" ht="15" x14ac:dyDescent="0.25">
      <c r="B82"/>
      <c r="C82"/>
      <c r="E82"/>
      <c r="F82" s="14"/>
      <c r="G82"/>
      <c r="H82"/>
      <c r="I82"/>
    </row>
    <row r="83" spans="2:9" ht="15" x14ac:dyDescent="0.25">
      <c r="B83"/>
      <c r="C83"/>
      <c r="E83"/>
      <c r="F83" s="14"/>
      <c r="G83"/>
      <c r="H83"/>
      <c r="I83"/>
    </row>
  </sheetData>
  <sortState ref="B8:D11">
    <sortCondition ref="C8:C11"/>
  </sortState>
  <mergeCells count="5">
    <mergeCell ref="J1:J2"/>
    <mergeCell ref="J29:J30"/>
    <mergeCell ref="J50:J51"/>
    <mergeCell ref="R1:R2"/>
    <mergeCell ref="R29:R30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S111"/>
  <sheetViews>
    <sheetView topLeftCell="A13" workbookViewId="0">
      <selection activeCell="E24" sqref="E24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2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3.42578125" style="1" customWidth="1"/>
    <col min="11" max="11" width="14.85546875" style="1" bestFit="1" customWidth="1"/>
    <col min="12" max="12" width="14.140625" style="2" bestFit="1" customWidth="1"/>
    <col min="13" max="13" width="11.42578125" style="3"/>
    <col min="15" max="15" width="8.140625" customWidth="1"/>
    <col min="16" max="16" width="10.7109375" style="1" customWidth="1"/>
    <col min="17" max="17" width="16.28515625" style="2" customWidth="1"/>
    <col min="18" max="18" width="12.42578125" customWidth="1"/>
    <col min="19" max="19" width="11.42578125" style="1"/>
    <col min="20" max="20" width="17.85546875" style="1" bestFit="1" customWidth="1"/>
    <col min="21" max="21" width="4.85546875" customWidth="1"/>
    <col min="22" max="22" width="11.42578125" style="1"/>
    <col min="23" max="23" width="14.140625" style="1" customWidth="1"/>
    <col min="24" max="24" width="13.42578125" style="1" customWidth="1"/>
    <col min="25" max="25" width="14.85546875" style="1" bestFit="1" customWidth="1"/>
    <col min="26" max="26" width="14.140625" style="2" bestFit="1" customWidth="1"/>
    <col min="27" max="27" width="12.5703125" style="3" bestFit="1" customWidth="1"/>
    <col min="29" max="29" width="8.140625" customWidth="1"/>
    <col min="30" max="30" width="10.7109375" style="1" customWidth="1"/>
    <col min="31" max="31" width="16.28515625" style="2" customWidth="1"/>
    <col min="32" max="32" width="12.42578125" customWidth="1"/>
    <col min="33" max="33" width="11.42578125" style="1"/>
    <col min="34" max="34" width="17.85546875" style="1" bestFit="1" customWidth="1"/>
    <col min="35" max="35" width="4.85546875" customWidth="1"/>
    <col min="36" max="36" width="11.42578125" style="1"/>
    <col min="37" max="37" width="14.140625" style="1" customWidth="1"/>
    <col min="38" max="38" width="13.42578125" style="1" customWidth="1"/>
    <col min="39" max="39" width="14.85546875" style="1" bestFit="1" customWidth="1"/>
    <col min="40" max="40" width="14.140625" style="2" bestFit="1" customWidth="1"/>
    <col min="41" max="41" width="12.5703125" style="3" bestFit="1" customWidth="1"/>
  </cols>
  <sheetData>
    <row r="1" spans="1:41" ht="24" customHeight="1" thickBot="1" x14ac:dyDescent="0.4">
      <c r="C1" s="259" t="s">
        <v>105</v>
      </c>
      <c r="D1" s="259"/>
      <c r="E1" s="259"/>
      <c r="F1" s="259"/>
      <c r="G1" s="259"/>
      <c r="H1" s="259"/>
      <c r="I1" s="259"/>
      <c r="J1" s="259"/>
      <c r="Q1" s="259" t="s">
        <v>105</v>
      </c>
      <c r="R1" s="259"/>
      <c r="S1" s="259"/>
      <c r="T1" s="259"/>
      <c r="U1" s="259"/>
      <c r="V1" s="259"/>
      <c r="W1" s="259"/>
      <c r="X1" s="259"/>
      <c r="AE1" s="259" t="s">
        <v>105</v>
      </c>
      <c r="AF1" s="259"/>
      <c r="AG1" s="259"/>
      <c r="AH1" s="259"/>
      <c r="AI1" s="259"/>
      <c r="AJ1" s="259"/>
      <c r="AK1" s="259"/>
      <c r="AL1" s="259"/>
    </row>
    <row r="2" spans="1:41" ht="19.5" customHeight="1" thickBot="1" x14ac:dyDescent="0.3">
      <c r="C2" s="4" t="s">
        <v>0</v>
      </c>
      <c r="E2" s="5"/>
      <c r="F2" s="5"/>
      <c r="Q2" s="4" t="s">
        <v>0</v>
      </c>
      <c r="S2" s="5"/>
      <c r="T2" s="5"/>
      <c r="AE2" s="4" t="s">
        <v>0</v>
      </c>
      <c r="AG2" s="5"/>
      <c r="AH2" s="5"/>
    </row>
    <row r="3" spans="1:41" ht="32.25" customHeight="1" thickTop="1" thickBot="1" x14ac:dyDescent="0.35">
      <c r="A3" s="6" t="s">
        <v>1</v>
      </c>
      <c r="B3" s="7"/>
      <c r="C3" s="8">
        <v>221672.33</v>
      </c>
      <c r="D3" s="9"/>
      <c r="E3" s="260" t="s">
        <v>2</v>
      </c>
      <c r="F3" s="261"/>
      <c r="I3" s="262" t="s">
        <v>3</v>
      </c>
      <c r="J3" s="263"/>
      <c r="K3" s="264"/>
      <c r="L3" s="10" t="s">
        <v>4</v>
      </c>
      <c r="O3" s="6" t="s">
        <v>1</v>
      </c>
      <c r="P3" s="7"/>
      <c r="Q3" s="8">
        <v>221672.33</v>
      </c>
      <c r="R3" s="9"/>
      <c r="S3" s="260" t="s">
        <v>2</v>
      </c>
      <c r="T3" s="261"/>
      <c r="W3" s="262" t="s">
        <v>3</v>
      </c>
      <c r="X3" s="263"/>
      <c r="Y3" s="264"/>
      <c r="Z3" s="10" t="s">
        <v>4</v>
      </c>
      <c r="AC3" s="6" t="s">
        <v>1</v>
      </c>
      <c r="AD3" s="7"/>
      <c r="AE3" s="8">
        <v>221672.33</v>
      </c>
      <c r="AF3" s="9"/>
      <c r="AG3" s="260" t="s">
        <v>2</v>
      </c>
      <c r="AH3" s="261"/>
      <c r="AK3" s="262" t="s">
        <v>3</v>
      </c>
      <c r="AL3" s="263"/>
      <c r="AM3" s="264"/>
      <c r="AN3" s="10" t="s">
        <v>4</v>
      </c>
    </row>
    <row r="4" spans="1:41" ht="15.75" thickTop="1" x14ac:dyDescent="0.25">
      <c r="B4" s="11">
        <v>42430</v>
      </c>
      <c r="C4" s="12">
        <v>0</v>
      </c>
      <c r="D4" s="185"/>
      <c r="E4" s="186">
        <v>42430</v>
      </c>
      <c r="F4" s="13">
        <v>22710</v>
      </c>
      <c r="G4" s="14"/>
      <c r="H4" s="187">
        <v>42430</v>
      </c>
      <c r="I4" s="15">
        <v>0</v>
      </c>
      <c r="J4" s="16"/>
      <c r="K4" s="17"/>
      <c r="L4" s="18">
        <f>15726+6984</f>
        <v>22710</v>
      </c>
      <c r="P4" s="11">
        <v>42430</v>
      </c>
      <c r="Q4" s="12">
        <v>0</v>
      </c>
      <c r="R4" s="185"/>
      <c r="S4" s="186">
        <v>42430</v>
      </c>
      <c r="T4" s="13">
        <v>22710</v>
      </c>
      <c r="U4" s="14"/>
      <c r="V4" s="187">
        <v>42430</v>
      </c>
      <c r="W4" s="15">
        <v>0</v>
      </c>
      <c r="X4" s="16"/>
      <c r="Y4" s="17"/>
      <c r="Z4" s="18">
        <f>15726+6984</f>
        <v>22710</v>
      </c>
      <c r="AA4" s="33"/>
      <c r="AD4" s="11">
        <v>42430</v>
      </c>
      <c r="AE4" s="12">
        <v>0</v>
      </c>
      <c r="AF4" s="185"/>
      <c r="AG4" s="186">
        <v>42430</v>
      </c>
      <c r="AH4" s="13">
        <v>22710</v>
      </c>
      <c r="AI4" s="14"/>
      <c r="AJ4" s="187">
        <v>42430</v>
      </c>
      <c r="AK4" s="15">
        <v>0</v>
      </c>
      <c r="AL4" s="16"/>
      <c r="AM4" s="17"/>
      <c r="AN4" s="18">
        <f>15726+6984</f>
        <v>22710</v>
      </c>
      <c r="AO4" s="33"/>
    </row>
    <row r="5" spans="1:41" x14ac:dyDescent="0.25">
      <c r="B5" s="11">
        <v>42431</v>
      </c>
      <c r="C5" s="12">
        <v>0</v>
      </c>
      <c r="D5" s="19"/>
      <c r="E5" s="20">
        <v>42431</v>
      </c>
      <c r="F5" s="13">
        <v>17283.5</v>
      </c>
      <c r="G5" s="21"/>
      <c r="H5" s="22">
        <v>42431</v>
      </c>
      <c r="I5" s="15">
        <v>348</v>
      </c>
      <c r="J5" s="23" t="s">
        <v>5</v>
      </c>
      <c r="K5" s="24">
        <v>0</v>
      </c>
      <c r="L5" s="18">
        <v>17360</v>
      </c>
      <c r="P5" s="11">
        <v>42431</v>
      </c>
      <c r="Q5" s="12">
        <v>0</v>
      </c>
      <c r="R5" s="19"/>
      <c r="S5" s="20">
        <v>42431</v>
      </c>
      <c r="T5" s="13">
        <v>17283.5</v>
      </c>
      <c r="U5" s="21"/>
      <c r="V5" s="22">
        <v>42431</v>
      </c>
      <c r="W5" s="15">
        <v>348</v>
      </c>
      <c r="X5" s="23" t="s">
        <v>5</v>
      </c>
      <c r="Y5" s="24">
        <v>0</v>
      </c>
      <c r="Z5" s="18">
        <v>17360</v>
      </c>
      <c r="AD5" s="11">
        <v>42431</v>
      </c>
      <c r="AE5" s="12">
        <v>0</v>
      </c>
      <c r="AF5" s="19"/>
      <c r="AG5" s="20">
        <v>42431</v>
      </c>
      <c r="AH5" s="13">
        <v>17283.5</v>
      </c>
      <c r="AI5" s="21"/>
      <c r="AJ5" s="22">
        <v>42431</v>
      </c>
      <c r="AK5" s="15">
        <v>348</v>
      </c>
      <c r="AL5" s="23" t="s">
        <v>5</v>
      </c>
      <c r="AM5" s="24">
        <v>0</v>
      </c>
      <c r="AN5" s="18">
        <v>17360</v>
      </c>
    </row>
    <row r="6" spans="1:41" x14ac:dyDescent="0.25">
      <c r="B6" s="11">
        <v>42432</v>
      </c>
      <c r="C6" s="12">
        <v>0</v>
      </c>
      <c r="D6" s="19"/>
      <c r="E6" s="20">
        <v>42432</v>
      </c>
      <c r="F6" s="13">
        <v>38246</v>
      </c>
      <c r="G6" s="14"/>
      <c r="H6" s="22">
        <v>42432</v>
      </c>
      <c r="I6" s="15">
        <v>0</v>
      </c>
      <c r="J6" s="25" t="s">
        <v>6</v>
      </c>
      <c r="K6" s="24">
        <v>2500</v>
      </c>
      <c r="L6" s="18">
        <f>12651+25795</f>
        <v>38446</v>
      </c>
      <c r="P6" s="11">
        <v>42432</v>
      </c>
      <c r="Q6" s="12">
        <v>0</v>
      </c>
      <c r="R6" s="19"/>
      <c r="S6" s="20">
        <v>42432</v>
      </c>
      <c r="T6" s="13">
        <v>38246</v>
      </c>
      <c r="U6" s="14"/>
      <c r="V6" s="22">
        <v>42432</v>
      </c>
      <c r="W6" s="15">
        <v>0</v>
      </c>
      <c r="X6" s="25" t="s">
        <v>6</v>
      </c>
      <c r="Y6" s="24">
        <v>2500</v>
      </c>
      <c r="Z6" s="18">
        <f>12651+25795</f>
        <v>38446</v>
      </c>
      <c r="AA6" s="33"/>
      <c r="AD6" s="11">
        <v>42432</v>
      </c>
      <c r="AE6" s="12">
        <v>0</v>
      </c>
      <c r="AF6" s="19"/>
      <c r="AG6" s="20">
        <v>42432</v>
      </c>
      <c r="AH6" s="13">
        <v>38246</v>
      </c>
      <c r="AI6" s="14"/>
      <c r="AJ6" s="22">
        <v>42432</v>
      </c>
      <c r="AK6" s="15">
        <v>0</v>
      </c>
      <c r="AL6" s="25" t="s">
        <v>6</v>
      </c>
      <c r="AM6" s="24">
        <v>2500</v>
      </c>
      <c r="AN6" s="18">
        <f>12651+25795</f>
        <v>38446</v>
      </c>
      <c r="AO6" s="33"/>
    </row>
    <row r="7" spans="1:41" x14ac:dyDescent="0.25">
      <c r="B7" s="11">
        <v>42433</v>
      </c>
      <c r="C7" s="12">
        <f>5512.1+176147.29</f>
        <v>181659.39</v>
      </c>
      <c r="D7" s="26" t="s">
        <v>123</v>
      </c>
      <c r="E7" s="20">
        <v>42433</v>
      </c>
      <c r="F7" s="13">
        <v>50920.1</v>
      </c>
      <c r="G7" s="14"/>
      <c r="H7" s="22">
        <v>42433</v>
      </c>
      <c r="I7" s="15">
        <v>35</v>
      </c>
      <c r="J7" s="23" t="s">
        <v>7</v>
      </c>
      <c r="K7" s="24">
        <v>7187.5</v>
      </c>
      <c r="L7" s="18">
        <f>96000+6298+27289+39876</f>
        <v>169463</v>
      </c>
      <c r="P7" s="11">
        <v>42433</v>
      </c>
      <c r="Q7" s="12">
        <f>5512.1+176147.29</f>
        <v>181659.39</v>
      </c>
      <c r="R7" s="26" t="s">
        <v>123</v>
      </c>
      <c r="S7" s="20">
        <v>42433</v>
      </c>
      <c r="T7" s="13">
        <v>50920.1</v>
      </c>
      <c r="U7" s="14"/>
      <c r="V7" s="22">
        <v>42433</v>
      </c>
      <c r="W7" s="15">
        <v>35</v>
      </c>
      <c r="X7" s="23" t="s">
        <v>7</v>
      </c>
      <c r="Y7" s="24">
        <v>7187.5</v>
      </c>
      <c r="Z7" s="18">
        <f>96000+6298+27289+39876</f>
        <v>169463</v>
      </c>
      <c r="AD7" s="11">
        <v>42433</v>
      </c>
      <c r="AE7" s="12">
        <f>5512.1+176147.29</f>
        <v>181659.39</v>
      </c>
      <c r="AF7" s="26" t="s">
        <v>123</v>
      </c>
      <c r="AG7" s="20">
        <v>42433</v>
      </c>
      <c r="AH7" s="13">
        <v>50920.1</v>
      </c>
      <c r="AI7" s="14"/>
      <c r="AJ7" s="22">
        <v>42433</v>
      </c>
      <c r="AK7" s="15">
        <v>35</v>
      </c>
      <c r="AL7" s="23" t="s">
        <v>7</v>
      </c>
      <c r="AM7" s="24">
        <v>7187.5</v>
      </c>
      <c r="AN7" s="18">
        <f>96000+6298+27289+39876</f>
        <v>169463</v>
      </c>
    </row>
    <row r="8" spans="1:41" x14ac:dyDescent="0.25">
      <c r="B8" s="11">
        <v>42434</v>
      </c>
      <c r="C8" s="12">
        <v>5682.6</v>
      </c>
      <c r="D8" s="26" t="s">
        <v>124</v>
      </c>
      <c r="E8" s="20">
        <v>42434</v>
      </c>
      <c r="F8" s="13">
        <v>97118.34</v>
      </c>
      <c r="G8" s="14"/>
      <c r="H8" s="22">
        <v>42434</v>
      </c>
      <c r="I8" s="15">
        <v>0</v>
      </c>
      <c r="J8" s="23" t="s">
        <v>80</v>
      </c>
      <c r="K8" s="13">
        <v>5579.12</v>
      </c>
      <c r="L8" s="18">
        <f>5606+8523+49208+28099</f>
        <v>91436</v>
      </c>
      <c r="P8" s="11">
        <v>42434</v>
      </c>
      <c r="Q8" s="12">
        <v>5682.6</v>
      </c>
      <c r="R8" s="26" t="s">
        <v>124</v>
      </c>
      <c r="S8" s="20">
        <v>42434</v>
      </c>
      <c r="T8" s="13">
        <v>97118.34</v>
      </c>
      <c r="U8" s="14"/>
      <c r="V8" s="22">
        <v>42434</v>
      </c>
      <c r="W8" s="15">
        <v>0</v>
      </c>
      <c r="X8" s="23" t="s">
        <v>80</v>
      </c>
      <c r="Y8" s="13">
        <v>5579.12</v>
      </c>
      <c r="Z8" s="18">
        <f>5606+8523+49208+28099</f>
        <v>91436</v>
      </c>
      <c r="AD8" s="11">
        <v>42434</v>
      </c>
      <c r="AE8" s="12">
        <v>5682.6</v>
      </c>
      <c r="AF8" s="26" t="s">
        <v>124</v>
      </c>
      <c r="AG8" s="20">
        <v>42434</v>
      </c>
      <c r="AH8" s="13">
        <v>97118.34</v>
      </c>
      <c r="AI8" s="14"/>
      <c r="AJ8" s="22">
        <v>42434</v>
      </c>
      <c r="AK8" s="15">
        <v>0</v>
      </c>
      <c r="AL8" s="23" t="s">
        <v>80</v>
      </c>
      <c r="AM8" s="13">
        <v>5579.12</v>
      </c>
      <c r="AN8" s="18">
        <f>5606+8523+49208+28099</f>
        <v>91436</v>
      </c>
    </row>
    <row r="9" spans="1:41" x14ac:dyDescent="0.25">
      <c r="B9" s="11">
        <v>42435</v>
      </c>
      <c r="C9" s="12">
        <v>0</v>
      </c>
      <c r="D9" s="26"/>
      <c r="E9" s="20">
        <v>42435</v>
      </c>
      <c r="F9" s="13">
        <v>42103.1</v>
      </c>
      <c r="G9" s="14"/>
      <c r="H9" s="22">
        <v>42435</v>
      </c>
      <c r="I9" s="15">
        <v>0</v>
      </c>
      <c r="J9" s="23" t="s">
        <v>115</v>
      </c>
      <c r="K9" s="13">
        <v>7029.12</v>
      </c>
      <c r="L9" s="18">
        <f>34800+7303</f>
        <v>42103</v>
      </c>
      <c r="P9" s="11">
        <v>42435</v>
      </c>
      <c r="Q9" s="12">
        <v>0</v>
      </c>
      <c r="R9" s="26"/>
      <c r="S9" s="20">
        <v>42435</v>
      </c>
      <c r="T9" s="13">
        <v>42103.1</v>
      </c>
      <c r="U9" s="14"/>
      <c r="V9" s="22">
        <v>42435</v>
      </c>
      <c r="W9" s="15">
        <v>0</v>
      </c>
      <c r="X9" s="23" t="s">
        <v>115</v>
      </c>
      <c r="Y9" s="13">
        <v>7029.12</v>
      </c>
      <c r="Z9" s="18">
        <f>34800+7303</f>
        <v>42103</v>
      </c>
      <c r="AA9" s="33"/>
      <c r="AD9" s="11">
        <v>42435</v>
      </c>
      <c r="AE9" s="12">
        <v>0</v>
      </c>
      <c r="AF9" s="26"/>
      <c r="AG9" s="20">
        <v>42435</v>
      </c>
      <c r="AH9" s="13">
        <v>42103.1</v>
      </c>
      <c r="AI9" s="14"/>
      <c r="AJ9" s="22">
        <v>42435</v>
      </c>
      <c r="AK9" s="15">
        <v>0</v>
      </c>
      <c r="AL9" s="23" t="s">
        <v>115</v>
      </c>
      <c r="AM9" s="13">
        <v>0</v>
      </c>
      <c r="AN9" s="18">
        <f>34800+7303</f>
        <v>42103</v>
      </c>
      <c r="AO9" s="33"/>
    </row>
    <row r="10" spans="1:41" x14ac:dyDescent="0.25">
      <c r="A10" s="27"/>
      <c r="B10" s="11">
        <v>42436</v>
      </c>
      <c r="C10" s="12">
        <v>118814.6</v>
      </c>
      <c r="D10" s="26" t="s">
        <v>125</v>
      </c>
      <c r="E10" s="20">
        <v>42436</v>
      </c>
      <c r="F10" s="13">
        <v>136875.1</v>
      </c>
      <c r="G10" s="14"/>
      <c r="H10" s="22">
        <v>42436</v>
      </c>
      <c r="I10" s="15">
        <v>0</v>
      </c>
      <c r="J10" s="23" t="s">
        <v>116</v>
      </c>
      <c r="K10" s="13">
        <v>4733.55</v>
      </c>
      <c r="L10" s="18">
        <v>18060</v>
      </c>
      <c r="O10" s="27"/>
      <c r="P10" s="11">
        <v>42436</v>
      </c>
      <c r="Q10" s="12">
        <v>118814.6</v>
      </c>
      <c r="R10" s="26" t="s">
        <v>125</v>
      </c>
      <c r="S10" s="20">
        <v>42436</v>
      </c>
      <c r="T10" s="13">
        <v>136875.1</v>
      </c>
      <c r="U10" s="14"/>
      <c r="V10" s="22">
        <v>42436</v>
      </c>
      <c r="W10" s="15">
        <v>0</v>
      </c>
      <c r="X10" s="23" t="s">
        <v>116</v>
      </c>
      <c r="Y10" s="13">
        <v>0</v>
      </c>
      <c r="Z10" s="18">
        <v>18060</v>
      </c>
      <c r="AC10" s="27"/>
      <c r="AD10" s="11">
        <v>42436</v>
      </c>
      <c r="AE10" s="12">
        <v>118814.6</v>
      </c>
      <c r="AF10" s="26" t="s">
        <v>125</v>
      </c>
      <c r="AG10" s="20">
        <v>42436</v>
      </c>
      <c r="AH10" s="13">
        <v>136875.1</v>
      </c>
      <c r="AI10" s="14"/>
      <c r="AJ10" s="22">
        <v>42436</v>
      </c>
      <c r="AK10" s="15">
        <v>0</v>
      </c>
      <c r="AL10" s="23" t="s">
        <v>116</v>
      </c>
      <c r="AM10" s="13">
        <v>0</v>
      </c>
      <c r="AN10" s="18">
        <v>18060</v>
      </c>
    </row>
    <row r="11" spans="1:41" x14ac:dyDescent="0.25">
      <c r="B11" s="11">
        <v>42437</v>
      </c>
      <c r="C11" s="12">
        <v>0</v>
      </c>
      <c r="D11" s="26"/>
      <c r="E11" s="20">
        <v>42437</v>
      </c>
      <c r="F11" s="13">
        <v>22592.5</v>
      </c>
      <c r="G11" s="14"/>
      <c r="H11" s="22">
        <v>42437</v>
      </c>
      <c r="I11" s="15">
        <v>0</v>
      </c>
      <c r="J11" s="23" t="s">
        <v>117</v>
      </c>
      <c r="K11" s="13">
        <v>0</v>
      </c>
      <c r="L11" s="18">
        <v>22592.5</v>
      </c>
      <c r="P11" s="11">
        <v>42437</v>
      </c>
      <c r="Q11" s="12">
        <v>0</v>
      </c>
      <c r="R11" s="26"/>
      <c r="S11" s="20">
        <v>42437</v>
      </c>
      <c r="T11" s="13">
        <v>22592.5</v>
      </c>
      <c r="U11" s="14"/>
      <c r="V11" s="22">
        <v>42437</v>
      </c>
      <c r="W11" s="15">
        <v>0</v>
      </c>
      <c r="X11" s="23" t="s">
        <v>117</v>
      </c>
      <c r="Y11" s="13">
        <v>0</v>
      </c>
      <c r="Z11" s="18">
        <v>22592.5</v>
      </c>
      <c r="AD11" s="11">
        <v>42437</v>
      </c>
      <c r="AE11" s="12">
        <v>0</v>
      </c>
      <c r="AF11" s="26"/>
      <c r="AG11" s="20">
        <v>42437</v>
      </c>
      <c r="AH11" s="13">
        <v>22592.5</v>
      </c>
      <c r="AI11" s="14"/>
      <c r="AJ11" s="22">
        <v>42437</v>
      </c>
      <c r="AK11" s="15">
        <v>0</v>
      </c>
      <c r="AL11" s="23" t="s">
        <v>117</v>
      </c>
      <c r="AM11" s="13">
        <v>0</v>
      </c>
      <c r="AN11" s="18">
        <v>22592.5</v>
      </c>
    </row>
    <row r="12" spans="1:41" x14ac:dyDescent="0.25">
      <c r="A12" s="28"/>
      <c r="B12" s="11">
        <v>42438</v>
      </c>
      <c r="C12" s="12">
        <f>2550+53612.12+38419</f>
        <v>94581.119999999995</v>
      </c>
      <c r="D12" s="19" t="s">
        <v>126</v>
      </c>
      <c r="E12" s="20">
        <v>42438</v>
      </c>
      <c r="F12" s="13">
        <v>93689</v>
      </c>
      <c r="G12" s="14"/>
      <c r="H12" s="22">
        <v>42438</v>
      </c>
      <c r="I12" s="15">
        <v>0</v>
      </c>
      <c r="J12" s="23" t="s">
        <v>118</v>
      </c>
      <c r="K12" s="13">
        <v>0</v>
      </c>
      <c r="L12" s="18">
        <v>0</v>
      </c>
      <c r="O12" s="28"/>
      <c r="P12" s="11">
        <v>42438</v>
      </c>
      <c r="Q12" s="12">
        <f>2550+53612.12+38419</f>
        <v>94581.119999999995</v>
      </c>
      <c r="R12" s="19" t="s">
        <v>126</v>
      </c>
      <c r="S12" s="20">
        <v>42438</v>
      </c>
      <c r="T12" s="13">
        <v>93689</v>
      </c>
      <c r="U12" s="14"/>
      <c r="V12" s="22">
        <v>42438</v>
      </c>
      <c r="W12" s="15">
        <v>0</v>
      </c>
      <c r="X12" s="23" t="s">
        <v>118</v>
      </c>
      <c r="Y12" s="13">
        <v>0</v>
      </c>
      <c r="Z12" s="18">
        <v>0</v>
      </c>
      <c r="AA12" s="238"/>
      <c r="AC12" s="28"/>
      <c r="AD12" s="11">
        <v>42438</v>
      </c>
      <c r="AE12" s="12">
        <v>94581.119999999995</v>
      </c>
      <c r="AF12" s="19" t="s">
        <v>126</v>
      </c>
      <c r="AG12" s="20">
        <v>42438</v>
      </c>
      <c r="AH12" s="13">
        <v>93689</v>
      </c>
      <c r="AI12" s="14"/>
      <c r="AJ12" s="22">
        <v>42438</v>
      </c>
      <c r="AK12" s="15">
        <v>0</v>
      </c>
      <c r="AL12" s="23" t="s">
        <v>118</v>
      </c>
      <c r="AM12" s="13">
        <v>0</v>
      </c>
      <c r="AN12" s="18">
        <v>0</v>
      </c>
      <c r="AO12" s="223">
        <f>69000+23031</f>
        <v>92031</v>
      </c>
    </row>
    <row r="13" spans="1:41" x14ac:dyDescent="0.25">
      <c r="A13" s="28"/>
      <c r="B13" s="11">
        <v>42439</v>
      </c>
      <c r="C13" s="12">
        <f>19179+27349.45+18547.55</f>
        <v>65076</v>
      </c>
      <c r="D13" s="40" t="s">
        <v>127</v>
      </c>
      <c r="E13" s="20">
        <v>42439</v>
      </c>
      <c r="F13" s="13">
        <v>65076.1</v>
      </c>
      <c r="G13" s="14"/>
      <c r="H13" s="22">
        <v>42439</v>
      </c>
      <c r="I13" s="15">
        <v>0</v>
      </c>
      <c r="J13" s="30" t="s">
        <v>8</v>
      </c>
      <c r="K13" s="13">
        <v>800</v>
      </c>
      <c r="L13" s="18">
        <v>0</v>
      </c>
      <c r="O13" s="28"/>
      <c r="P13" s="11">
        <v>42439</v>
      </c>
      <c r="Q13" s="12">
        <f>19179+27349.45+18547.55</f>
        <v>65076</v>
      </c>
      <c r="R13" s="40" t="s">
        <v>127</v>
      </c>
      <c r="S13" s="20">
        <v>42439</v>
      </c>
      <c r="T13" s="13">
        <v>65076.1</v>
      </c>
      <c r="U13" s="14"/>
      <c r="V13" s="22">
        <v>42439</v>
      </c>
      <c r="W13" s="15">
        <v>0</v>
      </c>
      <c r="X13" s="30" t="s">
        <v>8</v>
      </c>
      <c r="Y13" s="13">
        <v>800</v>
      </c>
      <c r="Z13" s="18">
        <v>0</v>
      </c>
      <c r="AA13" s="33"/>
      <c r="AC13" s="28"/>
      <c r="AD13" s="11">
        <v>42439</v>
      </c>
      <c r="AE13" s="12"/>
      <c r="AF13" s="40"/>
      <c r="AG13" s="20">
        <v>42439</v>
      </c>
      <c r="AH13" s="13"/>
      <c r="AI13" s="14"/>
      <c r="AJ13" s="22">
        <v>42439</v>
      </c>
      <c r="AK13" s="15">
        <v>0</v>
      </c>
      <c r="AL13" s="30" t="s">
        <v>8</v>
      </c>
      <c r="AM13" s="13">
        <v>800</v>
      </c>
      <c r="AN13" s="18">
        <v>0</v>
      </c>
      <c r="AO13" s="222">
        <f>25000+25581+14495</f>
        <v>65076</v>
      </c>
    </row>
    <row r="14" spans="1:41" x14ac:dyDescent="0.25">
      <c r="B14" s="11">
        <v>42440</v>
      </c>
      <c r="C14" s="12">
        <v>56694</v>
      </c>
      <c r="D14" s="19" t="s">
        <v>142</v>
      </c>
      <c r="E14" s="20">
        <v>42440</v>
      </c>
      <c r="F14" s="13">
        <v>56694.1</v>
      </c>
      <c r="G14" s="14"/>
      <c r="H14" s="22">
        <v>42440</v>
      </c>
      <c r="I14" s="15">
        <v>0</v>
      </c>
      <c r="J14" s="31">
        <v>42432</v>
      </c>
      <c r="K14" s="13">
        <v>0</v>
      </c>
      <c r="L14" s="18">
        <v>0</v>
      </c>
      <c r="P14" s="11">
        <v>42440</v>
      </c>
      <c r="Q14" s="12">
        <v>56694</v>
      </c>
      <c r="R14" s="19" t="s">
        <v>142</v>
      </c>
      <c r="S14" s="20">
        <v>42440</v>
      </c>
      <c r="T14" s="13">
        <v>56694.1</v>
      </c>
      <c r="U14" s="14"/>
      <c r="V14" s="22">
        <v>42440</v>
      </c>
      <c r="W14" s="15">
        <v>0</v>
      </c>
      <c r="X14" s="31">
        <v>42432</v>
      </c>
      <c r="Y14" s="13">
        <v>0</v>
      </c>
      <c r="Z14" s="18">
        <v>0</v>
      </c>
      <c r="AA14" s="33"/>
      <c r="AD14" s="11">
        <v>42440</v>
      </c>
      <c r="AE14" s="12"/>
      <c r="AF14" s="19"/>
      <c r="AG14" s="20">
        <v>42440</v>
      </c>
      <c r="AH14" s="13"/>
      <c r="AI14" s="14"/>
      <c r="AJ14" s="22">
        <v>42440</v>
      </c>
      <c r="AK14" s="15">
        <v>0</v>
      </c>
      <c r="AL14" s="31">
        <v>42432</v>
      </c>
      <c r="AM14" s="13">
        <v>0</v>
      </c>
      <c r="AN14" s="18">
        <v>0</v>
      </c>
      <c r="AO14" s="222">
        <v>56694</v>
      </c>
    </row>
    <row r="15" spans="1:41" x14ac:dyDescent="0.25">
      <c r="A15" s="28"/>
      <c r="B15" s="11">
        <v>42441</v>
      </c>
      <c r="C15" s="12">
        <f>77283.2+602.5+24484.85</f>
        <v>102370.54999999999</v>
      </c>
      <c r="D15" s="19" t="s">
        <v>128</v>
      </c>
      <c r="E15" s="20">
        <v>42441</v>
      </c>
      <c r="F15" s="13">
        <v>102370.55</v>
      </c>
      <c r="G15" s="14"/>
      <c r="H15" s="22">
        <v>42441</v>
      </c>
      <c r="I15" s="15">
        <v>0</v>
      </c>
      <c r="J15" s="32" t="s">
        <v>9</v>
      </c>
      <c r="K15" s="13">
        <v>0</v>
      </c>
      <c r="L15" s="18">
        <v>0</v>
      </c>
      <c r="O15" s="28"/>
      <c r="P15" s="11">
        <v>42441</v>
      </c>
      <c r="Q15" s="12">
        <f>77283.2+602.5+24484.85</f>
        <v>102370.54999999999</v>
      </c>
      <c r="R15" s="19" t="s">
        <v>128</v>
      </c>
      <c r="S15" s="20">
        <v>42441</v>
      </c>
      <c r="T15" s="13">
        <v>102370.55</v>
      </c>
      <c r="U15" s="14"/>
      <c r="V15" s="22">
        <v>42441</v>
      </c>
      <c r="W15" s="15">
        <v>0</v>
      </c>
      <c r="X15" s="32" t="s">
        <v>9</v>
      </c>
      <c r="Y15" s="13">
        <v>0</v>
      </c>
      <c r="Z15" s="18">
        <v>0</v>
      </c>
      <c r="AA15" s="33"/>
      <c r="AC15" s="28"/>
      <c r="AD15" s="11">
        <v>42441</v>
      </c>
      <c r="AE15" s="12"/>
      <c r="AF15" s="19"/>
      <c r="AG15" s="20">
        <v>42441</v>
      </c>
      <c r="AH15" s="13"/>
      <c r="AI15" s="14"/>
      <c r="AJ15" s="22">
        <v>42441</v>
      </c>
      <c r="AK15" s="15">
        <v>0</v>
      </c>
      <c r="AL15" s="32" t="s">
        <v>9</v>
      </c>
      <c r="AM15" s="13">
        <v>0</v>
      </c>
      <c r="AN15" s="18">
        <v>0</v>
      </c>
      <c r="AO15" s="222">
        <f>51000+51370.5</f>
        <v>102370.5</v>
      </c>
    </row>
    <row r="16" spans="1:41" x14ac:dyDescent="0.25">
      <c r="A16" s="28"/>
      <c r="B16" s="11">
        <v>42442</v>
      </c>
      <c r="C16" s="12">
        <v>54201</v>
      </c>
      <c r="D16" s="19" t="s">
        <v>129</v>
      </c>
      <c r="E16" s="20">
        <v>42442</v>
      </c>
      <c r="F16" s="13">
        <v>54200.75</v>
      </c>
      <c r="G16" s="14"/>
      <c r="H16" s="22">
        <v>42442</v>
      </c>
      <c r="I16" s="15">
        <v>0</v>
      </c>
      <c r="J16" s="34"/>
      <c r="K16" s="13">
        <v>0</v>
      </c>
      <c r="L16" s="18">
        <v>0</v>
      </c>
      <c r="O16" s="28"/>
      <c r="P16" s="11">
        <v>42442</v>
      </c>
      <c r="Q16" s="12">
        <v>54201</v>
      </c>
      <c r="R16" s="19" t="s">
        <v>129</v>
      </c>
      <c r="S16" s="20">
        <v>42442</v>
      </c>
      <c r="T16" s="13">
        <v>54200.75</v>
      </c>
      <c r="U16" s="14"/>
      <c r="V16" s="22">
        <v>42442</v>
      </c>
      <c r="W16" s="15">
        <v>0</v>
      </c>
      <c r="X16" s="34"/>
      <c r="Y16" s="13">
        <v>0</v>
      </c>
      <c r="Z16" s="18">
        <v>0</v>
      </c>
      <c r="AA16" s="33"/>
      <c r="AC16" s="28"/>
      <c r="AD16" s="11">
        <v>42442</v>
      </c>
      <c r="AE16" s="12"/>
      <c r="AF16" s="19"/>
      <c r="AG16" s="20">
        <v>42442</v>
      </c>
      <c r="AH16" s="13"/>
      <c r="AI16" s="14"/>
      <c r="AJ16" s="22">
        <v>42442</v>
      </c>
      <c r="AK16" s="15">
        <v>0</v>
      </c>
      <c r="AL16" s="34"/>
      <c r="AM16" s="13">
        <v>0</v>
      </c>
      <c r="AN16" s="18">
        <v>0</v>
      </c>
      <c r="AO16" s="222">
        <f>9923.5+23554.5+20723</f>
        <v>54201</v>
      </c>
    </row>
    <row r="17" spans="1:45" x14ac:dyDescent="0.25">
      <c r="A17" s="28"/>
      <c r="B17" s="11">
        <v>42443</v>
      </c>
      <c r="C17" s="12">
        <v>45412</v>
      </c>
      <c r="D17" s="19" t="s">
        <v>129</v>
      </c>
      <c r="E17" s="20">
        <v>42443</v>
      </c>
      <c r="F17" s="13">
        <v>45478</v>
      </c>
      <c r="G17" s="14"/>
      <c r="H17" s="22">
        <v>42443</v>
      </c>
      <c r="I17" s="15">
        <v>66</v>
      </c>
      <c r="J17" s="35" t="s">
        <v>10</v>
      </c>
      <c r="K17" s="13">
        <v>0</v>
      </c>
      <c r="L17" s="18">
        <v>0</v>
      </c>
      <c r="O17" s="28"/>
      <c r="P17" s="11">
        <v>42443</v>
      </c>
      <c r="Q17" s="12">
        <v>45412</v>
      </c>
      <c r="R17" s="19" t="s">
        <v>129</v>
      </c>
      <c r="S17" s="20">
        <v>42443</v>
      </c>
      <c r="T17" s="13">
        <v>45478</v>
      </c>
      <c r="U17" s="14"/>
      <c r="V17" s="22">
        <v>42443</v>
      </c>
      <c r="W17" s="15">
        <v>66</v>
      </c>
      <c r="X17" s="35" t="s">
        <v>10</v>
      </c>
      <c r="Y17" s="13">
        <v>0</v>
      </c>
      <c r="Z17" s="18">
        <v>0</v>
      </c>
      <c r="AA17" s="239"/>
      <c r="AC17" s="28"/>
      <c r="AD17" s="11">
        <v>42443</v>
      </c>
      <c r="AE17" s="12"/>
      <c r="AF17" s="19"/>
      <c r="AG17" s="20">
        <v>42443</v>
      </c>
      <c r="AH17" s="13"/>
      <c r="AI17" s="14"/>
      <c r="AJ17" s="22">
        <v>42443</v>
      </c>
      <c r="AK17" s="15"/>
      <c r="AL17" s="35" t="s">
        <v>10</v>
      </c>
      <c r="AM17" s="13">
        <v>0</v>
      </c>
      <c r="AN17" s="18"/>
      <c r="AO17" s="224"/>
    </row>
    <row r="18" spans="1:45" x14ac:dyDescent="0.25">
      <c r="A18" t="s">
        <v>143</v>
      </c>
      <c r="B18" s="11">
        <v>42444</v>
      </c>
      <c r="C18" s="12">
        <v>14943</v>
      </c>
      <c r="D18" s="19"/>
      <c r="E18" s="20">
        <v>42444</v>
      </c>
      <c r="F18" s="13">
        <v>21038</v>
      </c>
      <c r="G18" s="14"/>
      <c r="H18" s="22">
        <v>42444</v>
      </c>
      <c r="I18" s="15">
        <v>0</v>
      </c>
      <c r="J18" s="36"/>
      <c r="K18" s="24">
        <v>0</v>
      </c>
      <c r="L18" s="18">
        <v>6095</v>
      </c>
      <c r="P18" s="11">
        <v>42444</v>
      </c>
      <c r="Q18" s="232">
        <v>14943</v>
      </c>
      <c r="R18" s="19"/>
      <c r="S18" s="20">
        <v>42444</v>
      </c>
      <c r="T18" s="230">
        <v>21038</v>
      </c>
      <c r="U18" s="14"/>
      <c r="V18" s="22">
        <v>42444</v>
      </c>
      <c r="W18" s="231">
        <v>0</v>
      </c>
      <c r="X18" s="36"/>
      <c r="Y18" s="24">
        <v>0</v>
      </c>
      <c r="Z18" s="18">
        <v>6095</v>
      </c>
      <c r="AA18" s="14"/>
      <c r="AD18" s="11">
        <v>42444</v>
      </c>
      <c r="AE18" s="12"/>
      <c r="AF18" s="19"/>
      <c r="AG18" s="20">
        <v>42444</v>
      </c>
      <c r="AH18" s="13"/>
      <c r="AI18" s="14"/>
      <c r="AJ18" s="22">
        <v>42444</v>
      </c>
      <c r="AK18" s="15"/>
      <c r="AL18" s="36"/>
      <c r="AM18" s="24">
        <v>0</v>
      </c>
      <c r="AN18" s="18"/>
      <c r="AO18"/>
    </row>
    <row r="19" spans="1:45" x14ac:dyDescent="0.25">
      <c r="A19" s="28"/>
      <c r="B19" s="11">
        <v>42445</v>
      </c>
      <c r="C19" s="12">
        <v>85035</v>
      </c>
      <c r="D19" s="19" t="s">
        <v>144</v>
      </c>
      <c r="E19" s="20">
        <v>42445</v>
      </c>
      <c r="F19" s="13">
        <v>72473.5</v>
      </c>
      <c r="G19" s="14"/>
      <c r="H19" s="22">
        <v>42445</v>
      </c>
      <c r="I19" s="15">
        <v>0</v>
      </c>
      <c r="J19" s="37" t="s">
        <v>122</v>
      </c>
      <c r="K19" s="13">
        <v>10000</v>
      </c>
      <c r="L19" s="18">
        <v>0</v>
      </c>
      <c r="O19" s="28"/>
      <c r="P19" s="11">
        <v>42445</v>
      </c>
      <c r="Q19" s="12"/>
      <c r="R19" s="19"/>
      <c r="S19" s="20">
        <v>42445</v>
      </c>
      <c r="T19" s="13"/>
      <c r="U19" s="14"/>
      <c r="V19" s="22">
        <v>42445</v>
      </c>
      <c r="W19" s="15"/>
      <c r="X19" s="37" t="s">
        <v>122</v>
      </c>
      <c r="Y19" s="13">
        <v>10000</v>
      </c>
      <c r="Z19" s="18"/>
      <c r="AA19"/>
      <c r="AC19" s="28"/>
      <c r="AD19" s="11">
        <v>42445</v>
      </c>
      <c r="AE19" s="12"/>
      <c r="AF19" s="19"/>
      <c r="AG19" s="20">
        <v>42445</v>
      </c>
      <c r="AH19" s="13"/>
      <c r="AI19" s="14"/>
      <c r="AJ19" s="22">
        <v>42445</v>
      </c>
      <c r="AK19" s="15"/>
      <c r="AL19" s="227" t="s">
        <v>133</v>
      </c>
      <c r="AM19" s="13">
        <v>10000</v>
      </c>
      <c r="AN19" s="18"/>
      <c r="AO19"/>
    </row>
    <row r="20" spans="1:45" x14ac:dyDescent="0.25">
      <c r="B20" s="11">
        <v>42446</v>
      </c>
      <c r="C20" s="12">
        <v>40826.5</v>
      </c>
      <c r="D20" s="19" t="s">
        <v>144</v>
      </c>
      <c r="E20" s="20">
        <v>42446</v>
      </c>
      <c r="F20" s="13">
        <v>40826.5</v>
      </c>
      <c r="G20" s="14"/>
      <c r="H20" s="22">
        <v>42446</v>
      </c>
      <c r="I20" s="38">
        <v>0</v>
      </c>
      <c r="J20" s="265"/>
      <c r="K20" s="39">
        <v>0</v>
      </c>
      <c r="L20" s="18">
        <v>0</v>
      </c>
      <c r="P20" s="11">
        <v>42446</v>
      </c>
      <c r="Q20" s="12"/>
      <c r="R20" s="19"/>
      <c r="S20" s="20">
        <v>42446</v>
      </c>
      <c r="T20" s="13"/>
      <c r="U20" s="14"/>
      <c r="V20" s="22">
        <v>42446</v>
      </c>
      <c r="W20" s="38"/>
      <c r="X20" s="265"/>
      <c r="Y20" s="39">
        <v>0</v>
      </c>
      <c r="Z20" s="18"/>
      <c r="AA20"/>
      <c r="AD20" s="11">
        <v>42446</v>
      </c>
      <c r="AE20" s="12"/>
      <c r="AF20" s="19"/>
      <c r="AG20" s="20">
        <v>42446</v>
      </c>
      <c r="AH20" s="13"/>
      <c r="AI20" s="14"/>
      <c r="AJ20" s="22">
        <v>42446</v>
      </c>
      <c r="AK20" s="38"/>
      <c r="AL20" s="229">
        <v>42431</v>
      </c>
      <c r="AM20" s="39">
        <v>0</v>
      </c>
      <c r="AN20" s="18"/>
      <c r="AO20"/>
    </row>
    <row r="21" spans="1:45" x14ac:dyDescent="0.25">
      <c r="B21" s="11">
        <v>42447</v>
      </c>
      <c r="C21" s="12">
        <v>70876.3</v>
      </c>
      <c r="D21" s="40" t="s">
        <v>145</v>
      </c>
      <c r="E21" s="20">
        <v>42447</v>
      </c>
      <c r="F21" s="13">
        <v>70876.5</v>
      </c>
      <c r="G21" s="14"/>
      <c r="H21" s="22">
        <v>42447</v>
      </c>
      <c r="I21" s="38">
        <v>0</v>
      </c>
      <c r="J21" s="266"/>
      <c r="K21" s="24">
        <v>0</v>
      </c>
      <c r="L21" s="18">
        <v>0</v>
      </c>
      <c r="P21" s="11">
        <v>42447</v>
      </c>
      <c r="Q21" s="12"/>
      <c r="R21" s="40"/>
      <c r="S21" s="20">
        <v>42447</v>
      </c>
      <c r="T21" s="13"/>
      <c r="U21" s="14"/>
      <c r="V21" s="22">
        <v>42447</v>
      </c>
      <c r="W21" s="38"/>
      <c r="X21" s="266"/>
      <c r="Y21" s="24">
        <v>0</v>
      </c>
      <c r="Z21" s="18"/>
      <c r="AA21"/>
      <c r="AD21" s="11">
        <v>42447</v>
      </c>
      <c r="AE21" s="12"/>
      <c r="AF21" s="40"/>
      <c r="AG21" s="20">
        <v>42447</v>
      </c>
      <c r="AH21" s="13"/>
      <c r="AI21" s="14"/>
      <c r="AJ21" s="22">
        <v>42447</v>
      </c>
      <c r="AK21" s="38"/>
      <c r="AL21" s="228"/>
      <c r="AM21" s="24">
        <v>0</v>
      </c>
      <c r="AN21" s="18"/>
      <c r="AO21"/>
    </row>
    <row r="22" spans="1:45" x14ac:dyDescent="0.25">
      <c r="B22" s="11">
        <v>42448</v>
      </c>
      <c r="C22" s="12">
        <v>84195.7</v>
      </c>
      <c r="D22" s="40" t="s">
        <v>146</v>
      </c>
      <c r="E22" s="20">
        <v>42448</v>
      </c>
      <c r="F22" s="13">
        <v>84195.55</v>
      </c>
      <c r="G22" s="21"/>
      <c r="H22" s="22">
        <v>42448</v>
      </c>
      <c r="I22" s="15">
        <v>0</v>
      </c>
      <c r="J22" s="23"/>
      <c r="K22" s="24">
        <v>0</v>
      </c>
      <c r="L22" s="18">
        <v>0</v>
      </c>
      <c r="M22" s="33"/>
      <c r="P22" s="11">
        <v>42448</v>
      </c>
      <c r="Q22" s="12"/>
      <c r="R22" s="40"/>
      <c r="S22" s="20">
        <v>42448</v>
      </c>
      <c r="T22" s="13"/>
      <c r="U22" s="21"/>
      <c r="V22" s="22">
        <v>42448</v>
      </c>
      <c r="W22" s="15"/>
      <c r="X22" s="23"/>
      <c r="Y22" s="24">
        <v>0</v>
      </c>
      <c r="Z22" s="18"/>
      <c r="AA22"/>
      <c r="AD22" s="11">
        <v>42448</v>
      </c>
      <c r="AE22" s="12"/>
      <c r="AF22" s="40"/>
      <c r="AG22" s="20">
        <v>42448</v>
      </c>
      <c r="AH22" s="13"/>
      <c r="AI22" s="21"/>
      <c r="AJ22" s="22">
        <v>42448</v>
      </c>
      <c r="AK22" s="15"/>
      <c r="AL22" s="23"/>
      <c r="AM22" s="24">
        <v>0</v>
      </c>
      <c r="AN22" s="18"/>
      <c r="AO22"/>
      <c r="AP22" s="67"/>
    </row>
    <row r="23" spans="1:45" x14ac:dyDescent="0.25">
      <c r="A23" s="28"/>
      <c r="B23" s="11">
        <v>42449</v>
      </c>
      <c r="C23" s="12">
        <v>31496</v>
      </c>
      <c r="D23" s="40" t="s">
        <v>147</v>
      </c>
      <c r="E23" s="20">
        <v>42449</v>
      </c>
      <c r="F23" s="13">
        <v>31495.9</v>
      </c>
      <c r="G23" s="14"/>
      <c r="H23" s="22">
        <v>42449</v>
      </c>
      <c r="I23" s="15">
        <v>0</v>
      </c>
      <c r="J23" s="32"/>
      <c r="K23" s="13">
        <v>0</v>
      </c>
      <c r="L23" s="18">
        <v>0</v>
      </c>
      <c r="M23" s="33"/>
      <c r="O23" s="28"/>
      <c r="P23" s="11">
        <v>42449</v>
      </c>
      <c r="Q23" s="12"/>
      <c r="R23" s="40"/>
      <c r="S23" s="20">
        <v>42449</v>
      </c>
      <c r="T23" s="13"/>
      <c r="U23" s="14"/>
      <c r="V23" s="22">
        <v>42449</v>
      </c>
      <c r="W23" s="15"/>
      <c r="X23" s="32"/>
      <c r="Y23" s="13">
        <v>0</v>
      </c>
      <c r="Z23" s="18"/>
      <c r="AA23"/>
      <c r="AC23" s="28"/>
      <c r="AD23" s="11">
        <v>42449</v>
      </c>
      <c r="AE23" s="12"/>
      <c r="AF23" s="40"/>
      <c r="AG23" s="20">
        <v>42449</v>
      </c>
      <c r="AH23" s="13"/>
      <c r="AI23" s="14"/>
      <c r="AJ23" s="22">
        <v>42449</v>
      </c>
      <c r="AK23" s="15"/>
      <c r="AL23" s="32"/>
      <c r="AM23" s="13">
        <v>0</v>
      </c>
      <c r="AN23" s="18"/>
      <c r="AO23"/>
      <c r="AP23" s="67"/>
    </row>
    <row r="24" spans="1:45" x14ac:dyDescent="0.25">
      <c r="A24" s="28"/>
      <c r="B24" s="11">
        <v>42450</v>
      </c>
      <c r="C24" s="12">
        <v>51157.5</v>
      </c>
      <c r="D24" s="40" t="s">
        <v>147</v>
      </c>
      <c r="E24" s="20">
        <v>42450</v>
      </c>
      <c r="F24" s="13">
        <v>51157.599999999999</v>
      </c>
      <c r="G24" s="14"/>
      <c r="H24" s="22">
        <v>42450</v>
      </c>
      <c r="I24" s="15">
        <v>0</v>
      </c>
      <c r="J24" s="34"/>
      <c r="K24" s="24"/>
      <c r="L24" s="18"/>
      <c r="O24" s="28"/>
      <c r="P24" s="11">
        <v>42450</v>
      </c>
      <c r="Q24" s="12"/>
      <c r="R24" s="40"/>
      <c r="S24" s="20">
        <v>42450</v>
      </c>
      <c r="T24" s="13"/>
      <c r="U24" s="14"/>
      <c r="V24" s="22">
        <v>42450</v>
      </c>
      <c r="W24" s="15"/>
      <c r="X24" s="34"/>
      <c r="Y24" s="24"/>
      <c r="Z24" s="18"/>
      <c r="AA24"/>
      <c r="AC24" s="28"/>
      <c r="AD24" s="11">
        <v>42450</v>
      </c>
      <c r="AE24" s="12"/>
      <c r="AF24" s="40"/>
      <c r="AG24" s="20">
        <v>42450</v>
      </c>
      <c r="AH24" s="13"/>
      <c r="AI24" s="14"/>
      <c r="AJ24" s="22">
        <v>42450</v>
      </c>
      <c r="AK24" s="15"/>
      <c r="AL24" s="34"/>
      <c r="AM24" s="24"/>
      <c r="AN24" s="18"/>
      <c r="AO24"/>
      <c r="AP24" s="41"/>
    </row>
    <row r="25" spans="1:45" x14ac:dyDescent="0.25">
      <c r="B25" s="11">
        <v>42451</v>
      </c>
      <c r="C25" s="232"/>
      <c r="D25" s="19"/>
      <c r="E25" s="20">
        <v>42451</v>
      </c>
      <c r="F25" s="230"/>
      <c r="G25" s="14"/>
      <c r="H25" s="22">
        <v>42451</v>
      </c>
      <c r="I25" s="231"/>
      <c r="J25" s="23"/>
      <c r="K25" s="24"/>
      <c r="L25" s="18"/>
      <c r="P25" s="11">
        <v>42451</v>
      </c>
      <c r="Q25" s="12"/>
      <c r="R25" s="19"/>
      <c r="S25" s="20">
        <v>42451</v>
      </c>
      <c r="T25" s="13"/>
      <c r="U25" s="14"/>
      <c r="V25" s="22">
        <v>42451</v>
      </c>
      <c r="W25" s="15"/>
      <c r="X25" s="23"/>
      <c r="Y25" s="24"/>
      <c r="Z25" s="18"/>
      <c r="AA25" s="67"/>
      <c r="AD25" s="11">
        <v>42451</v>
      </c>
      <c r="AE25" s="12"/>
      <c r="AF25" s="19"/>
      <c r="AG25" s="20">
        <v>42451</v>
      </c>
      <c r="AH25" s="13"/>
      <c r="AI25" s="14"/>
      <c r="AJ25" s="22">
        <v>42451</v>
      </c>
      <c r="AK25" s="15"/>
      <c r="AL25" s="23"/>
      <c r="AM25" s="24"/>
      <c r="AN25" s="18"/>
      <c r="AO25"/>
      <c r="AP25" s="41"/>
    </row>
    <row r="26" spans="1:45" x14ac:dyDescent="0.25">
      <c r="B26" s="11">
        <v>42452</v>
      </c>
      <c r="C26" s="12"/>
      <c r="D26" s="19"/>
      <c r="E26" s="20">
        <v>42452</v>
      </c>
      <c r="F26" s="13"/>
      <c r="G26" s="14"/>
      <c r="H26" s="22">
        <v>42452</v>
      </c>
      <c r="I26" s="15"/>
      <c r="J26" s="23"/>
      <c r="K26" s="24"/>
      <c r="L26" s="18"/>
      <c r="P26" s="11">
        <v>42452</v>
      </c>
      <c r="Q26" s="12"/>
      <c r="R26" s="19"/>
      <c r="S26" s="20">
        <v>42452</v>
      </c>
      <c r="T26" s="13"/>
      <c r="U26" s="14"/>
      <c r="V26" s="22">
        <v>42452</v>
      </c>
      <c r="W26" s="15"/>
      <c r="X26" s="23"/>
      <c r="Y26" s="24"/>
      <c r="Z26" s="18"/>
      <c r="AA26" s="41"/>
      <c r="AD26" s="11">
        <v>42452</v>
      </c>
      <c r="AE26" s="12"/>
      <c r="AF26" s="19"/>
      <c r="AG26" s="20">
        <v>42452</v>
      </c>
      <c r="AH26" s="13"/>
      <c r="AI26" s="14"/>
      <c r="AJ26" s="22">
        <v>42452</v>
      </c>
      <c r="AK26" s="15"/>
      <c r="AL26" s="23"/>
      <c r="AM26" s="24"/>
      <c r="AN26" s="18"/>
      <c r="AO26"/>
      <c r="AP26" s="41"/>
    </row>
    <row r="27" spans="1:45" x14ac:dyDescent="0.25">
      <c r="B27" s="11">
        <v>42453</v>
      </c>
      <c r="C27" s="12"/>
      <c r="D27" s="19"/>
      <c r="E27" s="20">
        <v>42453</v>
      </c>
      <c r="F27" s="13"/>
      <c r="G27" s="14"/>
      <c r="H27" s="22">
        <v>42453</v>
      </c>
      <c r="I27" s="15"/>
      <c r="J27" s="23"/>
      <c r="K27" s="24"/>
      <c r="L27" s="18"/>
      <c r="P27" s="11">
        <v>42453</v>
      </c>
      <c r="Q27" s="12"/>
      <c r="R27" s="19"/>
      <c r="S27" s="20">
        <v>42453</v>
      </c>
      <c r="T27" s="13"/>
      <c r="U27" s="14"/>
      <c r="V27" s="22">
        <v>42453</v>
      </c>
      <c r="W27" s="15"/>
      <c r="X27" s="23"/>
      <c r="Y27" s="24"/>
      <c r="Z27" s="18"/>
      <c r="AA27" s="41"/>
      <c r="AD27" s="11">
        <v>42453</v>
      </c>
      <c r="AE27" s="12"/>
      <c r="AF27" s="19"/>
      <c r="AG27" s="20">
        <v>42453</v>
      </c>
      <c r="AH27" s="13"/>
      <c r="AI27" s="14"/>
      <c r="AJ27" s="22">
        <v>42453</v>
      </c>
      <c r="AK27" s="15"/>
      <c r="AL27" s="23"/>
      <c r="AM27" s="24"/>
      <c r="AN27" s="18"/>
      <c r="AO27"/>
      <c r="AP27" s="41"/>
    </row>
    <row r="28" spans="1:45" x14ac:dyDescent="0.25">
      <c r="B28" s="11">
        <v>42454</v>
      </c>
      <c r="C28" s="12"/>
      <c r="D28" s="19"/>
      <c r="E28" s="20">
        <v>42454</v>
      </c>
      <c r="F28" s="13"/>
      <c r="G28" s="14"/>
      <c r="H28" s="22">
        <v>42454</v>
      </c>
      <c r="I28" s="15"/>
      <c r="J28" s="23"/>
      <c r="K28" s="24"/>
      <c r="L28" s="18"/>
      <c r="P28" s="11">
        <v>42454</v>
      </c>
      <c r="Q28" s="12"/>
      <c r="R28" s="19"/>
      <c r="S28" s="20">
        <v>42454</v>
      </c>
      <c r="T28" s="13"/>
      <c r="U28" s="14"/>
      <c r="V28" s="22">
        <v>42454</v>
      </c>
      <c r="W28" s="15"/>
      <c r="X28" s="23"/>
      <c r="Y28" s="24"/>
      <c r="Z28" s="18"/>
      <c r="AA28" s="41"/>
      <c r="AD28" s="11">
        <v>42454</v>
      </c>
      <c r="AE28" s="12"/>
      <c r="AF28" s="19"/>
      <c r="AG28" s="20">
        <v>42454</v>
      </c>
      <c r="AH28" s="13"/>
      <c r="AI28" s="14"/>
      <c r="AJ28" s="22">
        <v>42454</v>
      </c>
      <c r="AK28" s="15"/>
      <c r="AL28" s="23"/>
      <c r="AM28" s="24"/>
      <c r="AN28" s="18"/>
      <c r="AO28"/>
      <c r="AP28" s="38"/>
    </row>
    <row r="29" spans="1:45" x14ac:dyDescent="0.25">
      <c r="B29" s="11">
        <v>42455</v>
      </c>
      <c r="C29" s="12"/>
      <c r="D29" s="19"/>
      <c r="E29" s="20">
        <v>42455</v>
      </c>
      <c r="F29" s="13"/>
      <c r="G29" s="14"/>
      <c r="H29" s="22">
        <v>42455</v>
      </c>
      <c r="I29" s="15"/>
      <c r="J29" s="23"/>
      <c r="K29" s="24"/>
      <c r="L29" s="18"/>
      <c r="P29" s="11">
        <v>42455</v>
      </c>
      <c r="Q29" s="12"/>
      <c r="R29" s="19"/>
      <c r="S29" s="20">
        <v>42455</v>
      </c>
      <c r="T29" s="13"/>
      <c r="U29" s="14"/>
      <c r="V29" s="22">
        <v>42455</v>
      </c>
      <c r="W29" s="15"/>
      <c r="X29" s="23"/>
      <c r="Y29" s="24"/>
      <c r="Z29" s="18"/>
      <c r="AA29" s="41"/>
      <c r="AD29" s="11">
        <v>42455</v>
      </c>
      <c r="AE29" s="12"/>
      <c r="AF29" s="19"/>
      <c r="AG29" s="20">
        <v>42455</v>
      </c>
      <c r="AH29" s="13"/>
      <c r="AI29" s="14"/>
      <c r="AJ29" s="22">
        <v>42455</v>
      </c>
      <c r="AK29" s="15"/>
      <c r="AL29" s="23"/>
      <c r="AM29" s="24"/>
      <c r="AN29" s="18"/>
      <c r="AO29"/>
      <c r="AP29" s="41"/>
      <c r="AQ29" s="93" t="s">
        <v>100</v>
      </c>
      <c r="AR29" s="94">
        <v>101851</v>
      </c>
      <c r="AS29">
        <v>5512.1</v>
      </c>
    </row>
    <row r="30" spans="1:45" x14ac:dyDescent="0.25">
      <c r="B30" s="11">
        <v>42456</v>
      </c>
      <c r="C30" s="12"/>
      <c r="D30" s="19"/>
      <c r="E30" s="20">
        <v>42456</v>
      </c>
      <c r="F30" s="13"/>
      <c r="G30" s="14"/>
      <c r="H30" s="22">
        <v>42456</v>
      </c>
      <c r="I30" s="15"/>
      <c r="J30" s="23"/>
      <c r="K30" s="24"/>
      <c r="L30" s="18"/>
      <c r="P30" s="11">
        <v>42456</v>
      </c>
      <c r="Q30" s="12"/>
      <c r="R30" s="19"/>
      <c r="S30" s="20">
        <v>42456</v>
      </c>
      <c r="T30" s="13"/>
      <c r="U30" s="14"/>
      <c r="V30" s="22">
        <v>42456</v>
      </c>
      <c r="W30" s="15"/>
      <c r="X30" s="23"/>
      <c r="Y30" s="24"/>
      <c r="Z30" s="18"/>
      <c r="AA30" s="38"/>
      <c r="AD30" s="11">
        <v>42456</v>
      </c>
      <c r="AE30" s="12"/>
      <c r="AF30" s="19"/>
      <c r="AG30" s="20">
        <v>42456</v>
      </c>
      <c r="AH30" s="13"/>
      <c r="AI30" s="14"/>
      <c r="AJ30" s="22">
        <v>42456</v>
      </c>
      <c r="AK30" s="15"/>
      <c r="AL30" s="23"/>
      <c r="AM30" s="24"/>
      <c r="AN30" s="18"/>
      <c r="AO30"/>
      <c r="AP30" s="226"/>
      <c r="AQ30" s="93" t="s">
        <v>107</v>
      </c>
      <c r="AR30" s="94">
        <v>0</v>
      </c>
    </row>
    <row r="31" spans="1:45" x14ac:dyDescent="0.25">
      <c r="B31" s="11">
        <v>42457</v>
      </c>
      <c r="C31" s="12"/>
      <c r="D31" s="19"/>
      <c r="E31" s="20">
        <v>42457</v>
      </c>
      <c r="F31" s="13"/>
      <c r="G31" s="14"/>
      <c r="H31" s="22">
        <v>42457</v>
      </c>
      <c r="I31" s="15"/>
      <c r="J31" s="23"/>
      <c r="K31" s="24"/>
      <c r="L31" s="18"/>
      <c r="P31" s="11">
        <v>42457</v>
      </c>
      <c r="Q31" s="12"/>
      <c r="R31" s="19"/>
      <c r="S31" s="20">
        <v>42457</v>
      </c>
      <c r="T31" s="13"/>
      <c r="U31" s="14"/>
      <c r="V31" s="22">
        <v>42457</v>
      </c>
      <c r="W31" s="15"/>
      <c r="X31" s="23"/>
      <c r="Y31" s="24"/>
      <c r="Z31" s="18"/>
      <c r="AA31" s="41"/>
      <c r="AD31" s="11">
        <v>42457</v>
      </c>
      <c r="AE31" s="12"/>
      <c r="AF31" s="19"/>
      <c r="AG31" s="20">
        <v>42457</v>
      </c>
      <c r="AH31" s="13"/>
      <c r="AI31" s="14"/>
      <c r="AJ31" s="22">
        <v>42457</v>
      </c>
      <c r="AK31" s="15"/>
      <c r="AL31" s="23"/>
      <c r="AM31" s="24"/>
      <c r="AN31" s="18"/>
      <c r="AO31"/>
      <c r="AP31" s="67"/>
      <c r="AQ31" s="98" t="s">
        <v>106</v>
      </c>
      <c r="AR31" s="94">
        <v>0</v>
      </c>
    </row>
    <row r="32" spans="1:45" x14ac:dyDescent="0.25">
      <c r="B32" s="11">
        <v>42458</v>
      </c>
      <c r="C32" s="12"/>
      <c r="D32" s="42"/>
      <c r="E32" s="20">
        <v>42458</v>
      </c>
      <c r="F32" s="13"/>
      <c r="G32" s="14"/>
      <c r="H32" s="22">
        <v>42458</v>
      </c>
      <c r="I32" s="15"/>
      <c r="J32" s="23"/>
      <c r="K32" s="24"/>
      <c r="L32" s="18"/>
      <c r="P32" s="11">
        <v>42458</v>
      </c>
      <c r="Q32" s="12"/>
      <c r="R32" s="42"/>
      <c r="S32" s="20">
        <v>42458</v>
      </c>
      <c r="T32" s="13"/>
      <c r="U32" s="14"/>
      <c r="V32" s="22">
        <v>42458</v>
      </c>
      <c r="W32" s="15"/>
      <c r="X32" s="23"/>
      <c r="Y32" s="24"/>
      <c r="Z32" s="18"/>
      <c r="AA32" s="41"/>
      <c r="AD32" s="11">
        <v>42458</v>
      </c>
      <c r="AE32" s="12"/>
      <c r="AF32" s="42"/>
      <c r="AG32" s="20">
        <v>42458</v>
      </c>
      <c r="AH32" s="13"/>
      <c r="AI32" s="14"/>
      <c r="AJ32" s="22">
        <v>42458</v>
      </c>
      <c r="AK32" s="15"/>
      <c r="AL32" s="23"/>
      <c r="AM32" s="24"/>
      <c r="AN32" s="18"/>
      <c r="AO32"/>
      <c r="AQ32" s="93" t="s">
        <v>108</v>
      </c>
      <c r="AR32" s="94">
        <v>0</v>
      </c>
    </row>
    <row r="33" spans="1:44" x14ac:dyDescent="0.25">
      <c r="B33" s="11">
        <v>42459</v>
      </c>
      <c r="C33" s="12"/>
      <c r="D33" s="19"/>
      <c r="E33" s="20">
        <v>42459</v>
      </c>
      <c r="F33" s="13"/>
      <c r="G33" s="14"/>
      <c r="H33" s="22">
        <v>42459</v>
      </c>
      <c r="I33" s="15"/>
      <c r="J33" s="23"/>
      <c r="K33" s="24"/>
      <c r="L33" s="18"/>
      <c r="P33" s="11">
        <v>42459</v>
      </c>
      <c r="Q33" s="12"/>
      <c r="R33" s="19"/>
      <c r="S33" s="20">
        <v>42459</v>
      </c>
      <c r="T33" s="13"/>
      <c r="U33" s="14"/>
      <c r="V33" s="22">
        <v>42459</v>
      </c>
      <c r="W33" s="15"/>
      <c r="X33" s="23"/>
      <c r="Y33" s="24"/>
      <c r="Z33" s="18"/>
      <c r="AA33" s="41"/>
      <c r="AD33" s="11">
        <v>42459</v>
      </c>
      <c r="AE33" s="12"/>
      <c r="AF33" s="19"/>
      <c r="AG33" s="20">
        <v>42459</v>
      </c>
      <c r="AH33" s="13"/>
      <c r="AI33" s="14"/>
      <c r="AJ33" s="22">
        <v>42459</v>
      </c>
      <c r="AK33" s="15"/>
      <c r="AL33" s="23"/>
      <c r="AM33" s="24"/>
      <c r="AN33" s="18"/>
      <c r="AO33"/>
      <c r="AQ33" s="93" t="s">
        <v>109</v>
      </c>
      <c r="AR33" s="100">
        <v>0</v>
      </c>
    </row>
    <row r="34" spans="1:44" ht="15.75" thickBot="1" x14ac:dyDescent="0.3">
      <c r="A34" s="28"/>
      <c r="B34" s="11">
        <v>42460</v>
      </c>
      <c r="C34" s="12"/>
      <c r="D34" s="19"/>
      <c r="E34" s="20">
        <v>42460</v>
      </c>
      <c r="F34" s="13"/>
      <c r="G34" s="14"/>
      <c r="H34" s="22">
        <v>42460</v>
      </c>
      <c r="I34" s="15"/>
      <c r="J34" s="23"/>
      <c r="K34" s="24"/>
      <c r="L34" s="18"/>
      <c r="O34" s="28"/>
      <c r="P34" s="11">
        <v>42460</v>
      </c>
      <c r="Q34" s="12"/>
      <c r="R34" s="19"/>
      <c r="S34" s="20">
        <v>42460</v>
      </c>
      <c r="T34" s="13"/>
      <c r="U34" s="14"/>
      <c r="V34" s="22">
        <v>42460</v>
      </c>
      <c r="W34" s="15"/>
      <c r="X34" s="23"/>
      <c r="Y34" s="24"/>
      <c r="Z34" s="18"/>
      <c r="AA34" s="41"/>
      <c r="AC34" s="28"/>
      <c r="AD34" s="11">
        <v>42460</v>
      </c>
      <c r="AE34" s="12"/>
      <c r="AF34" s="19"/>
      <c r="AG34" s="20">
        <v>42460</v>
      </c>
      <c r="AH34" s="13"/>
      <c r="AI34" s="14"/>
      <c r="AJ34" s="22">
        <v>42460</v>
      </c>
      <c r="AK34" s="15"/>
      <c r="AL34" s="23"/>
      <c r="AM34" s="24"/>
      <c r="AN34" s="18"/>
      <c r="AO34"/>
      <c r="AQ34" s="93" t="s">
        <v>110</v>
      </c>
      <c r="AR34" s="94">
        <v>19179.03</v>
      </c>
    </row>
    <row r="35" spans="1:44" ht="15.75" thickBot="1" x14ac:dyDescent="0.3">
      <c r="A35" s="43"/>
      <c r="B35" s="44"/>
      <c r="C35" s="45">
        <v>0</v>
      </c>
      <c r="D35" s="46"/>
      <c r="E35" s="47"/>
      <c r="F35" s="24">
        <v>0</v>
      </c>
      <c r="H35" s="48"/>
      <c r="I35" s="49"/>
      <c r="J35" s="23"/>
      <c r="K35" s="24"/>
      <c r="L35" s="50">
        <v>0</v>
      </c>
      <c r="O35" s="43"/>
      <c r="P35" s="44"/>
      <c r="Q35" s="45">
        <v>0</v>
      </c>
      <c r="R35" s="46"/>
      <c r="S35" s="47"/>
      <c r="T35" s="24">
        <v>0</v>
      </c>
      <c r="V35" s="48"/>
      <c r="W35" s="49"/>
      <c r="X35" s="23"/>
      <c r="Y35" s="24"/>
      <c r="Z35" s="50">
        <v>0</v>
      </c>
      <c r="AA35" s="41"/>
      <c r="AC35" s="43"/>
      <c r="AD35" s="44"/>
      <c r="AE35" s="45">
        <v>0</v>
      </c>
      <c r="AF35" s="46"/>
      <c r="AG35" s="47"/>
      <c r="AH35" s="24">
        <v>0</v>
      </c>
      <c r="AJ35" s="48"/>
      <c r="AK35" s="49"/>
      <c r="AL35" s="23"/>
      <c r="AM35" s="24"/>
      <c r="AN35" s="50">
        <v>0</v>
      </c>
      <c r="AO35"/>
      <c r="AR35" s="46">
        <f>SUM(AR29:AR34)</f>
        <v>121030.03</v>
      </c>
    </row>
    <row r="36" spans="1:44" ht="15.75" thickBot="1" x14ac:dyDescent="0.3">
      <c r="A36" s="51"/>
      <c r="B36" s="52" t="s">
        <v>0</v>
      </c>
      <c r="C36" s="53">
        <v>0</v>
      </c>
      <c r="D36" s="46"/>
      <c r="E36" s="54"/>
      <c r="F36" s="55">
        <v>0</v>
      </c>
      <c r="H36" s="56"/>
      <c r="I36" s="57">
        <v>0</v>
      </c>
      <c r="J36" s="58"/>
      <c r="K36" s="55"/>
      <c r="L36" s="59">
        <v>0</v>
      </c>
      <c r="O36" s="51"/>
      <c r="P36" s="52" t="s">
        <v>0</v>
      </c>
      <c r="Q36" s="53">
        <v>0</v>
      </c>
      <c r="R36" s="46"/>
      <c r="S36" s="54"/>
      <c r="T36" s="55">
        <v>0</v>
      </c>
      <c r="V36" s="56"/>
      <c r="W36" s="57">
        <v>0</v>
      </c>
      <c r="X36" s="58"/>
      <c r="Y36" s="55"/>
      <c r="Z36" s="59">
        <v>0</v>
      </c>
      <c r="AA36" s="41"/>
      <c r="AC36" s="51"/>
      <c r="AD36" s="52" t="s">
        <v>0</v>
      </c>
      <c r="AE36" s="53">
        <v>0</v>
      </c>
      <c r="AF36" s="46"/>
      <c r="AG36" s="54"/>
      <c r="AH36" s="55">
        <v>0</v>
      </c>
      <c r="AJ36" s="56"/>
      <c r="AK36" s="57">
        <v>0</v>
      </c>
      <c r="AL36" s="58"/>
      <c r="AM36" s="55"/>
      <c r="AN36" s="59">
        <v>0</v>
      </c>
      <c r="AO36"/>
    </row>
    <row r="37" spans="1:44" x14ac:dyDescent="0.25">
      <c r="B37" s="60" t="s">
        <v>11</v>
      </c>
      <c r="C37" s="61">
        <f>SUM(C4:C36)</f>
        <v>1103021.26</v>
      </c>
      <c r="D37" s="46"/>
      <c r="E37" s="62" t="s">
        <v>11</v>
      </c>
      <c r="F37" s="63">
        <f>SUM(F4:F36)</f>
        <v>1217420.6900000002</v>
      </c>
      <c r="H37" s="1" t="s">
        <v>11</v>
      </c>
      <c r="I37" s="64">
        <f>SUM(I4:I36)</f>
        <v>449</v>
      </c>
      <c r="J37" s="64"/>
      <c r="K37" s="64">
        <f t="shared" ref="K37" si="0">SUM(K4:K36)</f>
        <v>37829.289999999994</v>
      </c>
      <c r="L37" s="2">
        <f>SUM(L4:L36)</f>
        <v>428265.5</v>
      </c>
      <c r="P37" s="60" t="s">
        <v>11</v>
      </c>
      <c r="Q37" s="61">
        <f>SUM(Q4:Q36)</f>
        <v>739434.26</v>
      </c>
      <c r="R37" s="46"/>
      <c r="S37" s="62" t="s">
        <v>11</v>
      </c>
      <c r="T37" s="63">
        <f>SUM(T4:T36)</f>
        <v>866395.14</v>
      </c>
      <c r="V37" s="1" t="s">
        <v>11</v>
      </c>
      <c r="W37" s="64">
        <f>SUM(W4:W36)</f>
        <v>449</v>
      </c>
      <c r="X37" s="64"/>
      <c r="Y37" s="64">
        <f t="shared" ref="Y37" si="1">SUM(Y4:Y36)</f>
        <v>33095.74</v>
      </c>
      <c r="Z37" s="2">
        <f>SUM(Z4:Z36)</f>
        <v>428265.5</v>
      </c>
      <c r="AA37" s="41"/>
      <c r="AD37" s="60" t="s">
        <v>11</v>
      </c>
      <c r="AE37" s="61">
        <f>SUM(AE4:AE36)</f>
        <v>400737.71</v>
      </c>
      <c r="AF37" s="46"/>
      <c r="AG37" s="62" t="s">
        <v>11</v>
      </c>
      <c r="AH37" s="63">
        <f>SUM(AH4:AH36)</f>
        <v>521537.64</v>
      </c>
      <c r="AJ37" s="1" t="s">
        <v>11</v>
      </c>
      <c r="AK37" s="64">
        <f>SUM(AK4:AK36)</f>
        <v>383</v>
      </c>
      <c r="AL37" s="64"/>
      <c r="AM37" s="64">
        <f t="shared" ref="AM37" si="2">SUM(AM4:AM36)</f>
        <v>26066.62</v>
      </c>
      <c r="AN37" s="2">
        <f>SUM(AN4:AN36)</f>
        <v>422170.5</v>
      </c>
      <c r="AO37"/>
      <c r="AQ37" s="67"/>
    </row>
    <row r="38" spans="1:44" x14ac:dyDescent="0.25">
      <c r="A38" s="267"/>
      <c r="B38" s="267"/>
      <c r="C38" s="50"/>
      <c r="I38" s="64"/>
      <c r="K38" s="64"/>
      <c r="O38" s="267"/>
      <c r="P38" s="267"/>
      <c r="Q38" s="50"/>
      <c r="W38" s="64"/>
      <c r="Y38" s="64"/>
      <c r="AA38" s="226"/>
      <c r="AC38" s="267"/>
      <c r="AD38" s="267"/>
      <c r="AE38" s="50"/>
      <c r="AK38" s="64"/>
      <c r="AM38" s="64"/>
      <c r="AO38"/>
      <c r="AQ38" s="41"/>
    </row>
    <row r="39" spans="1:44" ht="15.75" x14ac:dyDescent="0.25">
      <c r="A39" s="65"/>
      <c r="B39" s="66"/>
      <c r="C39" s="50"/>
      <c r="D39" s="67"/>
      <c r="E39" s="66"/>
      <c r="F39" s="66"/>
      <c r="H39" s="251" t="s">
        <v>12</v>
      </c>
      <c r="I39" s="252"/>
      <c r="J39" s="253">
        <f>I37+K37</f>
        <v>38278.289999999994</v>
      </c>
      <c r="K39" s="254"/>
      <c r="L39" s="68"/>
      <c r="O39" s="65"/>
      <c r="P39" s="66"/>
      <c r="Q39" s="50"/>
      <c r="R39" s="67"/>
      <c r="S39" s="66"/>
      <c r="T39" s="66"/>
      <c r="V39" s="251" t="s">
        <v>12</v>
      </c>
      <c r="W39" s="252"/>
      <c r="X39" s="253">
        <f>W37+Y37</f>
        <v>33544.74</v>
      </c>
      <c r="Y39" s="254"/>
      <c r="Z39" s="68"/>
      <c r="AA39"/>
      <c r="AC39" s="65"/>
      <c r="AD39" s="66"/>
      <c r="AE39" s="50"/>
      <c r="AF39" s="67"/>
      <c r="AG39" s="66"/>
      <c r="AH39" s="66"/>
      <c r="AJ39" s="251" t="s">
        <v>12</v>
      </c>
      <c r="AK39" s="252"/>
      <c r="AL39" s="253">
        <f>AK37+AM37</f>
        <v>26449.62</v>
      </c>
      <c r="AM39" s="254"/>
      <c r="AN39" s="68"/>
      <c r="AO39"/>
      <c r="AQ39" s="41"/>
    </row>
    <row r="40" spans="1:44" ht="15.75" x14ac:dyDescent="0.25">
      <c r="A40" s="255"/>
      <c r="B40" s="255"/>
      <c r="C40" s="50"/>
      <c r="D40" s="256" t="s">
        <v>13</v>
      </c>
      <c r="E40" s="256"/>
      <c r="F40" s="69">
        <f>F37-J39-C37</f>
        <v>76121.14000000013</v>
      </c>
      <c r="I40" s="70"/>
      <c r="O40" s="255"/>
      <c r="P40" s="255"/>
      <c r="Q40" s="50"/>
      <c r="R40" s="256" t="s">
        <v>13</v>
      </c>
      <c r="S40" s="256"/>
      <c r="T40" s="69">
        <f>T37-X39-Q37</f>
        <v>93416.140000000014</v>
      </c>
      <c r="W40" s="70"/>
      <c r="AA40"/>
      <c r="AC40" s="255"/>
      <c r="AD40" s="255"/>
      <c r="AE40" s="50"/>
      <c r="AF40" s="256" t="s">
        <v>13</v>
      </c>
      <c r="AG40" s="256"/>
      <c r="AH40" s="69">
        <f>AH37-AL39-AE37</f>
        <v>94350.31</v>
      </c>
      <c r="AK40" s="70"/>
      <c r="AO40"/>
      <c r="AQ40" s="41"/>
    </row>
    <row r="41" spans="1:44" x14ac:dyDescent="0.25">
      <c r="A41" s="67"/>
      <c r="B41" s="66"/>
      <c r="C41" s="50"/>
      <c r="D41" s="67"/>
      <c r="E41" s="66"/>
      <c r="F41" s="69">
        <v>0</v>
      </c>
      <c r="O41" s="67"/>
      <c r="P41" s="66"/>
      <c r="Q41" s="50"/>
      <c r="R41" s="67"/>
      <c r="S41" s="66"/>
      <c r="T41" s="69">
        <v>0</v>
      </c>
      <c r="AA41"/>
      <c r="AC41" s="67"/>
      <c r="AD41" s="66"/>
      <c r="AE41" s="50"/>
      <c r="AF41" s="67"/>
      <c r="AG41" s="66"/>
      <c r="AH41" s="69">
        <v>0</v>
      </c>
      <c r="AO41"/>
      <c r="AQ41" s="41"/>
    </row>
    <row r="42" spans="1:44" ht="15.75" thickBot="1" x14ac:dyDescent="0.3">
      <c r="E42" s="71" t="s">
        <v>14</v>
      </c>
      <c r="F42" s="50">
        <v>0</v>
      </c>
      <c r="I42" s="72" t="s">
        <v>15</v>
      </c>
      <c r="J42" s="73"/>
      <c r="K42" s="74">
        <v>290793.21999999997</v>
      </c>
      <c r="S42" s="71" t="s">
        <v>14</v>
      </c>
      <c r="T42" s="50">
        <v>-247646.64</v>
      </c>
      <c r="W42" s="72" t="s">
        <v>15</v>
      </c>
      <c r="X42" s="73"/>
      <c r="Y42" s="74">
        <v>277290.15999999997</v>
      </c>
      <c r="AA42"/>
      <c r="AG42" s="71" t="s">
        <v>14</v>
      </c>
      <c r="AH42" s="50">
        <v>-121030.03</v>
      </c>
      <c r="AK42" s="72" t="s">
        <v>15</v>
      </c>
      <c r="AL42" s="73"/>
      <c r="AM42" s="74">
        <v>220574.97</v>
      </c>
      <c r="AO42"/>
      <c r="AQ42" s="38"/>
    </row>
    <row r="43" spans="1:44" ht="15.75" thickTop="1" x14ac:dyDescent="0.25">
      <c r="E43" s="1" t="s">
        <v>16</v>
      </c>
      <c r="F43" s="64">
        <f>SUM(F40:F42)</f>
        <v>76121.14000000013</v>
      </c>
      <c r="K43" s="64">
        <f>F45+K42</f>
        <v>410412.78000000009</v>
      </c>
      <c r="S43" s="1" t="s">
        <v>16</v>
      </c>
      <c r="T43" s="64">
        <f>SUM(T40:T42)</f>
        <v>-154230.5</v>
      </c>
      <c r="Y43" s="64">
        <f>T45+Y42</f>
        <v>166558.07999999996</v>
      </c>
      <c r="AA43"/>
      <c r="AG43" s="1" t="s">
        <v>16</v>
      </c>
      <c r="AH43" s="64">
        <f>SUM(AH40:AH42)</f>
        <v>-26679.72</v>
      </c>
      <c r="AM43" s="64">
        <f>AH45+AM42</f>
        <v>222811.25</v>
      </c>
      <c r="AO43"/>
      <c r="AQ43" s="41"/>
    </row>
    <row r="44" spans="1:44" ht="15.75" thickBot="1" x14ac:dyDescent="0.3">
      <c r="D44" s="62" t="s">
        <v>17</v>
      </c>
      <c r="E44" s="62"/>
      <c r="F44" s="75">
        <v>43498.42</v>
      </c>
      <c r="I44" s="1" t="s">
        <v>1</v>
      </c>
      <c r="J44" s="76"/>
      <c r="K44" s="77">
        <f>-C3</f>
        <v>-221672.33</v>
      </c>
      <c r="R44" s="62" t="s">
        <v>17</v>
      </c>
      <c r="S44" s="62"/>
      <c r="T44" s="75">
        <v>43498.42</v>
      </c>
      <c r="W44" s="1" t="s">
        <v>1</v>
      </c>
      <c r="X44" s="76"/>
      <c r="Y44" s="77">
        <f>-Q3</f>
        <v>-221672.33</v>
      </c>
      <c r="AA44"/>
      <c r="AF44" s="62" t="s">
        <v>17</v>
      </c>
      <c r="AG44" s="62"/>
      <c r="AH44" s="75">
        <v>28916</v>
      </c>
      <c r="AK44" s="1" t="s">
        <v>1</v>
      </c>
      <c r="AL44" s="76"/>
      <c r="AM44" s="77">
        <f>-AE3</f>
        <v>-221672.33</v>
      </c>
      <c r="AO44"/>
      <c r="AQ44" s="226"/>
    </row>
    <row r="45" spans="1:44" ht="20.25" thickTop="1" thickBot="1" x14ac:dyDescent="0.35">
      <c r="E45" s="60" t="s">
        <v>18</v>
      </c>
      <c r="F45" s="78">
        <f>F44+F43</f>
        <v>119619.56000000013</v>
      </c>
      <c r="I45" s="257" t="s">
        <v>19</v>
      </c>
      <c r="J45" s="258"/>
      <c r="K45" s="79">
        <f>K43+K44</f>
        <v>188740.4500000001</v>
      </c>
      <c r="S45" s="60" t="s">
        <v>18</v>
      </c>
      <c r="T45" s="78">
        <f>T44+T43</f>
        <v>-110732.08</v>
      </c>
      <c r="W45" s="257" t="s">
        <v>19</v>
      </c>
      <c r="X45" s="258"/>
      <c r="Y45" s="79">
        <f>Y43+Y44</f>
        <v>-55114.250000000029</v>
      </c>
      <c r="AA45"/>
      <c r="AG45" s="60" t="s">
        <v>18</v>
      </c>
      <c r="AH45" s="78">
        <f>AH44+AH43</f>
        <v>2236.2799999999988</v>
      </c>
      <c r="AK45" s="257" t="s">
        <v>19</v>
      </c>
      <c r="AL45" s="258"/>
      <c r="AM45" s="79">
        <f>AM43+AM44</f>
        <v>1138.9200000000128</v>
      </c>
      <c r="AO45"/>
    </row>
    <row r="46" spans="1:44" ht="15.75" thickTop="1" x14ac:dyDescent="0.25">
      <c r="AA46"/>
      <c r="AO46"/>
    </row>
    <row r="49" spans="2:41" x14ac:dyDescent="0.25">
      <c r="B49"/>
      <c r="C49"/>
      <c r="E49"/>
      <c r="F49"/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A49"/>
      <c r="AD49"/>
      <c r="AE49"/>
      <c r="AG49"/>
      <c r="AH49"/>
      <c r="AJ49"/>
      <c r="AK49"/>
      <c r="AL49"/>
      <c r="AM49"/>
      <c r="AN49"/>
      <c r="AO49"/>
    </row>
    <row r="50" spans="2:41" x14ac:dyDescent="0.25">
      <c r="B50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A50"/>
      <c r="AD50"/>
      <c r="AE50"/>
      <c r="AG50"/>
      <c r="AH50"/>
      <c r="AJ50"/>
      <c r="AK50"/>
      <c r="AL50"/>
      <c r="AM50"/>
      <c r="AN50"/>
      <c r="AO50"/>
    </row>
    <row r="51" spans="2:41" x14ac:dyDescent="0.25">
      <c r="B51"/>
      <c r="C51"/>
      <c r="E51"/>
      <c r="F51"/>
      <c r="H51" s="250"/>
      <c r="I51" s="250"/>
      <c r="J51" s="80"/>
      <c r="K51" s="81"/>
      <c r="L51"/>
      <c r="P51"/>
      <c r="Q51"/>
      <c r="S51"/>
      <c r="T51"/>
      <c r="V51" s="250"/>
      <c r="W51" s="250"/>
      <c r="X51" s="80"/>
      <c r="Y51" s="81"/>
      <c r="Z51"/>
      <c r="AA51"/>
      <c r="AD51"/>
      <c r="AE51"/>
      <c r="AG51"/>
      <c r="AH51"/>
      <c r="AJ51" s="250"/>
      <c r="AK51" s="250"/>
      <c r="AL51" s="80"/>
      <c r="AM51" s="81"/>
      <c r="AN51"/>
      <c r="AO51"/>
    </row>
    <row r="52" spans="2:41" x14ac:dyDescent="0.25">
      <c r="B52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A52"/>
      <c r="AD52"/>
      <c r="AE52"/>
      <c r="AG52"/>
      <c r="AH52"/>
      <c r="AJ52"/>
      <c r="AK52"/>
      <c r="AL52"/>
      <c r="AM52"/>
      <c r="AN52"/>
      <c r="AO52"/>
    </row>
    <row r="53" spans="2:41" x14ac:dyDescent="0.25">
      <c r="B5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A53"/>
      <c r="AD53"/>
      <c r="AE53"/>
      <c r="AG53"/>
      <c r="AH53"/>
      <c r="AJ53"/>
      <c r="AK53"/>
      <c r="AL53"/>
      <c r="AM53"/>
      <c r="AN53"/>
      <c r="AO53"/>
    </row>
    <row r="54" spans="2:41" x14ac:dyDescent="0.25">
      <c r="B54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A54"/>
      <c r="AD54"/>
      <c r="AE54"/>
      <c r="AG54"/>
      <c r="AH54"/>
      <c r="AJ54"/>
      <c r="AK54"/>
      <c r="AL54"/>
      <c r="AM54"/>
      <c r="AN54"/>
      <c r="AO54"/>
    </row>
    <row r="55" spans="2:41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A55"/>
      <c r="AD55"/>
      <c r="AE55"/>
      <c r="AG55"/>
      <c r="AH55"/>
      <c r="AJ55"/>
      <c r="AK55"/>
      <c r="AL55"/>
      <c r="AM55"/>
      <c r="AN55"/>
      <c r="AO55"/>
    </row>
    <row r="56" spans="2:41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A56"/>
      <c r="AD56"/>
      <c r="AE56"/>
      <c r="AG56"/>
      <c r="AH56"/>
      <c r="AJ56"/>
      <c r="AK56"/>
      <c r="AL56"/>
      <c r="AM56"/>
      <c r="AN56"/>
      <c r="AO56"/>
    </row>
    <row r="57" spans="2:41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A57"/>
      <c r="AD57"/>
      <c r="AE57"/>
      <c r="AG57"/>
      <c r="AH57"/>
      <c r="AJ57"/>
      <c r="AK57"/>
      <c r="AL57"/>
      <c r="AM57"/>
      <c r="AN57"/>
      <c r="AO57"/>
    </row>
    <row r="58" spans="2:41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A58"/>
      <c r="AD58"/>
      <c r="AE58"/>
      <c r="AG58"/>
      <c r="AH58"/>
      <c r="AJ58"/>
      <c r="AK58"/>
      <c r="AL58"/>
      <c r="AM58"/>
      <c r="AN58"/>
      <c r="AO58"/>
    </row>
    <row r="59" spans="2:41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A59"/>
      <c r="AD59"/>
      <c r="AE59"/>
      <c r="AG59"/>
      <c r="AH59"/>
      <c r="AJ59"/>
      <c r="AK59"/>
      <c r="AL59"/>
      <c r="AM59"/>
      <c r="AN59"/>
      <c r="AO59"/>
    </row>
    <row r="60" spans="2:41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A60"/>
      <c r="AD60"/>
      <c r="AE60"/>
      <c r="AG60"/>
      <c r="AH60"/>
      <c r="AJ60"/>
      <c r="AK60"/>
      <c r="AL60"/>
      <c r="AM60"/>
      <c r="AN60"/>
      <c r="AO60"/>
    </row>
    <row r="61" spans="2:41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A61"/>
      <c r="AD61"/>
      <c r="AE61"/>
      <c r="AG61"/>
      <c r="AH61"/>
      <c r="AJ61"/>
      <c r="AK61"/>
      <c r="AL61"/>
      <c r="AM61"/>
      <c r="AN61"/>
      <c r="AO61"/>
    </row>
    <row r="62" spans="2:41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A62"/>
      <c r="AD62"/>
      <c r="AE62"/>
      <c r="AG62"/>
      <c r="AH62"/>
      <c r="AJ62"/>
      <c r="AK62"/>
      <c r="AL62"/>
      <c r="AM62"/>
      <c r="AN62"/>
      <c r="AO62"/>
    </row>
    <row r="63" spans="2:41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A63"/>
      <c r="AD63"/>
      <c r="AE63"/>
      <c r="AG63"/>
      <c r="AH63"/>
      <c r="AJ63"/>
      <c r="AK63"/>
      <c r="AL63"/>
      <c r="AM63"/>
      <c r="AN63"/>
      <c r="AO63"/>
    </row>
    <row r="64" spans="2:41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A64"/>
      <c r="AD64"/>
      <c r="AE64"/>
      <c r="AG64"/>
      <c r="AH64"/>
      <c r="AJ64"/>
      <c r="AK64"/>
      <c r="AL64"/>
      <c r="AM64"/>
      <c r="AN64"/>
      <c r="AO64"/>
    </row>
    <row r="65" spans="2:41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A65"/>
      <c r="AD65"/>
      <c r="AE65"/>
      <c r="AG65"/>
      <c r="AH65"/>
      <c r="AJ65"/>
      <c r="AK65"/>
      <c r="AL65"/>
      <c r="AM65"/>
      <c r="AN65"/>
      <c r="AO65"/>
    </row>
    <row r="66" spans="2:41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A66"/>
      <c r="AD66"/>
      <c r="AE66"/>
      <c r="AG66"/>
      <c r="AH66"/>
      <c r="AJ66"/>
      <c r="AK66"/>
      <c r="AL66"/>
      <c r="AM66"/>
      <c r="AN66"/>
      <c r="AO66"/>
    </row>
    <row r="67" spans="2:41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A67"/>
      <c r="AD67"/>
      <c r="AE67"/>
      <c r="AG67"/>
      <c r="AH67"/>
      <c r="AJ67"/>
      <c r="AK67"/>
      <c r="AL67"/>
      <c r="AM67"/>
      <c r="AN67"/>
      <c r="AO67"/>
    </row>
    <row r="68" spans="2:41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A68"/>
      <c r="AD68"/>
      <c r="AE68"/>
      <c r="AG68"/>
      <c r="AH68"/>
      <c r="AJ68"/>
      <c r="AK68"/>
      <c r="AL68"/>
      <c r="AM68"/>
      <c r="AN68"/>
      <c r="AO68"/>
    </row>
    <row r="69" spans="2:41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A69"/>
      <c r="AD69"/>
      <c r="AE69"/>
      <c r="AG69"/>
      <c r="AH69"/>
      <c r="AJ69"/>
      <c r="AK69"/>
      <c r="AL69"/>
      <c r="AM69"/>
      <c r="AN69"/>
      <c r="AO69"/>
    </row>
    <row r="70" spans="2:41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A70"/>
      <c r="AD70"/>
      <c r="AE70"/>
      <c r="AG70"/>
      <c r="AH70"/>
      <c r="AJ70"/>
      <c r="AK70"/>
      <c r="AL70"/>
      <c r="AM70"/>
      <c r="AN70"/>
      <c r="AO70"/>
    </row>
    <row r="71" spans="2:41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A71"/>
      <c r="AD71"/>
      <c r="AE71"/>
      <c r="AG71"/>
      <c r="AH71"/>
      <c r="AJ71"/>
      <c r="AK71"/>
      <c r="AL71"/>
      <c r="AM71"/>
      <c r="AN71"/>
      <c r="AO71"/>
    </row>
    <row r="72" spans="2:41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A72"/>
      <c r="AD72"/>
      <c r="AE72"/>
      <c r="AG72"/>
      <c r="AH72"/>
      <c r="AJ72"/>
      <c r="AK72"/>
      <c r="AL72"/>
      <c r="AM72"/>
      <c r="AN72"/>
      <c r="AO72"/>
    </row>
    <row r="73" spans="2:41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A73"/>
      <c r="AD73"/>
      <c r="AE73"/>
      <c r="AG73"/>
      <c r="AH73"/>
      <c r="AJ73"/>
      <c r="AK73"/>
      <c r="AL73"/>
      <c r="AM73"/>
      <c r="AN73"/>
      <c r="AO73"/>
    </row>
    <row r="74" spans="2:41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A74"/>
      <c r="AD74"/>
      <c r="AE74"/>
      <c r="AG74"/>
      <c r="AH74"/>
      <c r="AJ74"/>
      <c r="AK74"/>
      <c r="AL74"/>
      <c r="AM74"/>
      <c r="AN74"/>
      <c r="AO74"/>
    </row>
    <row r="75" spans="2:41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A75"/>
      <c r="AD75"/>
      <c r="AE75"/>
      <c r="AG75"/>
      <c r="AH75"/>
      <c r="AJ75"/>
      <c r="AK75"/>
      <c r="AL75"/>
      <c r="AM75"/>
      <c r="AN75"/>
      <c r="AO75"/>
    </row>
    <row r="76" spans="2:41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A76"/>
      <c r="AD76"/>
      <c r="AE76"/>
      <c r="AG76"/>
      <c r="AH76"/>
      <c r="AJ76"/>
      <c r="AK76"/>
      <c r="AL76"/>
      <c r="AM76"/>
      <c r="AN76"/>
      <c r="AO76"/>
    </row>
    <row r="77" spans="2:41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A77"/>
      <c r="AD77"/>
      <c r="AE77"/>
      <c r="AG77"/>
      <c r="AH77"/>
      <c r="AJ77"/>
      <c r="AK77"/>
      <c r="AL77"/>
      <c r="AM77"/>
      <c r="AN77"/>
      <c r="AO77"/>
    </row>
    <row r="78" spans="2:41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A78"/>
      <c r="AD78"/>
      <c r="AE78"/>
      <c r="AG78"/>
      <c r="AH78"/>
      <c r="AJ78"/>
      <c r="AK78"/>
      <c r="AL78"/>
      <c r="AM78"/>
      <c r="AN78"/>
      <c r="AO78"/>
    </row>
    <row r="79" spans="2:41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A79"/>
      <c r="AD79"/>
      <c r="AE79"/>
      <c r="AG79"/>
      <c r="AH79"/>
      <c r="AJ79"/>
      <c r="AK79"/>
      <c r="AL79"/>
      <c r="AM79"/>
      <c r="AN79"/>
      <c r="AO79"/>
    </row>
    <row r="80" spans="2:41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A80"/>
      <c r="AD80"/>
      <c r="AE80"/>
      <c r="AG80"/>
      <c r="AH80"/>
      <c r="AJ80"/>
      <c r="AK80"/>
      <c r="AL80"/>
      <c r="AM80"/>
      <c r="AN80"/>
      <c r="AO80"/>
    </row>
    <row r="81" spans="2:41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A81"/>
      <c r="AD81"/>
      <c r="AE81"/>
      <c r="AG81"/>
      <c r="AH81"/>
      <c r="AJ81"/>
      <c r="AK81"/>
      <c r="AL81"/>
      <c r="AM81"/>
      <c r="AN81"/>
      <c r="AO81"/>
    </row>
    <row r="82" spans="2:41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A82"/>
      <c r="AD82"/>
      <c r="AE82"/>
      <c r="AG82"/>
      <c r="AH82"/>
      <c r="AJ82"/>
      <c r="AK82"/>
      <c r="AL82"/>
      <c r="AM82"/>
      <c r="AN82"/>
      <c r="AO82"/>
    </row>
    <row r="83" spans="2:41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A83"/>
      <c r="AD83"/>
      <c r="AE83"/>
      <c r="AG83"/>
      <c r="AH83"/>
      <c r="AJ83"/>
      <c r="AK83"/>
      <c r="AL83"/>
      <c r="AM83"/>
      <c r="AN83"/>
      <c r="AO83"/>
    </row>
    <row r="84" spans="2:41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A84"/>
      <c r="AD84"/>
      <c r="AE84"/>
      <c r="AG84"/>
      <c r="AH84"/>
      <c r="AJ84"/>
      <c r="AK84"/>
      <c r="AL84"/>
      <c r="AM84"/>
      <c r="AN84"/>
      <c r="AO84"/>
    </row>
    <row r="85" spans="2:41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A85"/>
      <c r="AD85"/>
      <c r="AE85"/>
      <c r="AG85"/>
      <c r="AH85"/>
      <c r="AJ85"/>
      <c r="AK85"/>
      <c r="AL85"/>
      <c r="AM85"/>
      <c r="AN85"/>
      <c r="AO85"/>
    </row>
    <row r="86" spans="2:41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A86"/>
      <c r="AD86"/>
      <c r="AE86"/>
      <c r="AG86"/>
      <c r="AH86"/>
      <c r="AJ86"/>
      <c r="AK86"/>
      <c r="AL86"/>
      <c r="AM86"/>
      <c r="AN86"/>
      <c r="AO86"/>
    </row>
    <row r="87" spans="2:41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A87"/>
      <c r="AD87"/>
      <c r="AE87"/>
      <c r="AG87"/>
      <c r="AH87"/>
      <c r="AJ87"/>
      <c r="AK87"/>
      <c r="AL87"/>
      <c r="AM87"/>
      <c r="AN87"/>
      <c r="AO87"/>
    </row>
    <row r="88" spans="2:41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A88"/>
      <c r="AD88"/>
      <c r="AE88"/>
      <c r="AG88"/>
      <c r="AH88"/>
      <c r="AJ88"/>
      <c r="AK88"/>
      <c r="AL88"/>
      <c r="AM88"/>
      <c r="AN88"/>
      <c r="AO88"/>
    </row>
    <row r="89" spans="2:41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A89"/>
      <c r="AD89"/>
      <c r="AE89"/>
      <c r="AG89"/>
      <c r="AH89"/>
      <c r="AJ89"/>
      <c r="AK89"/>
      <c r="AL89"/>
      <c r="AM89"/>
      <c r="AN89"/>
      <c r="AO89"/>
    </row>
    <row r="90" spans="2:41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A90"/>
      <c r="AD90"/>
      <c r="AE90"/>
      <c r="AG90"/>
      <c r="AH90"/>
      <c r="AJ90"/>
      <c r="AK90"/>
      <c r="AL90"/>
      <c r="AM90"/>
      <c r="AN90"/>
      <c r="AO90"/>
    </row>
    <row r="91" spans="2:41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A91"/>
      <c r="AD91"/>
      <c r="AE91"/>
      <c r="AG91"/>
      <c r="AH91"/>
      <c r="AJ91"/>
      <c r="AK91"/>
      <c r="AL91"/>
      <c r="AM91"/>
      <c r="AN91"/>
      <c r="AO91"/>
    </row>
    <row r="92" spans="2:41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A92"/>
      <c r="AD92"/>
      <c r="AE92"/>
      <c r="AG92"/>
      <c r="AH92"/>
      <c r="AJ92"/>
      <c r="AK92"/>
      <c r="AL92"/>
      <c r="AM92"/>
      <c r="AN92"/>
      <c r="AO92"/>
    </row>
    <row r="93" spans="2:41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A93"/>
      <c r="AD93"/>
      <c r="AE93"/>
      <c r="AG93"/>
      <c r="AH93"/>
      <c r="AJ93"/>
      <c r="AK93"/>
      <c r="AL93"/>
      <c r="AM93"/>
      <c r="AN93"/>
      <c r="AO93"/>
    </row>
    <row r="94" spans="2:41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A94"/>
      <c r="AD94"/>
      <c r="AE94"/>
      <c r="AG94"/>
      <c r="AH94"/>
      <c r="AJ94"/>
      <c r="AK94"/>
      <c r="AL94"/>
      <c r="AM94"/>
      <c r="AN94"/>
      <c r="AO94"/>
    </row>
    <row r="95" spans="2:41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A95"/>
      <c r="AD95"/>
      <c r="AE95"/>
      <c r="AG95"/>
      <c r="AH95"/>
      <c r="AJ95"/>
      <c r="AK95"/>
      <c r="AL95"/>
      <c r="AM95"/>
      <c r="AN95"/>
      <c r="AO95"/>
    </row>
    <row r="96" spans="2:41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A96"/>
      <c r="AD96"/>
      <c r="AE96"/>
      <c r="AG96"/>
      <c r="AH96"/>
      <c r="AJ96"/>
      <c r="AK96"/>
      <c r="AL96"/>
      <c r="AM96"/>
      <c r="AN96"/>
      <c r="AO96"/>
    </row>
    <row r="97" spans="2:41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A97"/>
      <c r="AD97"/>
      <c r="AE97"/>
      <c r="AG97"/>
      <c r="AH97"/>
      <c r="AJ97"/>
      <c r="AK97"/>
      <c r="AL97"/>
      <c r="AM97"/>
      <c r="AN97"/>
      <c r="AO97"/>
    </row>
    <row r="98" spans="2:41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A98"/>
      <c r="AD98"/>
      <c r="AE98"/>
      <c r="AG98"/>
      <c r="AH98"/>
      <c r="AJ98"/>
      <c r="AK98"/>
      <c r="AL98"/>
      <c r="AM98"/>
      <c r="AN98"/>
      <c r="AO98"/>
    </row>
    <row r="99" spans="2:41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A99"/>
      <c r="AD99"/>
      <c r="AE99"/>
      <c r="AG99"/>
      <c r="AH99"/>
      <c r="AJ99"/>
      <c r="AK99"/>
      <c r="AL99"/>
      <c r="AM99"/>
      <c r="AN99"/>
      <c r="AO99"/>
    </row>
    <row r="100" spans="2:41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A100"/>
      <c r="AD100"/>
      <c r="AE100"/>
      <c r="AG100"/>
      <c r="AH100"/>
      <c r="AJ100"/>
      <c r="AK100"/>
      <c r="AL100"/>
      <c r="AM100"/>
      <c r="AN100"/>
      <c r="AO100"/>
    </row>
    <row r="101" spans="2:41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A101"/>
      <c r="AD101"/>
      <c r="AE101"/>
      <c r="AG101"/>
      <c r="AH101"/>
      <c r="AJ101"/>
      <c r="AK101"/>
      <c r="AL101"/>
      <c r="AM101"/>
      <c r="AN101"/>
      <c r="AO101"/>
    </row>
    <row r="102" spans="2:41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A102"/>
      <c r="AD102"/>
      <c r="AE102"/>
      <c r="AG102"/>
      <c r="AH102"/>
      <c r="AJ102"/>
      <c r="AK102"/>
      <c r="AL102"/>
      <c r="AM102"/>
      <c r="AN102"/>
      <c r="AO102"/>
    </row>
    <row r="103" spans="2:41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A103"/>
      <c r="AD103"/>
      <c r="AE103"/>
      <c r="AG103"/>
      <c r="AH103"/>
      <c r="AJ103"/>
      <c r="AK103"/>
      <c r="AL103"/>
      <c r="AM103"/>
      <c r="AN103"/>
      <c r="AO103"/>
    </row>
    <row r="104" spans="2:41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A104"/>
      <c r="AD104"/>
      <c r="AE104"/>
      <c r="AG104"/>
      <c r="AH104"/>
      <c r="AJ104"/>
      <c r="AK104"/>
      <c r="AL104"/>
      <c r="AM104"/>
      <c r="AN104"/>
      <c r="AO104"/>
    </row>
    <row r="105" spans="2:41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A105"/>
      <c r="AD105"/>
      <c r="AE105"/>
      <c r="AG105"/>
      <c r="AH105"/>
      <c r="AJ105"/>
      <c r="AK105"/>
      <c r="AL105"/>
      <c r="AM105"/>
      <c r="AN105"/>
      <c r="AO105"/>
    </row>
    <row r="106" spans="2:41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A106"/>
      <c r="AD106"/>
      <c r="AE106"/>
      <c r="AG106"/>
      <c r="AH106"/>
      <c r="AJ106"/>
      <c r="AK106"/>
      <c r="AL106"/>
      <c r="AM106"/>
      <c r="AN106"/>
      <c r="AO106"/>
    </row>
    <row r="107" spans="2:41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A107"/>
      <c r="AD107"/>
      <c r="AE107"/>
      <c r="AG107"/>
      <c r="AH107"/>
      <c r="AJ107"/>
      <c r="AK107"/>
      <c r="AL107"/>
      <c r="AM107"/>
      <c r="AN107"/>
      <c r="AO107"/>
    </row>
    <row r="108" spans="2:41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A108"/>
      <c r="AD108"/>
      <c r="AE108"/>
      <c r="AG108"/>
      <c r="AH108"/>
      <c r="AJ108"/>
      <c r="AK108"/>
      <c r="AL108"/>
      <c r="AM108"/>
      <c r="AN108"/>
      <c r="AO108"/>
    </row>
    <row r="109" spans="2:41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A109"/>
      <c r="AD109"/>
      <c r="AE109"/>
      <c r="AG109"/>
      <c r="AH109"/>
      <c r="AJ109"/>
      <c r="AK109"/>
      <c r="AL109"/>
      <c r="AM109"/>
      <c r="AN109"/>
      <c r="AO109"/>
    </row>
    <row r="110" spans="2:41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A110"/>
      <c r="AD110"/>
      <c r="AE110"/>
      <c r="AG110"/>
      <c r="AH110"/>
      <c r="AJ110"/>
      <c r="AK110"/>
      <c r="AL110"/>
      <c r="AM110"/>
      <c r="AN110"/>
      <c r="AO110"/>
    </row>
    <row r="111" spans="2:41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A111"/>
      <c r="AD111"/>
      <c r="AE111"/>
      <c r="AG111"/>
      <c r="AH111"/>
      <c r="AJ111"/>
      <c r="AK111"/>
      <c r="AL111"/>
      <c r="AM111"/>
      <c r="AN111"/>
      <c r="AO111"/>
    </row>
  </sheetData>
  <mergeCells count="32">
    <mergeCell ref="H51:I51"/>
    <mergeCell ref="H39:I39"/>
    <mergeCell ref="J39:K39"/>
    <mergeCell ref="A40:B40"/>
    <mergeCell ref="D40:E40"/>
    <mergeCell ref="I45:J45"/>
    <mergeCell ref="C1:J1"/>
    <mergeCell ref="E3:F3"/>
    <mergeCell ref="I3:K3"/>
    <mergeCell ref="J20:J21"/>
    <mergeCell ref="A38:B38"/>
    <mergeCell ref="AC40:AD40"/>
    <mergeCell ref="AF40:AG40"/>
    <mergeCell ref="AK45:AL45"/>
    <mergeCell ref="AJ51:AK51"/>
    <mergeCell ref="AE1:AL1"/>
    <mergeCell ref="AG3:AH3"/>
    <mergeCell ref="AK3:AM3"/>
    <mergeCell ref="AC38:AD38"/>
    <mergeCell ref="AJ39:AK39"/>
    <mergeCell ref="AL39:AM39"/>
    <mergeCell ref="Q1:X1"/>
    <mergeCell ref="S3:T3"/>
    <mergeCell ref="W3:Y3"/>
    <mergeCell ref="X20:X21"/>
    <mergeCell ref="O38:P38"/>
    <mergeCell ref="V51:W51"/>
    <mergeCell ref="V39:W39"/>
    <mergeCell ref="X39:Y39"/>
    <mergeCell ref="O40:P40"/>
    <mergeCell ref="R40:S40"/>
    <mergeCell ref="W45:X4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A83"/>
  <sheetViews>
    <sheetView workbookViewId="0">
      <selection activeCell="C33" sqref="C33"/>
    </sheetView>
  </sheetViews>
  <sheetFormatPr baseColWidth="10" defaultRowHeight="15.75" x14ac:dyDescent="0.25"/>
  <cols>
    <col min="2" max="2" width="11.42578125" style="83"/>
    <col min="3" max="3" width="14.140625" style="84" bestFit="1" customWidth="1"/>
    <col min="4" max="4" width="18.7109375" bestFit="1" customWidth="1"/>
    <col min="5" max="5" width="15.85546875" style="85" customWidth="1"/>
    <col min="6" max="6" width="14.140625" style="33" bestFit="1" customWidth="1"/>
    <col min="7" max="7" width="14.140625" style="14" bestFit="1" customWidth="1"/>
    <col min="8" max="8" width="11.42578125" style="14"/>
    <col min="9" max="9" width="12.5703125" style="33" bestFit="1" customWidth="1"/>
    <col min="11" max="11" width="16.28515625" customWidth="1"/>
    <col min="14" max="14" width="20.140625" bestFit="1" customWidth="1"/>
    <col min="20" max="20" width="12.5703125" bestFit="1" customWidth="1"/>
    <col min="22" max="22" width="19" customWidth="1"/>
    <col min="25" max="25" width="20.140625" bestFit="1" customWidth="1"/>
  </cols>
  <sheetData>
    <row r="1" spans="1:27" ht="19.5" customHeight="1" thickBot="1" x14ac:dyDescent="0.35">
      <c r="J1" s="268">
        <v>1</v>
      </c>
      <c r="K1" s="86" t="s">
        <v>28</v>
      </c>
      <c r="L1" s="86"/>
      <c r="M1" s="110"/>
      <c r="N1" s="148">
        <v>42433</v>
      </c>
      <c r="O1" s="112"/>
      <c r="T1" s="33"/>
      <c r="U1" s="268">
        <v>1</v>
      </c>
      <c r="V1" s="86" t="s">
        <v>28</v>
      </c>
      <c r="W1" s="86"/>
      <c r="X1" s="110"/>
      <c r="Y1" s="195">
        <v>42460</v>
      </c>
      <c r="Z1" s="112"/>
    </row>
    <row r="2" spans="1:27" ht="19.5" customHeight="1" thickBot="1" x14ac:dyDescent="0.35">
      <c r="B2" s="176"/>
      <c r="C2" s="177"/>
      <c r="D2" s="178" t="s">
        <v>21</v>
      </c>
      <c r="E2" s="179"/>
      <c r="F2" s="180"/>
      <c r="G2" s="181"/>
      <c r="J2" s="269"/>
      <c r="K2" s="113"/>
      <c r="L2" s="113"/>
      <c r="M2" s="114"/>
      <c r="N2" s="115"/>
      <c r="O2" s="112"/>
      <c r="T2" s="33"/>
      <c r="U2" s="269"/>
      <c r="V2" s="113"/>
      <c r="W2" s="113"/>
      <c r="X2" s="114"/>
      <c r="Y2" s="115"/>
      <c r="Z2" s="112"/>
    </row>
    <row r="3" spans="1:27" ht="16.5" thickBot="1" x14ac:dyDescent="0.3">
      <c r="B3" s="87" t="s">
        <v>22</v>
      </c>
      <c r="C3" s="88" t="s">
        <v>23</v>
      </c>
      <c r="D3" s="89" t="s">
        <v>24</v>
      </c>
      <c r="E3" s="89" t="s">
        <v>25</v>
      </c>
      <c r="F3" s="90" t="s">
        <v>24</v>
      </c>
      <c r="G3" s="91" t="s">
        <v>26</v>
      </c>
      <c r="J3" s="116" t="s">
        <v>23</v>
      </c>
      <c r="K3" s="116" t="s">
        <v>24</v>
      </c>
      <c r="L3" s="116"/>
      <c r="M3" s="117" t="s">
        <v>29</v>
      </c>
      <c r="N3" s="118" t="s">
        <v>30</v>
      </c>
      <c r="O3" s="119"/>
      <c r="T3" s="3"/>
      <c r="U3" s="116" t="s">
        <v>23</v>
      </c>
      <c r="V3" s="116" t="s">
        <v>24</v>
      </c>
      <c r="W3" s="116"/>
      <c r="X3" s="117" t="s">
        <v>29</v>
      </c>
      <c r="Y3" s="118" t="s">
        <v>30</v>
      </c>
      <c r="Z3" s="119"/>
    </row>
    <row r="4" spans="1:27" x14ac:dyDescent="0.25">
      <c r="A4" s="14"/>
      <c r="B4" s="92">
        <v>42430</v>
      </c>
      <c r="C4" s="93" t="s">
        <v>100</v>
      </c>
      <c r="D4" s="94">
        <v>107363.8</v>
      </c>
      <c r="E4" s="225" t="s">
        <v>132</v>
      </c>
      <c r="F4" s="94">
        <f>101851.7+5512.1</f>
        <v>107363.8</v>
      </c>
      <c r="G4" s="158">
        <f t="shared" ref="G4:G28" si="0">D4-F4</f>
        <v>0</v>
      </c>
      <c r="H4" s="146"/>
      <c r="I4" s="165"/>
      <c r="J4" s="93" t="s">
        <v>95</v>
      </c>
      <c r="K4" s="94">
        <v>3349.34</v>
      </c>
      <c r="L4" s="120" t="s">
        <v>36</v>
      </c>
      <c r="M4" s="121" t="s">
        <v>31</v>
      </c>
      <c r="N4" s="122">
        <v>40301</v>
      </c>
      <c r="O4" s="123">
        <v>42403</v>
      </c>
      <c r="P4" s="159">
        <v>42401</v>
      </c>
      <c r="T4" s="3">
        <f>45412+10487</f>
        <v>55899</v>
      </c>
      <c r="U4" s="93" t="s">
        <v>113</v>
      </c>
      <c r="V4" s="237">
        <v>55899.05</v>
      </c>
      <c r="W4" s="120" t="s">
        <v>36</v>
      </c>
      <c r="X4" s="121">
        <v>3261638</v>
      </c>
      <c r="Y4" s="122">
        <v>45412</v>
      </c>
      <c r="Z4" s="123">
        <v>42443</v>
      </c>
    </row>
    <row r="5" spans="1:27" x14ac:dyDescent="0.25">
      <c r="A5" s="14"/>
      <c r="B5" s="96">
        <v>42433</v>
      </c>
      <c r="C5" s="93" t="s">
        <v>107</v>
      </c>
      <c r="D5" s="94">
        <v>176147.29</v>
      </c>
      <c r="E5" s="95">
        <v>42448</v>
      </c>
      <c r="F5" s="94">
        <v>176147.29</v>
      </c>
      <c r="G5" s="97">
        <f t="shared" si="0"/>
        <v>0</v>
      </c>
      <c r="H5" s="146"/>
      <c r="I5" s="165"/>
      <c r="J5" s="93" t="s">
        <v>98</v>
      </c>
      <c r="K5" s="94">
        <v>23418.36</v>
      </c>
      <c r="L5" s="124"/>
      <c r="M5" s="125" t="s">
        <v>31</v>
      </c>
      <c r="N5" s="126">
        <v>38633</v>
      </c>
      <c r="O5" s="127">
        <v>42403</v>
      </c>
      <c r="P5" s="159">
        <v>42401</v>
      </c>
      <c r="T5" s="3">
        <v>4456</v>
      </c>
      <c r="U5" s="93" t="s">
        <v>131</v>
      </c>
      <c r="V5" s="94">
        <v>4456</v>
      </c>
      <c r="W5" s="124"/>
      <c r="X5" s="125">
        <v>3261639</v>
      </c>
      <c r="Y5" s="126">
        <v>14943</v>
      </c>
      <c r="Z5" s="127">
        <v>42444</v>
      </c>
    </row>
    <row r="6" spans="1:27" x14ac:dyDescent="0.25">
      <c r="A6" s="14"/>
      <c r="B6" s="96">
        <v>42434</v>
      </c>
      <c r="C6" s="98" t="s">
        <v>106</v>
      </c>
      <c r="D6" s="94">
        <v>5682.6</v>
      </c>
      <c r="E6" s="95">
        <v>42448</v>
      </c>
      <c r="F6" s="94">
        <v>5682.6</v>
      </c>
      <c r="G6" s="97">
        <f t="shared" si="0"/>
        <v>0</v>
      </c>
      <c r="H6" s="38"/>
      <c r="I6" s="165"/>
      <c r="J6" s="93" t="s">
        <v>99</v>
      </c>
      <c r="K6" s="94">
        <v>180743.8</v>
      </c>
      <c r="L6" s="124"/>
      <c r="M6" s="125">
        <v>3358234</v>
      </c>
      <c r="N6" s="126">
        <v>30000</v>
      </c>
      <c r="O6" s="127">
        <v>42405</v>
      </c>
      <c r="T6" s="3">
        <f>35005+50000+40826.5+22483.5+30</f>
        <v>148345</v>
      </c>
      <c r="U6" s="93" t="s">
        <v>119</v>
      </c>
      <c r="V6" s="94">
        <v>148344.85999999999</v>
      </c>
      <c r="W6" s="124"/>
      <c r="X6" s="125">
        <v>3261641</v>
      </c>
      <c r="Y6" s="126">
        <v>35005</v>
      </c>
      <c r="Z6" s="127">
        <v>42445</v>
      </c>
    </row>
    <row r="7" spans="1:27" x14ac:dyDescent="0.25">
      <c r="A7" s="14"/>
      <c r="B7" s="96">
        <v>42436</v>
      </c>
      <c r="C7" s="93" t="s">
        <v>108</v>
      </c>
      <c r="D7" s="94">
        <v>118814.6</v>
      </c>
      <c r="E7" s="95">
        <v>42448</v>
      </c>
      <c r="F7" s="94">
        <v>118814.6</v>
      </c>
      <c r="G7" s="99">
        <f>D7-F7</f>
        <v>0</v>
      </c>
      <c r="H7" s="38"/>
      <c r="I7" s="165"/>
      <c r="J7" s="217" t="s">
        <v>101</v>
      </c>
      <c r="K7" s="218">
        <v>13582.8</v>
      </c>
      <c r="L7" s="124"/>
      <c r="M7" s="125">
        <v>3358235</v>
      </c>
      <c r="N7" s="126">
        <v>52960</v>
      </c>
      <c r="O7" s="127">
        <v>42404</v>
      </c>
      <c r="T7" s="3">
        <v>7774.8</v>
      </c>
      <c r="U7" s="93" t="s">
        <v>120</v>
      </c>
      <c r="V7" s="94">
        <v>7774.8</v>
      </c>
      <c r="W7" s="124"/>
      <c r="X7" s="125">
        <v>3261642</v>
      </c>
      <c r="Y7" s="126">
        <v>50000</v>
      </c>
      <c r="Z7" s="127">
        <v>42445</v>
      </c>
    </row>
    <row r="8" spans="1:27" x14ac:dyDescent="0.25">
      <c r="A8" s="14"/>
      <c r="B8" s="96">
        <v>42437</v>
      </c>
      <c r="C8" s="93" t="s">
        <v>109</v>
      </c>
      <c r="D8" s="100">
        <v>53612.12</v>
      </c>
      <c r="E8" s="95">
        <v>42450</v>
      </c>
      <c r="F8" s="100">
        <v>53612.12</v>
      </c>
      <c r="G8" s="97">
        <f>D8-F8</f>
        <v>0</v>
      </c>
      <c r="H8" s="38"/>
      <c r="I8" s="165"/>
      <c r="J8" s="93" t="s">
        <v>100</v>
      </c>
      <c r="K8" s="94">
        <v>101851.7</v>
      </c>
      <c r="L8" s="124" t="s">
        <v>88</v>
      </c>
      <c r="M8" s="125">
        <v>3358237</v>
      </c>
      <c r="N8" s="126">
        <v>28904.5</v>
      </c>
      <c r="O8" s="127">
        <v>42402</v>
      </c>
      <c r="T8" s="3">
        <f>40618+68978</f>
        <v>109596</v>
      </c>
      <c r="U8" s="93" t="s">
        <v>121</v>
      </c>
      <c r="V8" s="94">
        <v>109596</v>
      </c>
      <c r="W8" s="124"/>
      <c r="X8" s="125">
        <v>3261643</v>
      </c>
      <c r="Y8" s="126">
        <v>40826.5</v>
      </c>
      <c r="Z8" s="127">
        <v>42446</v>
      </c>
    </row>
    <row r="9" spans="1:27" x14ac:dyDescent="0.25">
      <c r="A9" s="82"/>
      <c r="B9" s="96">
        <v>42438</v>
      </c>
      <c r="C9" s="93" t="s">
        <v>110</v>
      </c>
      <c r="D9" s="94">
        <v>57598.03</v>
      </c>
      <c r="E9" s="95">
        <v>42450</v>
      </c>
      <c r="F9" s="94">
        <v>57598.03</v>
      </c>
      <c r="G9" s="99">
        <f>D9-F9</f>
        <v>0</v>
      </c>
      <c r="H9" s="38"/>
      <c r="I9" s="165"/>
      <c r="J9" s="93"/>
      <c r="K9" s="94">
        <v>0</v>
      </c>
      <c r="L9" s="128"/>
      <c r="M9" s="125">
        <v>3358236</v>
      </c>
      <c r="N9" s="126">
        <v>33139</v>
      </c>
      <c r="O9" s="127">
        <v>42403</v>
      </c>
      <c r="T9" s="3">
        <f>5843.5+31496+51157.5+25943.5</f>
        <v>114440.5</v>
      </c>
      <c r="U9" s="93" t="s">
        <v>134</v>
      </c>
      <c r="V9" s="94">
        <v>114441</v>
      </c>
      <c r="W9" s="128"/>
      <c r="X9" s="125">
        <v>3261644</v>
      </c>
      <c r="Y9" s="126">
        <v>25000</v>
      </c>
      <c r="Z9" s="127">
        <v>42447</v>
      </c>
    </row>
    <row r="10" spans="1:27" ht="15.75" customHeight="1" x14ac:dyDescent="0.25">
      <c r="A10" s="14"/>
      <c r="B10" s="96">
        <v>42440</v>
      </c>
      <c r="C10" s="93" t="s">
        <v>111</v>
      </c>
      <c r="D10" s="94">
        <v>152524.75</v>
      </c>
      <c r="E10" s="95">
        <v>42450</v>
      </c>
      <c r="F10" s="94">
        <v>152524.75</v>
      </c>
      <c r="G10" s="99">
        <f>D10-F10</f>
        <v>0</v>
      </c>
      <c r="H10" s="38"/>
      <c r="I10" s="165"/>
      <c r="J10" s="93"/>
      <c r="K10" s="94">
        <v>0</v>
      </c>
      <c r="L10" s="129"/>
      <c r="M10" s="125">
        <v>3358230</v>
      </c>
      <c r="N10" s="126">
        <v>50000</v>
      </c>
      <c r="O10" s="127">
        <v>42407</v>
      </c>
      <c r="T10" s="3">
        <v>9374.2000000000007</v>
      </c>
      <c r="U10" s="93" t="s">
        <v>135</v>
      </c>
      <c r="V10" s="94">
        <v>9374.2000000000007</v>
      </c>
      <c r="W10" s="129"/>
      <c r="X10" s="125" t="s">
        <v>150</v>
      </c>
      <c r="Y10" s="126">
        <v>30</v>
      </c>
      <c r="Z10" s="127">
        <v>42445</v>
      </c>
    </row>
    <row r="11" spans="1:27" ht="15" x14ac:dyDescent="0.25">
      <c r="A11" s="14"/>
      <c r="B11" s="96">
        <v>42440</v>
      </c>
      <c r="C11" s="93" t="s">
        <v>112</v>
      </c>
      <c r="D11" s="94">
        <v>27349.45</v>
      </c>
      <c r="E11" s="196">
        <v>42450</v>
      </c>
      <c r="F11" s="94">
        <v>27349.45</v>
      </c>
      <c r="G11" s="99">
        <f>D11-F11</f>
        <v>0</v>
      </c>
      <c r="H11" s="38"/>
      <c r="I11" s="165"/>
      <c r="J11" s="93"/>
      <c r="K11" s="94">
        <v>0</v>
      </c>
      <c r="L11" s="124"/>
      <c r="M11" s="130">
        <v>3358231</v>
      </c>
      <c r="N11" s="131">
        <v>49008.5</v>
      </c>
      <c r="O11" s="127">
        <v>42406</v>
      </c>
      <c r="T11" s="3">
        <v>38130.6</v>
      </c>
      <c r="U11" s="93" t="s">
        <v>136</v>
      </c>
      <c r="V11" s="94">
        <v>38130.6</v>
      </c>
      <c r="W11" s="124"/>
      <c r="X11" s="130" t="s">
        <v>31</v>
      </c>
      <c r="Y11" s="131">
        <v>13952</v>
      </c>
      <c r="Z11" s="127">
        <v>42451</v>
      </c>
      <c r="AA11" s="159">
        <v>42447</v>
      </c>
    </row>
    <row r="12" spans="1:27" thickBot="1" x14ac:dyDescent="0.3">
      <c r="A12" s="14"/>
      <c r="B12" s="96">
        <v>42441</v>
      </c>
      <c r="C12" s="93" t="s">
        <v>113</v>
      </c>
      <c r="D12" s="94">
        <v>134584.9</v>
      </c>
      <c r="E12" s="95" t="s">
        <v>151</v>
      </c>
      <c r="F12" s="94">
        <f>78685.85+55899.05</f>
        <v>134584.90000000002</v>
      </c>
      <c r="G12" s="99">
        <f t="shared" si="0"/>
        <v>0</v>
      </c>
      <c r="H12" s="38"/>
      <c r="I12" s="165"/>
      <c r="J12" s="172"/>
      <c r="K12" s="173">
        <v>0</v>
      </c>
      <c r="L12" s="219"/>
      <c r="M12" s="198"/>
      <c r="N12" s="199">
        <v>0</v>
      </c>
      <c r="O12" s="220"/>
      <c r="T12" s="3">
        <f>1478.5+37793.5</f>
        <v>39272</v>
      </c>
      <c r="U12" s="93" t="s">
        <v>137</v>
      </c>
      <c r="V12" s="237">
        <v>39272</v>
      </c>
      <c r="W12" s="124" t="s">
        <v>37</v>
      </c>
      <c r="X12" s="130">
        <v>3261645</v>
      </c>
      <c r="Y12" s="131">
        <v>31924.5</v>
      </c>
      <c r="Z12" s="127">
        <v>42447</v>
      </c>
    </row>
    <row r="13" spans="1:27" thickTop="1" x14ac:dyDescent="0.25">
      <c r="A13" s="14"/>
      <c r="B13" s="96">
        <v>42441</v>
      </c>
      <c r="C13" s="93" t="s">
        <v>130</v>
      </c>
      <c r="D13" s="94">
        <v>602.5</v>
      </c>
      <c r="E13" s="95">
        <v>42450</v>
      </c>
      <c r="F13" s="94">
        <v>602.5</v>
      </c>
      <c r="G13" s="99">
        <f t="shared" si="0"/>
        <v>0</v>
      </c>
      <c r="H13" s="146"/>
      <c r="I13" s="165"/>
      <c r="J13" s="161"/>
      <c r="K13" s="221">
        <f>SUM(K4:K12)</f>
        <v>322946</v>
      </c>
      <c r="L13" s="213"/>
      <c r="M13" s="215"/>
      <c r="N13" s="165">
        <f>SUM(N4:N12)</f>
        <v>322946</v>
      </c>
      <c r="O13" s="206"/>
      <c r="T13" s="3">
        <v>447.5</v>
      </c>
      <c r="U13" s="93" t="s">
        <v>138</v>
      </c>
      <c r="V13" s="94">
        <v>447.5</v>
      </c>
      <c r="W13" s="124"/>
      <c r="X13" s="130">
        <v>3261647</v>
      </c>
      <c r="Y13" s="131">
        <v>49195.5</v>
      </c>
      <c r="Z13" s="127">
        <v>42448</v>
      </c>
    </row>
    <row r="14" spans="1:27" ht="15" x14ac:dyDescent="0.25">
      <c r="A14" s="14"/>
      <c r="B14" s="96">
        <v>42443</v>
      </c>
      <c r="C14" s="93" t="s">
        <v>131</v>
      </c>
      <c r="D14" s="94">
        <v>4456</v>
      </c>
      <c r="E14" s="95">
        <v>42460</v>
      </c>
      <c r="F14" s="94">
        <v>4456</v>
      </c>
      <c r="G14" s="99">
        <f t="shared" si="0"/>
        <v>0</v>
      </c>
      <c r="H14" s="147"/>
      <c r="I14" s="165"/>
      <c r="J14" s="161"/>
      <c r="K14" s="216"/>
      <c r="L14" s="213"/>
      <c r="M14" s="215"/>
      <c r="N14" s="165"/>
      <c r="O14" s="206"/>
      <c r="T14" s="3">
        <v>10015.120000000001</v>
      </c>
      <c r="U14" s="93" t="s">
        <v>139</v>
      </c>
      <c r="V14" s="94">
        <v>10015.120000000001</v>
      </c>
      <c r="W14" s="124"/>
      <c r="X14" s="130">
        <v>3261646</v>
      </c>
      <c r="Y14" s="131">
        <v>35000</v>
      </c>
      <c r="Z14" s="127">
        <v>42448</v>
      </c>
    </row>
    <row r="15" spans="1:27" thickBot="1" x14ac:dyDescent="0.3">
      <c r="A15" s="14"/>
      <c r="B15" s="96">
        <v>42444</v>
      </c>
      <c r="C15" s="93" t="s">
        <v>119</v>
      </c>
      <c r="D15" s="94">
        <v>148344.85999999999</v>
      </c>
      <c r="E15" s="95">
        <v>42460</v>
      </c>
      <c r="F15" s="94">
        <v>148344.85999999999</v>
      </c>
      <c r="G15" s="99">
        <f>D15-F15</f>
        <v>0</v>
      </c>
      <c r="H15" s="147"/>
      <c r="I15" s="165"/>
      <c r="J15" s="161"/>
      <c r="K15" s="216"/>
      <c r="L15" s="213"/>
      <c r="M15" s="215"/>
      <c r="N15" s="165"/>
      <c r="O15" s="206"/>
      <c r="T15" s="3">
        <v>0</v>
      </c>
      <c r="U15" s="93"/>
      <c r="V15" s="94">
        <v>0</v>
      </c>
      <c r="W15" s="124"/>
      <c r="X15" s="130">
        <v>3261648</v>
      </c>
      <c r="Y15" s="131">
        <v>31496</v>
      </c>
      <c r="Z15" s="127">
        <v>42449</v>
      </c>
    </row>
    <row r="16" spans="1:27" ht="19.5" thickBot="1" x14ac:dyDescent="0.35">
      <c r="A16" s="14"/>
      <c r="B16" s="96">
        <v>42445</v>
      </c>
      <c r="C16" s="93" t="s">
        <v>120</v>
      </c>
      <c r="D16" s="94">
        <v>7774.8</v>
      </c>
      <c r="E16" s="95">
        <v>42460</v>
      </c>
      <c r="F16" s="94">
        <v>7774.8</v>
      </c>
      <c r="G16" s="99">
        <f>D16-F16</f>
        <v>0</v>
      </c>
      <c r="J16" s="268">
        <v>1</v>
      </c>
      <c r="K16" s="86" t="s">
        <v>28</v>
      </c>
      <c r="L16" s="86"/>
      <c r="M16" s="110"/>
      <c r="N16" s="197">
        <v>42448</v>
      </c>
      <c r="O16" s="112"/>
      <c r="P16" s="159"/>
      <c r="T16" s="33">
        <v>0</v>
      </c>
      <c r="U16" s="93"/>
      <c r="V16" s="94">
        <v>0</v>
      </c>
      <c r="W16" s="240"/>
      <c r="X16" s="241" t="s">
        <v>31</v>
      </c>
      <c r="Y16" s="242">
        <v>14074</v>
      </c>
      <c r="Z16" s="243">
        <v>42452</v>
      </c>
      <c r="AA16" s="159">
        <v>42450</v>
      </c>
    </row>
    <row r="17" spans="1:26" ht="16.5" thickBot="1" x14ac:dyDescent="0.3">
      <c r="A17" s="14"/>
      <c r="B17" s="96">
        <v>42446</v>
      </c>
      <c r="C17" s="93" t="s">
        <v>121</v>
      </c>
      <c r="D17" s="94">
        <v>109596</v>
      </c>
      <c r="E17" s="95">
        <v>42460</v>
      </c>
      <c r="F17" s="94">
        <v>109596</v>
      </c>
      <c r="G17" s="97">
        <f>D17-F17</f>
        <v>0</v>
      </c>
      <c r="J17" s="269"/>
      <c r="K17" s="113"/>
      <c r="L17" s="113"/>
      <c r="M17" s="114"/>
      <c r="N17" s="115"/>
      <c r="O17" s="112"/>
      <c r="T17" s="3">
        <v>0</v>
      </c>
      <c r="U17" s="192"/>
      <c r="V17" s="194">
        <v>0</v>
      </c>
      <c r="W17" s="192"/>
      <c r="X17" s="193">
        <v>3261649</v>
      </c>
      <c r="Y17" s="194">
        <v>37084</v>
      </c>
      <c r="Z17" s="244">
        <v>42450</v>
      </c>
    </row>
    <row r="18" spans="1:26" ht="16.5" thickBot="1" x14ac:dyDescent="0.3">
      <c r="A18" s="14"/>
      <c r="B18" s="96">
        <v>42448</v>
      </c>
      <c r="C18" s="93" t="s">
        <v>134</v>
      </c>
      <c r="D18" s="94">
        <v>114441</v>
      </c>
      <c r="E18" s="95">
        <v>42460</v>
      </c>
      <c r="F18" s="94">
        <v>114441</v>
      </c>
      <c r="G18" s="97">
        <f>D18-F18</f>
        <v>0</v>
      </c>
      <c r="J18" s="116" t="s">
        <v>23</v>
      </c>
      <c r="K18" s="116" t="s">
        <v>24</v>
      </c>
      <c r="L18" s="116"/>
      <c r="M18" s="117" t="s">
        <v>29</v>
      </c>
      <c r="N18" s="118" t="s">
        <v>30</v>
      </c>
      <c r="O18" s="119"/>
      <c r="T18" s="224">
        <f>SUM(T4:T17)</f>
        <v>537750.72</v>
      </c>
      <c r="U18" s="192"/>
      <c r="V18" s="194">
        <v>0</v>
      </c>
      <c r="W18" s="192"/>
      <c r="X18" s="193">
        <v>3261650</v>
      </c>
      <c r="Y18" s="194">
        <v>44000</v>
      </c>
      <c r="Z18" s="244">
        <v>42451</v>
      </c>
    </row>
    <row r="19" spans="1:26" ht="16.5" thickTop="1" x14ac:dyDescent="0.25">
      <c r="A19" s="14"/>
      <c r="B19" s="96">
        <v>42448</v>
      </c>
      <c r="C19" s="93" t="s">
        <v>135</v>
      </c>
      <c r="D19" s="94">
        <v>9374.2000000000007</v>
      </c>
      <c r="E19" s="95">
        <v>42460</v>
      </c>
      <c r="F19" s="94">
        <v>9374.2000000000007</v>
      </c>
      <c r="G19" s="99">
        <f>D19-F19</f>
        <v>0</v>
      </c>
      <c r="J19" s="93" t="s">
        <v>100</v>
      </c>
      <c r="K19" s="190">
        <v>5512.1</v>
      </c>
      <c r="L19" s="120" t="s">
        <v>36</v>
      </c>
      <c r="M19" s="121" t="s">
        <v>31</v>
      </c>
      <c r="N19" s="122">
        <v>70650</v>
      </c>
      <c r="O19" s="123">
        <v>42432</v>
      </c>
      <c r="U19" s="192"/>
      <c r="V19" s="194">
        <v>0</v>
      </c>
      <c r="W19" s="192"/>
      <c r="X19" s="193">
        <v>3261651</v>
      </c>
      <c r="Y19" s="194">
        <v>32015</v>
      </c>
      <c r="Z19" s="244">
        <v>42451</v>
      </c>
    </row>
    <row r="20" spans="1:26" x14ac:dyDescent="0.25">
      <c r="A20" s="14"/>
      <c r="B20" s="96">
        <v>42449</v>
      </c>
      <c r="C20" s="93" t="s">
        <v>136</v>
      </c>
      <c r="D20" s="94">
        <v>38130.6</v>
      </c>
      <c r="E20" s="95">
        <v>42460</v>
      </c>
      <c r="F20" s="94">
        <v>38130.6</v>
      </c>
      <c r="G20" s="97">
        <f t="shared" si="0"/>
        <v>0</v>
      </c>
      <c r="J20" s="93" t="s">
        <v>107</v>
      </c>
      <c r="K20" s="190">
        <v>176147.29</v>
      </c>
      <c r="L20" s="124"/>
      <c r="M20" s="125" t="s">
        <v>31</v>
      </c>
      <c r="N20" s="126">
        <v>100000</v>
      </c>
      <c r="O20" s="127">
        <v>42432</v>
      </c>
      <c r="P20" s="159"/>
      <c r="U20" s="192"/>
      <c r="V20" s="194">
        <v>0</v>
      </c>
      <c r="W20" s="192"/>
      <c r="X20" s="193">
        <v>3261653</v>
      </c>
      <c r="Y20" s="194">
        <v>18099</v>
      </c>
      <c r="Z20" s="244">
        <v>42452</v>
      </c>
    </row>
    <row r="21" spans="1:26" x14ac:dyDescent="0.25">
      <c r="A21" s="14"/>
      <c r="B21" s="96">
        <v>42450</v>
      </c>
      <c r="C21" s="93" t="s">
        <v>137</v>
      </c>
      <c r="D21" s="94">
        <v>162464</v>
      </c>
      <c r="E21" s="95">
        <v>42460</v>
      </c>
      <c r="F21" s="237">
        <v>39272</v>
      </c>
      <c r="G21" s="249">
        <f t="shared" si="0"/>
        <v>123192</v>
      </c>
      <c r="J21" s="98" t="s">
        <v>106</v>
      </c>
      <c r="K21" s="190">
        <v>5682.6</v>
      </c>
      <c r="L21" s="124"/>
      <c r="M21" s="125">
        <v>3483814</v>
      </c>
      <c r="N21" s="126">
        <v>11009.5</v>
      </c>
      <c r="O21" s="127">
        <v>42433</v>
      </c>
      <c r="P21" s="159"/>
      <c r="U21" s="192"/>
      <c r="V21" s="245">
        <v>0</v>
      </c>
      <c r="W21" s="192"/>
      <c r="X21" s="193">
        <v>3261652</v>
      </c>
      <c r="Y21" s="246">
        <v>19694.5</v>
      </c>
      <c r="Z21" s="244">
        <v>42452</v>
      </c>
    </row>
    <row r="22" spans="1:26" x14ac:dyDescent="0.25">
      <c r="A22" s="14"/>
      <c r="B22" s="96">
        <v>42447</v>
      </c>
      <c r="C22" s="93" t="s">
        <v>138</v>
      </c>
      <c r="D22" s="94">
        <v>447.5</v>
      </c>
      <c r="E22" s="95">
        <v>42460</v>
      </c>
      <c r="F22" s="94">
        <v>447.5</v>
      </c>
      <c r="G22" s="97">
        <f t="shared" si="0"/>
        <v>0</v>
      </c>
      <c r="J22" s="93" t="s">
        <v>108</v>
      </c>
      <c r="K22" s="190">
        <v>118814.6</v>
      </c>
      <c r="L22" s="124"/>
      <c r="M22" s="125">
        <v>3483816</v>
      </c>
      <c r="N22" s="126">
        <v>5682.5</v>
      </c>
      <c r="O22" s="127">
        <v>42434</v>
      </c>
      <c r="U22" s="192"/>
      <c r="V22" s="192">
        <v>0</v>
      </c>
      <c r="W22" s="192"/>
      <c r="X22" s="192"/>
      <c r="Y22" s="194">
        <v>0</v>
      </c>
      <c r="Z22" s="192"/>
    </row>
    <row r="23" spans="1:26" x14ac:dyDescent="0.25">
      <c r="A23" s="14"/>
      <c r="B23" s="96">
        <v>42451</v>
      </c>
      <c r="C23" s="93" t="s">
        <v>139</v>
      </c>
      <c r="D23" s="94">
        <v>10015.120000000001</v>
      </c>
      <c r="E23" s="95">
        <v>42460</v>
      </c>
      <c r="F23" s="94">
        <v>10015.120000000001</v>
      </c>
      <c r="G23" s="97">
        <f t="shared" si="0"/>
        <v>0</v>
      </c>
      <c r="J23" s="93"/>
      <c r="K23" s="100"/>
      <c r="L23" s="124"/>
      <c r="M23" s="125">
        <v>3483821</v>
      </c>
      <c r="N23" s="126">
        <v>43000</v>
      </c>
      <c r="O23" s="127">
        <v>42436</v>
      </c>
      <c r="V23" s="108">
        <f>SUM(V4:V22)</f>
        <v>537751.13</v>
      </c>
      <c r="W23" s="247"/>
      <c r="X23" s="247"/>
      <c r="Y23" s="248">
        <f>SUM(Y4:Y22)</f>
        <v>537751</v>
      </c>
    </row>
    <row r="24" spans="1:26" x14ac:dyDescent="0.25">
      <c r="A24" s="14"/>
      <c r="B24" s="96">
        <v>42453</v>
      </c>
      <c r="C24" s="93" t="s">
        <v>140</v>
      </c>
      <c r="D24" s="94">
        <v>80326.5</v>
      </c>
      <c r="E24" s="95"/>
      <c r="F24" s="94"/>
      <c r="G24" s="97">
        <f t="shared" si="0"/>
        <v>80326.5</v>
      </c>
      <c r="J24" s="93"/>
      <c r="K24" s="94"/>
      <c r="L24" s="128"/>
      <c r="M24" s="125">
        <v>3483822</v>
      </c>
      <c r="N24" s="126">
        <v>60000</v>
      </c>
      <c r="O24" s="127">
        <v>42436</v>
      </c>
      <c r="P24" s="67"/>
    </row>
    <row r="25" spans="1:26" x14ac:dyDescent="0.25">
      <c r="A25" s="14"/>
      <c r="B25" s="96">
        <v>42453</v>
      </c>
      <c r="C25" s="93" t="s">
        <v>141</v>
      </c>
      <c r="D25" s="94">
        <v>355.25</v>
      </c>
      <c r="E25" s="95"/>
      <c r="F25" s="94"/>
      <c r="G25" s="97">
        <f t="shared" si="0"/>
        <v>355.25</v>
      </c>
      <c r="J25" s="93"/>
      <c r="K25" s="94"/>
      <c r="L25" s="129"/>
      <c r="M25" s="125">
        <v>3483823</v>
      </c>
      <c r="N25" s="126">
        <v>15814.5</v>
      </c>
      <c r="O25" s="127">
        <v>42436</v>
      </c>
      <c r="P25" s="67"/>
    </row>
    <row r="26" spans="1:26" ht="15" x14ac:dyDescent="0.25">
      <c r="A26" s="14"/>
      <c r="B26" s="96">
        <v>42455</v>
      </c>
      <c r="C26" s="93" t="s">
        <v>148</v>
      </c>
      <c r="D26" s="94">
        <v>145231</v>
      </c>
      <c r="E26" s="95"/>
      <c r="F26" s="94"/>
      <c r="G26" s="97">
        <f t="shared" si="0"/>
        <v>145231</v>
      </c>
      <c r="J26" s="93"/>
      <c r="K26" s="94"/>
      <c r="L26" s="124"/>
      <c r="M26" s="130"/>
      <c r="N26" s="131"/>
      <c r="O26" s="127"/>
      <c r="P26" s="67"/>
    </row>
    <row r="27" spans="1:26" thickBot="1" x14ac:dyDescent="0.3">
      <c r="A27" s="14"/>
      <c r="B27" s="96">
        <v>42458</v>
      </c>
      <c r="C27" s="93" t="s">
        <v>149</v>
      </c>
      <c r="D27" s="94">
        <v>196280</v>
      </c>
      <c r="E27" s="95"/>
      <c r="F27" s="94"/>
      <c r="G27" s="97">
        <f t="shared" si="0"/>
        <v>196280</v>
      </c>
      <c r="J27" s="172"/>
      <c r="K27" s="173">
        <v>0</v>
      </c>
      <c r="L27" s="219"/>
      <c r="M27" s="198"/>
      <c r="N27" s="199">
        <v>0</v>
      </c>
      <c r="O27" s="220"/>
    </row>
    <row r="28" spans="1:26" ht="16.5" thickTop="1" thickBot="1" x14ac:dyDescent="0.3">
      <c r="B28" s="14"/>
      <c r="C28" s="104"/>
      <c r="D28" s="105"/>
      <c r="E28" s="104"/>
      <c r="F28" s="106"/>
      <c r="G28" s="107">
        <f t="shared" si="0"/>
        <v>0</v>
      </c>
      <c r="J28" s="161"/>
      <c r="K28" s="221">
        <f>SUM(K19:K27)</f>
        <v>306156.59000000003</v>
      </c>
      <c r="L28" s="213"/>
      <c r="M28" s="215"/>
      <c r="N28" s="165">
        <f>SUM(N19:N27)</f>
        <v>306156.5</v>
      </c>
      <c r="O28" s="206"/>
      <c r="P28" s="147"/>
      <c r="Q28" s="147"/>
    </row>
    <row r="29" spans="1:26" ht="20.25" customHeight="1" thickTop="1" x14ac:dyDescent="0.3">
      <c r="B29"/>
      <c r="C29"/>
      <c r="D29" s="108">
        <f>SUM(D4:D28)</f>
        <v>1861516.8700000003</v>
      </c>
      <c r="E29" s="108"/>
      <c r="F29" s="109">
        <f>SUM(F4:F28)</f>
        <v>1316132.1200000003</v>
      </c>
      <c r="G29" s="109">
        <f>SUM(G4:G28)</f>
        <v>545384.75</v>
      </c>
      <c r="J29" s="270"/>
      <c r="K29" s="203"/>
      <c r="L29" s="203"/>
      <c r="M29" s="204"/>
      <c r="N29" s="205"/>
      <c r="O29" s="206"/>
      <c r="P29" s="147"/>
      <c r="Q29" s="147"/>
    </row>
    <row r="30" spans="1:26" ht="15.75" customHeight="1" thickBot="1" x14ac:dyDescent="0.3">
      <c r="J30" s="270"/>
      <c r="K30" s="207"/>
      <c r="L30" s="207"/>
      <c r="M30" s="208"/>
      <c r="N30" s="209"/>
      <c r="O30" s="206"/>
      <c r="P30" s="147"/>
      <c r="Q30" s="147"/>
    </row>
    <row r="31" spans="1:26" ht="19.5" thickBot="1" x14ac:dyDescent="0.35">
      <c r="J31" s="268">
        <v>1</v>
      </c>
      <c r="K31" s="86" t="s">
        <v>28</v>
      </c>
      <c r="L31" s="86"/>
      <c r="M31" s="110"/>
      <c r="N31" s="195">
        <v>42450</v>
      </c>
      <c r="O31" s="112"/>
      <c r="P31" s="147"/>
      <c r="Q31" s="147"/>
    </row>
    <row r="32" spans="1:26" ht="12.75" customHeight="1" thickBot="1" x14ac:dyDescent="0.3">
      <c r="J32" s="269"/>
      <c r="K32" s="113"/>
      <c r="L32" s="113"/>
      <c r="M32" s="114"/>
      <c r="N32" s="115"/>
      <c r="O32" s="112"/>
      <c r="P32" s="147"/>
      <c r="Q32" s="147"/>
    </row>
    <row r="33" spans="2:17" ht="16.5" thickBot="1" x14ac:dyDescent="0.3">
      <c r="B33"/>
      <c r="C33"/>
      <c r="E33"/>
      <c r="F33"/>
      <c r="G33"/>
      <c r="H33"/>
      <c r="I33" s="3"/>
      <c r="J33" s="116" t="s">
        <v>23</v>
      </c>
      <c r="K33" s="116" t="s">
        <v>24</v>
      </c>
      <c r="L33" s="116"/>
      <c r="M33" s="117" t="s">
        <v>29</v>
      </c>
      <c r="N33" s="118" t="s">
        <v>30</v>
      </c>
      <c r="O33" s="119"/>
      <c r="P33" s="147"/>
      <c r="Q33" s="147"/>
    </row>
    <row r="34" spans="2:17" ht="16.5" thickTop="1" x14ac:dyDescent="0.25">
      <c r="B34"/>
      <c r="C34"/>
      <c r="E34"/>
      <c r="F34"/>
      <c r="G34"/>
      <c r="H34"/>
      <c r="I34" s="3">
        <v>53612.12</v>
      </c>
      <c r="J34" s="93" t="s">
        <v>109</v>
      </c>
      <c r="K34" s="235">
        <v>53612.12</v>
      </c>
      <c r="L34" s="120"/>
      <c r="M34" s="121">
        <v>3261630</v>
      </c>
      <c r="N34" s="122">
        <v>69000</v>
      </c>
      <c r="O34" s="123">
        <v>42438</v>
      </c>
      <c r="P34" s="147"/>
      <c r="Q34" s="147"/>
    </row>
    <row r="35" spans="2:17" x14ac:dyDescent="0.25">
      <c r="B35"/>
      <c r="C35"/>
      <c r="E35"/>
      <c r="F35"/>
      <c r="G35"/>
      <c r="H35"/>
      <c r="I35" s="3">
        <f>38419+19179</f>
        <v>57598</v>
      </c>
      <c r="J35" s="93" t="s">
        <v>110</v>
      </c>
      <c r="K35" s="132">
        <v>57598.03</v>
      </c>
      <c r="L35" s="124"/>
      <c r="M35" s="125">
        <v>32161633</v>
      </c>
      <c r="N35" s="126">
        <v>23031</v>
      </c>
      <c r="O35" s="127">
        <v>42438</v>
      </c>
      <c r="P35" s="147"/>
      <c r="Q35" s="147"/>
    </row>
    <row r="36" spans="2:17" x14ac:dyDescent="0.25">
      <c r="B36"/>
      <c r="C36"/>
      <c r="E36"/>
      <c r="F36"/>
      <c r="G36"/>
      <c r="H36"/>
      <c r="I36" s="3">
        <f>18547.55+56694+77283.2</f>
        <v>152524.75</v>
      </c>
      <c r="J36" s="93" t="s">
        <v>111</v>
      </c>
      <c r="K36" s="132">
        <v>152524.75</v>
      </c>
      <c r="L36" s="124"/>
      <c r="M36" s="125">
        <v>3483825</v>
      </c>
      <c r="N36" s="126">
        <v>25000</v>
      </c>
      <c r="O36" s="127">
        <v>42439</v>
      </c>
      <c r="P36" s="147"/>
      <c r="Q36" s="147"/>
    </row>
    <row r="37" spans="2:17" x14ac:dyDescent="0.25">
      <c r="B37"/>
      <c r="C37"/>
      <c r="E37"/>
      <c r="F37"/>
      <c r="G37"/>
      <c r="H37"/>
      <c r="I37" s="3">
        <v>27349.45</v>
      </c>
      <c r="J37" s="93" t="s">
        <v>112</v>
      </c>
      <c r="K37" s="132">
        <v>27349.45</v>
      </c>
      <c r="L37" s="124"/>
      <c r="M37" s="125">
        <v>3261631</v>
      </c>
      <c r="N37" s="126">
        <v>25581</v>
      </c>
      <c r="O37" s="127">
        <v>42438</v>
      </c>
      <c r="P37" s="147"/>
      <c r="Q37" s="147"/>
    </row>
    <row r="38" spans="2:17" x14ac:dyDescent="0.25">
      <c r="B38"/>
      <c r="C38"/>
      <c r="E38"/>
      <c r="F38"/>
      <c r="G38"/>
      <c r="H38"/>
      <c r="I38" s="3">
        <f>24484.85+54201</f>
        <v>78685.850000000006</v>
      </c>
      <c r="J38" s="93" t="s">
        <v>113</v>
      </c>
      <c r="K38" s="132">
        <v>78685.850000000006</v>
      </c>
      <c r="L38" s="124" t="s">
        <v>37</v>
      </c>
      <c r="M38" s="125">
        <v>3261632</v>
      </c>
      <c r="N38" s="126">
        <v>14495</v>
      </c>
      <c r="O38" s="127">
        <v>42439</v>
      </c>
      <c r="P38" s="147"/>
      <c r="Q38" s="147"/>
    </row>
    <row r="39" spans="2:17" x14ac:dyDescent="0.25">
      <c r="B39"/>
      <c r="C39"/>
      <c r="E39"/>
      <c r="F39"/>
      <c r="G39"/>
      <c r="H39"/>
      <c r="I39" s="3">
        <v>602.5</v>
      </c>
      <c r="J39" s="93" t="s">
        <v>130</v>
      </c>
      <c r="K39" s="132">
        <v>602.5</v>
      </c>
      <c r="L39" s="128"/>
      <c r="M39" s="125">
        <v>3261634</v>
      </c>
      <c r="N39" s="126">
        <v>56694</v>
      </c>
      <c r="O39" s="127">
        <v>42440</v>
      </c>
      <c r="P39" s="147"/>
      <c r="Q39" s="147"/>
    </row>
    <row r="40" spans="2:17" x14ac:dyDescent="0.25">
      <c r="B40"/>
      <c r="C40"/>
      <c r="E40"/>
      <c r="F40"/>
      <c r="G40"/>
      <c r="H40"/>
      <c r="I40" s="3">
        <v>0</v>
      </c>
      <c r="J40" s="93"/>
      <c r="K40" s="132"/>
      <c r="L40" s="129"/>
      <c r="M40" s="125">
        <v>3261635</v>
      </c>
      <c r="N40" s="126">
        <v>51000</v>
      </c>
      <c r="O40" s="127">
        <v>42441</v>
      </c>
      <c r="P40" s="147"/>
      <c r="Q40" s="147"/>
    </row>
    <row r="41" spans="2:17" ht="15" x14ac:dyDescent="0.25">
      <c r="B41"/>
      <c r="C41"/>
      <c r="E41"/>
      <c r="F41"/>
      <c r="G41"/>
      <c r="H41"/>
      <c r="I41" s="3">
        <v>0</v>
      </c>
      <c r="J41" s="93"/>
      <c r="K41" s="132"/>
      <c r="L41" s="124"/>
      <c r="M41" s="130">
        <v>3261636</v>
      </c>
      <c r="N41" s="131">
        <v>51370.5</v>
      </c>
      <c r="O41" s="127">
        <v>42441</v>
      </c>
      <c r="P41" s="147"/>
      <c r="Q41" s="147"/>
    </row>
    <row r="42" spans="2:17" ht="15" x14ac:dyDescent="0.25">
      <c r="B42"/>
      <c r="C42"/>
      <c r="E42"/>
      <c r="F42"/>
      <c r="G42"/>
      <c r="H42"/>
      <c r="I42" s="3">
        <v>0</v>
      </c>
      <c r="J42" s="233"/>
      <c r="K42" s="234">
        <v>0</v>
      </c>
      <c r="L42" s="124"/>
      <c r="M42" s="130" t="s">
        <v>31</v>
      </c>
      <c r="N42" s="131">
        <v>9923.5</v>
      </c>
      <c r="O42" s="127">
        <v>42440</v>
      </c>
      <c r="P42" s="147"/>
      <c r="Q42" s="147"/>
    </row>
    <row r="43" spans="2:17" ht="15" x14ac:dyDescent="0.25">
      <c r="B43"/>
      <c r="C43"/>
      <c r="E43"/>
      <c r="F43"/>
      <c r="G43"/>
      <c r="H43"/>
      <c r="I43" s="3">
        <v>0</v>
      </c>
      <c r="J43" s="233"/>
      <c r="K43" s="234">
        <v>0</v>
      </c>
      <c r="L43" s="124"/>
      <c r="M43" s="130" t="s">
        <v>31</v>
      </c>
      <c r="N43" s="131">
        <v>23554.5</v>
      </c>
      <c r="O43" s="127">
        <v>42444</v>
      </c>
      <c r="P43" s="147"/>
      <c r="Q43" s="147"/>
    </row>
    <row r="44" spans="2:17" ht="15" x14ac:dyDescent="0.25">
      <c r="B44"/>
      <c r="C44"/>
      <c r="E44"/>
      <c r="F44"/>
      <c r="G44"/>
      <c r="H44"/>
      <c r="I44" s="3">
        <v>0</v>
      </c>
      <c r="J44" s="233"/>
      <c r="K44" s="234">
        <v>0</v>
      </c>
      <c r="L44" s="124"/>
      <c r="M44" s="130">
        <v>3261637</v>
      </c>
      <c r="N44" s="131">
        <v>20723</v>
      </c>
      <c r="O44" s="127">
        <v>42442</v>
      </c>
      <c r="P44" s="147"/>
      <c r="Q44" s="147"/>
    </row>
    <row r="45" spans="2:17" ht="15" x14ac:dyDescent="0.25">
      <c r="B45"/>
      <c r="C45"/>
      <c r="E45"/>
      <c r="F45"/>
      <c r="G45"/>
      <c r="H45"/>
      <c r="I45" s="3">
        <v>0</v>
      </c>
      <c r="J45" s="233"/>
      <c r="K45" s="234">
        <v>0</v>
      </c>
      <c r="L45" s="124"/>
      <c r="M45" s="130"/>
      <c r="N45" s="131">
        <v>0.2</v>
      </c>
      <c r="O45" s="127"/>
      <c r="P45" s="147"/>
      <c r="Q45" s="147"/>
    </row>
    <row r="46" spans="2:17" x14ac:dyDescent="0.25">
      <c r="I46" s="33">
        <f>SUM(I34:I45)</f>
        <v>370372.67000000004</v>
      </c>
      <c r="J46" s="147"/>
      <c r="K46" s="236">
        <f>SUM(K34:K45)</f>
        <v>370372.70000000007</v>
      </c>
      <c r="L46" s="210"/>
      <c r="M46" s="211"/>
      <c r="N46" s="200">
        <f>SUM(N34:N45)</f>
        <v>370372.7</v>
      </c>
      <c r="O46" s="202"/>
      <c r="P46" s="147"/>
      <c r="Q46" s="147"/>
    </row>
    <row r="47" spans="2:17" ht="18.75" x14ac:dyDescent="0.3">
      <c r="J47" s="147"/>
      <c r="K47" s="200"/>
      <c r="L47" s="201"/>
      <c r="M47" s="201"/>
      <c r="N47" s="201"/>
      <c r="O47" s="202"/>
      <c r="P47" s="147"/>
      <c r="Q47" s="147"/>
    </row>
    <row r="48" spans="2:17" x14ac:dyDescent="0.25">
      <c r="J48" s="147"/>
      <c r="K48" s="147"/>
      <c r="L48" s="147"/>
      <c r="M48" s="147"/>
      <c r="N48" s="147"/>
      <c r="O48" s="147"/>
      <c r="P48" s="147"/>
      <c r="Q48" s="147"/>
    </row>
    <row r="49" spans="2:17" x14ac:dyDescent="0.25">
      <c r="J49" s="147"/>
      <c r="K49" s="147"/>
      <c r="L49" s="147"/>
      <c r="M49" s="147"/>
      <c r="N49" s="147"/>
      <c r="O49" s="147"/>
      <c r="P49" s="147"/>
      <c r="Q49" s="147"/>
    </row>
    <row r="50" spans="2:17" ht="18.75" x14ac:dyDescent="0.3">
      <c r="J50" s="270"/>
      <c r="K50" s="203"/>
      <c r="L50" s="203"/>
      <c r="M50" s="204"/>
      <c r="N50" s="205"/>
      <c r="O50" s="206"/>
      <c r="P50" s="147"/>
      <c r="Q50" s="147"/>
    </row>
    <row r="51" spans="2:17" x14ac:dyDescent="0.25">
      <c r="J51" s="270"/>
      <c r="K51" s="207"/>
      <c r="L51" s="207"/>
      <c r="M51" s="208"/>
      <c r="N51" s="209"/>
      <c r="O51" s="206"/>
      <c r="P51" s="147"/>
      <c r="Q51" s="147"/>
    </row>
    <row r="52" spans="2:17" x14ac:dyDescent="0.25">
      <c r="J52" s="210"/>
      <c r="K52" s="210"/>
      <c r="L52" s="210"/>
      <c r="M52" s="211"/>
      <c r="N52" s="200"/>
      <c r="O52" s="95"/>
      <c r="P52" s="147"/>
      <c r="Q52" s="147"/>
    </row>
    <row r="53" spans="2:17" x14ac:dyDescent="0.25">
      <c r="J53" s="161"/>
      <c r="K53" s="41"/>
      <c r="L53" s="212"/>
      <c r="M53" s="208"/>
      <c r="N53" s="209"/>
      <c r="O53" s="206"/>
      <c r="P53" s="147"/>
      <c r="Q53" s="147"/>
    </row>
    <row r="54" spans="2:17" x14ac:dyDescent="0.25">
      <c r="B54"/>
      <c r="C54"/>
      <c r="E54"/>
      <c r="F54" s="14"/>
      <c r="J54" s="161"/>
      <c r="K54" s="38"/>
      <c r="L54" s="213"/>
      <c r="M54" s="208"/>
      <c r="N54" s="209"/>
      <c r="O54" s="206"/>
      <c r="P54" s="147"/>
      <c r="Q54" s="147"/>
    </row>
    <row r="55" spans="2:17" x14ac:dyDescent="0.25">
      <c r="B55"/>
      <c r="C55"/>
      <c r="E55"/>
      <c r="F55" s="14"/>
      <c r="J55" s="161"/>
      <c r="K55" s="41"/>
      <c r="L55" s="213"/>
      <c r="M55" s="208"/>
      <c r="N55" s="209"/>
      <c r="O55" s="206"/>
      <c r="P55" s="147"/>
      <c r="Q55" s="147"/>
    </row>
    <row r="56" spans="2:17" x14ac:dyDescent="0.25">
      <c r="B56"/>
      <c r="C56"/>
      <c r="E56"/>
      <c r="F56" s="14"/>
      <c r="J56" s="161"/>
      <c r="K56" s="41"/>
      <c r="L56" s="213"/>
      <c r="M56" s="208"/>
      <c r="N56" s="209"/>
      <c r="O56" s="206"/>
      <c r="P56" s="147"/>
      <c r="Q56" s="147"/>
    </row>
    <row r="57" spans="2:17" x14ac:dyDescent="0.25">
      <c r="B57"/>
      <c r="C57"/>
      <c r="E57"/>
      <c r="F57" s="14"/>
      <c r="J57" s="161"/>
      <c r="K57" s="41"/>
      <c r="L57" s="213"/>
      <c r="M57" s="208"/>
      <c r="N57" s="209"/>
      <c r="O57" s="206"/>
      <c r="P57" s="147"/>
      <c r="Q57" s="147"/>
    </row>
    <row r="58" spans="2:17" x14ac:dyDescent="0.25">
      <c r="B58"/>
      <c r="C58"/>
      <c r="E58"/>
      <c r="F58" s="14"/>
      <c r="J58" s="161"/>
      <c r="K58" s="41"/>
      <c r="L58" s="213"/>
      <c r="M58" s="208"/>
      <c r="N58" s="209"/>
      <c r="O58" s="206"/>
      <c r="P58" s="147"/>
      <c r="Q58" s="147"/>
    </row>
    <row r="59" spans="2:17" x14ac:dyDescent="0.25">
      <c r="B59"/>
      <c r="C59"/>
      <c r="E59"/>
      <c r="F59" s="14"/>
      <c r="J59" s="161"/>
      <c r="K59" s="41"/>
      <c r="L59" s="214"/>
      <c r="M59" s="208"/>
      <c r="N59" s="209"/>
      <c r="O59" s="206"/>
      <c r="P59" s="147"/>
      <c r="Q59" s="147"/>
    </row>
    <row r="60" spans="2:17" ht="15" x14ac:dyDescent="0.25">
      <c r="B60"/>
      <c r="C60"/>
      <c r="E60"/>
      <c r="F60" s="14"/>
      <c r="J60" s="161"/>
      <c r="K60" s="41"/>
      <c r="L60" s="213"/>
      <c r="M60" s="215"/>
      <c r="N60" s="165"/>
      <c r="O60" s="206"/>
      <c r="P60" s="147"/>
      <c r="Q60" s="147"/>
    </row>
    <row r="61" spans="2:17" ht="15" x14ac:dyDescent="0.25">
      <c r="B61"/>
      <c r="C61"/>
      <c r="E61"/>
      <c r="F61" s="14"/>
      <c r="J61" s="161"/>
      <c r="K61" s="41"/>
      <c r="L61" s="213"/>
      <c r="M61" s="215"/>
      <c r="N61" s="165"/>
      <c r="O61" s="206"/>
      <c r="P61" s="147"/>
      <c r="Q61" s="147"/>
    </row>
    <row r="62" spans="2:17" ht="15" x14ac:dyDescent="0.25">
      <c r="B62"/>
      <c r="C62"/>
      <c r="E62"/>
      <c r="F62" s="14"/>
      <c r="J62" s="161"/>
      <c r="K62" s="216"/>
      <c r="L62" s="213"/>
      <c r="M62" s="215"/>
      <c r="N62" s="165"/>
      <c r="O62" s="206"/>
      <c r="P62" s="147"/>
      <c r="Q62" s="147"/>
    </row>
    <row r="63" spans="2:17" ht="15" x14ac:dyDescent="0.25">
      <c r="B63"/>
      <c r="C63"/>
      <c r="E63"/>
      <c r="F63" s="14"/>
      <c r="J63" s="161"/>
      <c r="K63" s="216"/>
      <c r="L63" s="213"/>
      <c r="M63" s="215"/>
      <c r="N63" s="165"/>
      <c r="O63" s="206"/>
      <c r="P63" s="147"/>
      <c r="Q63" s="147"/>
    </row>
    <row r="64" spans="2:17" ht="15" x14ac:dyDescent="0.25">
      <c r="B64"/>
      <c r="C64"/>
      <c r="E64"/>
      <c r="F64" s="14"/>
      <c r="G64"/>
      <c r="H64"/>
      <c r="I64" s="3"/>
      <c r="J64" s="161"/>
      <c r="K64" s="216"/>
      <c r="L64" s="213"/>
      <c r="M64" s="215"/>
      <c r="N64" s="165"/>
      <c r="O64" s="206"/>
      <c r="P64" s="147"/>
      <c r="Q64" s="147"/>
    </row>
    <row r="65" spans="2:17" ht="15" x14ac:dyDescent="0.25">
      <c r="B65"/>
      <c r="C65"/>
      <c r="E65"/>
      <c r="F65" s="14"/>
      <c r="G65"/>
      <c r="H65"/>
      <c r="I65" s="3"/>
      <c r="J65" s="161"/>
      <c r="K65" s="216"/>
      <c r="L65" s="213"/>
      <c r="M65" s="215"/>
      <c r="N65" s="165"/>
      <c r="O65" s="206"/>
      <c r="P65" s="147"/>
      <c r="Q65" s="147"/>
    </row>
    <row r="66" spans="2:17" ht="15" x14ac:dyDescent="0.25">
      <c r="B66"/>
      <c r="C66"/>
      <c r="E66"/>
      <c r="F66" s="14"/>
      <c r="G66"/>
      <c r="H66"/>
      <c r="I66" s="3"/>
      <c r="J66" s="161"/>
      <c r="K66" s="216"/>
      <c r="L66" s="213"/>
      <c r="M66" s="215"/>
      <c r="N66" s="165"/>
      <c r="O66" s="206"/>
      <c r="P66" s="147"/>
      <c r="Q66" s="147"/>
    </row>
    <row r="67" spans="2:17" ht="15" x14ac:dyDescent="0.25">
      <c r="B67"/>
      <c r="C67"/>
      <c r="E67"/>
      <c r="F67" s="14"/>
      <c r="G67"/>
      <c r="H67"/>
      <c r="I67" s="3"/>
      <c r="J67" s="147"/>
      <c r="K67" s="147"/>
      <c r="L67" s="147"/>
      <c r="M67" s="215"/>
      <c r="N67" s="165"/>
      <c r="O67" s="206"/>
      <c r="P67" s="147"/>
      <c r="Q67" s="147"/>
    </row>
    <row r="68" spans="2:17" ht="15" x14ac:dyDescent="0.25">
      <c r="B68"/>
      <c r="C68"/>
      <c r="E68"/>
      <c r="F68" s="14"/>
      <c r="G68"/>
      <c r="H68"/>
      <c r="I68" s="3"/>
      <c r="J68" s="147"/>
      <c r="K68" s="147"/>
      <c r="L68" s="147"/>
      <c r="M68" s="215"/>
      <c r="N68" s="165"/>
      <c r="O68" s="206"/>
      <c r="P68" s="147"/>
      <c r="Q68" s="147"/>
    </row>
    <row r="69" spans="2:17" ht="15" x14ac:dyDescent="0.25">
      <c r="B69"/>
      <c r="C69"/>
      <c r="E69"/>
      <c r="F69" s="14"/>
      <c r="G69"/>
      <c r="H69"/>
      <c r="I69" s="3"/>
      <c r="J69" s="147"/>
      <c r="K69" s="147"/>
      <c r="L69" s="147"/>
      <c r="M69" s="215"/>
      <c r="N69" s="165"/>
      <c r="O69" s="206"/>
      <c r="P69" s="147"/>
      <c r="Q69" s="147"/>
    </row>
    <row r="70" spans="2:17" ht="15" x14ac:dyDescent="0.25">
      <c r="B70"/>
      <c r="C70"/>
      <c r="E70"/>
      <c r="F70" s="14"/>
      <c r="G70"/>
      <c r="H70"/>
      <c r="I70" s="3"/>
      <c r="J70" s="147"/>
      <c r="K70" s="147"/>
      <c r="L70" s="147"/>
      <c r="M70" s="215"/>
      <c r="N70" s="165"/>
      <c r="O70" s="206"/>
      <c r="P70" s="147"/>
      <c r="Q70" s="147"/>
    </row>
    <row r="71" spans="2:17" ht="15" x14ac:dyDescent="0.25">
      <c r="B71"/>
      <c r="C71"/>
      <c r="E71"/>
      <c r="F71" s="14"/>
      <c r="G71"/>
      <c r="H71"/>
      <c r="I71" s="3"/>
      <c r="J71" s="147"/>
      <c r="K71" s="147"/>
      <c r="L71" s="147"/>
      <c r="M71" s="215"/>
      <c r="N71" s="165"/>
      <c r="O71" s="202"/>
      <c r="P71" s="147"/>
      <c r="Q71" s="147"/>
    </row>
    <row r="72" spans="2:17" ht="18.75" x14ac:dyDescent="0.3">
      <c r="B72"/>
      <c r="C72"/>
      <c r="E72"/>
      <c r="F72" s="14"/>
      <c r="G72"/>
      <c r="H72"/>
      <c r="I72" s="3"/>
      <c r="J72" s="147"/>
      <c r="K72" s="200"/>
      <c r="L72" s="201"/>
      <c r="M72" s="201"/>
      <c r="N72" s="201"/>
      <c r="O72" s="202"/>
      <c r="P72" s="147"/>
      <c r="Q72" s="147"/>
    </row>
    <row r="73" spans="2:17" ht="15" x14ac:dyDescent="0.25">
      <c r="B73"/>
      <c r="C73"/>
      <c r="E73"/>
      <c r="F73" s="14"/>
      <c r="G73"/>
      <c r="H73"/>
      <c r="I73" s="3"/>
      <c r="J73" s="147"/>
      <c r="K73" s="147"/>
      <c r="L73" s="147"/>
      <c r="M73" s="147"/>
      <c r="N73" s="147"/>
      <c r="O73" s="147"/>
      <c r="P73" s="147"/>
      <c r="Q73" s="147"/>
    </row>
    <row r="74" spans="2:17" ht="15" x14ac:dyDescent="0.25">
      <c r="B74"/>
      <c r="C74"/>
      <c r="E74"/>
      <c r="F74" s="14"/>
      <c r="G74"/>
      <c r="H74"/>
      <c r="I74" s="3"/>
      <c r="J74" s="147"/>
      <c r="K74" s="147"/>
      <c r="L74" s="147"/>
      <c r="M74" s="147"/>
      <c r="N74" s="147"/>
      <c r="O74" s="147"/>
      <c r="P74" s="147"/>
      <c r="Q74" s="147"/>
    </row>
    <row r="75" spans="2:17" ht="15" x14ac:dyDescent="0.25">
      <c r="B75"/>
      <c r="C75"/>
      <c r="E75"/>
      <c r="F75" s="14"/>
      <c r="G75"/>
      <c r="H75"/>
      <c r="I75" s="3"/>
      <c r="J75" s="147"/>
      <c r="K75" s="147"/>
      <c r="L75" s="147"/>
      <c r="M75" s="147"/>
      <c r="N75" s="147"/>
      <c r="O75" s="147"/>
      <c r="P75" s="147"/>
      <c r="Q75" s="147"/>
    </row>
    <row r="76" spans="2:17" ht="15" x14ac:dyDescent="0.25">
      <c r="B76"/>
      <c r="C76"/>
      <c r="E76"/>
      <c r="F76" s="14"/>
      <c r="G76"/>
      <c r="H76"/>
      <c r="I76" s="3"/>
      <c r="J76" s="147"/>
      <c r="K76" s="147"/>
      <c r="L76" s="147"/>
      <c r="M76" s="147"/>
      <c r="N76" s="147"/>
      <c r="O76" s="147"/>
      <c r="P76" s="147"/>
      <c r="Q76" s="147"/>
    </row>
    <row r="77" spans="2:17" ht="15" x14ac:dyDescent="0.25">
      <c r="B77"/>
      <c r="C77"/>
      <c r="E77"/>
      <c r="F77" s="14"/>
      <c r="G77"/>
      <c r="H77"/>
      <c r="I77" s="3"/>
      <c r="J77" s="147"/>
      <c r="K77" s="147"/>
      <c r="L77" s="147"/>
      <c r="M77" s="147"/>
      <c r="N77" s="147"/>
      <c r="O77" s="147"/>
      <c r="P77" s="147"/>
      <c r="Q77" s="147"/>
    </row>
    <row r="78" spans="2:17" ht="15" x14ac:dyDescent="0.25">
      <c r="B78"/>
      <c r="C78"/>
      <c r="E78"/>
      <c r="F78" s="14"/>
      <c r="G78"/>
      <c r="H78"/>
      <c r="I78" s="3"/>
      <c r="J78" s="147"/>
      <c r="K78" s="147"/>
      <c r="L78" s="147"/>
      <c r="M78" s="147"/>
      <c r="N78" s="147"/>
      <c r="O78" s="147"/>
      <c r="P78" s="147"/>
      <c r="Q78" s="147"/>
    </row>
    <row r="79" spans="2:17" ht="15" x14ac:dyDescent="0.25">
      <c r="B79"/>
      <c r="C79"/>
      <c r="E79"/>
      <c r="F79" s="14"/>
      <c r="G79"/>
      <c r="H79"/>
      <c r="I79" s="3"/>
      <c r="J79" s="147"/>
      <c r="K79" s="147"/>
      <c r="L79" s="147"/>
      <c r="M79" s="147"/>
      <c r="N79" s="147"/>
      <c r="O79" s="147"/>
      <c r="P79" s="147"/>
      <c r="Q79" s="147"/>
    </row>
    <row r="80" spans="2:17" ht="15" x14ac:dyDescent="0.25">
      <c r="B80"/>
      <c r="C80"/>
      <c r="E80"/>
      <c r="F80" s="14"/>
      <c r="G80"/>
      <c r="H80"/>
      <c r="I80" s="3"/>
    </row>
    <row r="81" spans="2:9" ht="15" x14ac:dyDescent="0.25">
      <c r="B81"/>
      <c r="C81"/>
      <c r="E81"/>
      <c r="F81" s="14"/>
      <c r="G81"/>
      <c r="H81"/>
      <c r="I81" s="3"/>
    </row>
    <row r="82" spans="2:9" ht="15" x14ac:dyDescent="0.25">
      <c r="B82"/>
      <c r="C82"/>
      <c r="E82"/>
      <c r="F82" s="14"/>
      <c r="G82"/>
      <c r="H82"/>
      <c r="I82" s="3"/>
    </row>
    <row r="83" spans="2:9" ht="15" x14ac:dyDescent="0.25">
      <c r="B83"/>
      <c r="C83"/>
      <c r="E83"/>
      <c r="F83" s="14"/>
      <c r="G83"/>
      <c r="H83"/>
      <c r="I83" s="3"/>
    </row>
  </sheetData>
  <sortState ref="B7:D17">
    <sortCondition ref="C7:C17"/>
  </sortState>
  <mergeCells count="6">
    <mergeCell ref="U1:U2"/>
    <mergeCell ref="J1:J2"/>
    <mergeCell ref="J29:J30"/>
    <mergeCell ref="J50:J51"/>
    <mergeCell ref="J16:J17"/>
    <mergeCell ref="J31:J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 N E R O    2016  </vt:lpstr>
      <vt:lpstr>REMISIONES  ENERO  2 0 1 6 </vt:lpstr>
      <vt:lpstr>FEBRERO  2016</vt:lpstr>
      <vt:lpstr>REMISONES FEBRERO 2016</vt:lpstr>
      <vt:lpstr>MARZO 2016</vt:lpstr>
      <vt:lpstr>REMISIONES MARZO 2016</vt:lpstr>
      <vt:lpstr>Hoja5</vt:lpstr>
      <vt:lpstr>Hoja6</vt:lpstr>
      <vt:lpstr>Hoja7</vt:lpstr>
      <vt:lpstr>Hoja1</vt:lpstr>
      <vt:lpstr>Hoja2</vt:lpstr>
      <vt:lpstr>Hoja3</vt:lpstr>
      <vt:lpstr>Hoja4</vt:lpstr>
      <vt:lpstr>Hoja8</vt:lpstr>
      <vt:lpstr>Hoja9</vt:lpstr>
      <vt:lpstr>CORTES DE CIC </vt:lpstr>
      <vt:lpstr>Hoja11</vt:lpstr>
      <vt:lpstr>Hoja12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2016-04-08T13:30:42Z</cp:lastPrinted>
  <dcterms:created xsi:type="dcterms:W3CDTF">2016-01-06T15:01:35Z</dcterms:created>
  <dcterms:modified xsi:type="dcterms:W3CDTF">2016-04-08T13:31:35Z</dcterms:modified>
</cp:coreProperties>
</file>