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firstSheet="7" activeTab="11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A B R I L  2016" sheetId="7" r:id="rId7"/>
    <sheet name="REMISIONES  ABRIL  2016" sheetId="17" r:id="rId8"/>
    <sheet name="M A Y O     2016" sheetId="16" r:id="rId9"/>
    <sheet name="REMISIONES MAYO 2016 " sheetId="22" r:id="rId10"/>
    <sheet name="J U N I O   2016" sheetId="21" r:id="rId11"/>
    <sheet name="REMISIONES J U N I O   2016" sheetId="20" r:id="rId12"/>
    <sheet name="Hoja5" sheetId="19" r:id="rId13"/>
    <sheet name="Hoja4" sheetId="18" r:id="rId14"/>
    <sheet name="Hoja2" sheetId="15" r:id="rId15"/>
    <sheet name="Hoja1" sheetId="14" r:id="rId16"/>
    <sheet name="Hoja8" sheetId="8" r:id="rId17"/>
    <sheet name="PRESTAMOS" sheetId="9" r:id="rId18"/>
    <sheet name="Hoja10" sheetId="10" r:id="rId19"/>
    <sheet name="Hoja11" sheetId="11" r:id="rId20"/>
    <sheet name="Hoja12" sheetId="12" r:id="rId21"/>
    <sheet name="Hoja13" sheetId="13" r:id="rId22"/>
  </sheets>
  <calcPr calcId="144525"/>
</workbook>
</file>

<file path=xl/calcChain.xml><?xml version="1.0" encoding="utf-8"?>
<calcChain xmlns="http://schemas.openxmlformats.org/spreadsheetml/2006/main">
  <c r="E4" i="20" l="1"/>
  <c r="K32" i="20"/>
  <c r="K31" i="20" l="1"/>
  <c r="K29" i="20"/>
  <c r="K28" i="20" l="1"/>
  <c r="P41" i="20"/>
  <c r="M41" i="20"/>
  <c r="K40" i="20"/>
  <c r="K15" i="20" l="1"/>
  <c r="K13" i="20"/>
  <c r="K12" i="20"/>
  <c r="K10" i="20"/>
  <c r="K8" i="20"/>
  <c r="C40" i="22" l="1"/>
  <c r="I41" i="22"/>
  <c r="I38" i="22"/>
  <c r="I29" i="22"/>
  <c r="I26" i="22"/>
  <c r="K9" i="20"/>
  <c r="K6" i="20"/>
  <c r="K5" i="20"/>
  <c r="P19" i="20"/>
  <c r="M19" i="20"/>
  <c r="K18" i="20"/>
  <c r="C38" i="20" l="1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E38" i="20"/>
  <c r="F5" i="20"/>
  <c r="F3" i="20"/>
  <c r="F4" i="20"/>
  <c r="K47" i="21"/>
  <c r="L38" i="21"/>
  <c r="I38" i="21"/>
  <c r="K40" i="21" s="1"/>
  <c r="F38" i="21"/>
  <c r="F41" i="21" s="1"/>
  <c r="F44" i="21" s="1"/>
  <c r="F48" i="21" s="1"/>
  <c r="K44" i="21" s="1"/>
  <c r="K49" i="21" s="1"/>
  <c r="C38" i="21"/>
  <c r="M37" i="21"/>
  <c r="F6" i="20" l="1"/>
  <c r="F38" i="20" s="1"/>
  <c r="E10" i="22"/>
  <c r="P63" i="22" l="1"/>
  <c r="K50" i="22"/>
  <c r="K51" i="22"/>
  <c r="K48" i="22"/>
  <c r="K52" i="22"/>
  <c r="K49" i="22" l="1"/>
  <c r="M63" i="22" l="1"/>
  <c r="K62" i="22"/>
  <c r="E6" i="22" l="1"/>
  <c r="K34" i="22" l="1"/>
  <c r="K32" i="22"/>
  <c r="K33" i="22"/>
  <c r="K31" i="22"/>
  <c r="P41" i="22"/>
  <c r="M41" i="22"/>
  <c r="K40" i="22"/>
  <c r="E23" i="17" l="1"/>
  <c r="K14" i="22" l="1"/>
  <c r="K15" i="22"/>
  <c r="K11" i="22"/>
  <c r="K10" i="22" l="1"/>
  <c r="K8" i="22"/>
  <c r="C71" i="17" l="1"/>
  <c r="K5" i="22"/>
  <c r="K4" i="22" l="1"/>
  <c r="K7" i="22" l="1"/>
  <c r="P24" i="22"/>
  <c r="M24" i="22"/>
  <c r="K23" i="22"/>
  <c r="C38" i="22" l="1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E38" i="22"/>
  <c r="F11" i="22"/>
  <c r="F10" i="22"/>
  <c r="F9" i="22"/>
  <c r="F8" i="22"/>
  <c r="F7" i="22"/>
  <c r="F6" i="22"/>
  <c r="F5" i="22"/>
  <c r="F4" i="22"/>
  <c r="F3" i="22"/>
  <c r="K47" i="16"/>
  <c r="L38" i="16"/>
  <c r="F38" i="16"/>
  <c r="C38" i="16"/>
  <c r="M37" i="16"/>
  <c r="I38" i="16"/>
  <c r="K40" i="16" s="1"/>
  <c r="F12" i="22" l="1"/>
  <c r="F38" i="22" s="1"/>
  <c r="F41" i="16"/>
  <c r="F44" i="16" s="1"/>
  <c r="F48" i="16" s="1"/>
  <c r="K44" i="16" s="1"/>
  <c r="K49" i="16" s="1"/>
  <c r="E12" i="17"/>
  <c r="O56" i="17"/>
  <c r="L56" i="17"/>
  <c r="J55" i="17"/>
  <c r="J49" i="17"/>
  <c r="J47" i="17"/>
  <c r="F24" i="17"/>
  <c r="F25" i="17"/>
  <c r="F26" i="17"/>
  <c r="F27" i="17"/>
  <c r="F28" i="17"/>
  <c r="F29" i="17"/>
  <c r="F30" i="17"/>
  <c r="F31" i="17"/>
  <c r="I24" i="7"/>
  <c r="J43" i="17"/>
  <c r="J45" i="17"/>
  <c r="J41" i="17"/>
  <c r="I23" i="7"/>
  <c r="F23" i="17" l="1"/>
  <c r="F22" i="17"/>
  <c r="F21" i="17"/>
  <c r="J39" i="17" l="1"/>
  <c r="M14" i="7" l="1"/>
  <c r="F20" i="17" l="1"/>
  <c r="F19" i="17"/>
  <c r="F18" i="17"/>
  <c r="F17" i="17"/>
  <c r="J4" i="17" l="1"/>
  <c r="J26" i="17"/>
  <c r="J25" i="17"/>
  <c r="J22" i="17"/>
  <c r="J18" i="17"/>
  <c r="J17" i="17"/>
  <c r="J27" i="17"/>
  <c r="J15" i="17"/>
  <c r="J12" i="17"/>
  <c r="J10" i="17"/>
  <c r="J8" i="17"/>
  <c r="J6" i="17"/>
  <c r="O30" i="17"/>
  <c r="L30" i="17"/>
  <c r="C54" i="17"/>
  <c r="C52" i="17"/>
  <c r="I5" i="7"/>
  <c r="K47" i="7" l="1"/>
  <c r="K47" i="5"/>
  <c r="F41" i="5"/>
  <c r="C47" i="17" l="1"/>
  <c r="F46" i="17"/>
  <c r="F45" i="17"/>
  <c r="F44" i="17"/>
  <c r="F43" i="17"/>
  <c r="F42" i="17"/>
  <c r="F41" i="17"/>
  <c r="F40" i="17"/>
  <c r="F39" i="17"/>
  <c r="F38" i="17"/>
  <c r="F37" i="17"/>
  <c r="F36" i="17"/>
  <c r="F35" i="17"/>
  <c r="F33" i="17"/>
  <c r="F32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7" i="17"/>
  <c r="F3" i="17"/>
  <c r="L38" i="7"/>
  <c r="I38" i="7"/>
  <c r="K40" i="7" s="1"/>
  <c r="C38" i="7"/>
  <c r="F38" i="7"/>
  <c r="F41" i="7" s="1"/>
  <c r="F44" i="7" s="1"/>
  <c r="F48" i="7" s="1"/>
  <c r="K44" i="7" s="1"/>
  <c r="K49" i="7" s="1"/>
  <c r="F4" i="17" l="1"/>
  <c r="F47" i="17" s="1"/>
  <c r="M37" i="7"/>
  <c r="E15" i="6"/>
  <c r="I52" i="6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6" i="9"/>
  <c r="I50" i="6"/>
  <c r="I49" i="6"/>
  <c r="I48" i="6"/>
  <c r="I54" i="6" s="1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 l="1"/>
  <c r="F7" i="9" l="1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F5" i="9"/>
  <c r="M5" i="9"/>
  <c r="M9" i="5" l="1"/>
  <c r="K47" i="3"/>
  <c r="N40" i="6" l="1"/>
  <c r="K40" i="6"/>
  <c r="I32" i="6"/>
  <c r="I35" i="6"/>
  <c r="I29" i="6"/>
  <c r="I28" i="6"/>
  <c r="I26" i="6"/>
  <c r="I37" i="6" s="1"/>
  <c r="L38" i="5" l="1"/>
  <c r="F38" i="5"/>
  <c r="M37" i="5"/>
  <c r="I38" i="5"/>
  <c r="K40" i="5" s="1"/>
  <c r="C38" i="5"/>
  <c r="F44" i="5" l="1"/>
  <c r="F48" i="5" s="1"/>
  <c r="K44" i="5" s="1"/>
  <c r="K49" i="5" s="1"/>
  <c r="E20" i="4" l="1"/>
  <c r="N17" i="6"/>
  <c r="C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 l="1"/>
  <c r="F37" i="6" s="1"/>
  <c r="M33" i="3"/>
  <c r="M26" i="3" l="1"/>
  <c r="I17" i="3" l="1"/>
  <c r="M10" i="3"/>
  <c r="E15" i="4" l="1"/>
  <c r="N65" i="4"/>
  <c r="K65" i="4"/>
  <c r="E14" i="4" l="1"/>
  <c r="K50" i="4"/>
  <c r="N50" i="4"/>
  <c r="E11" i="4" l="1"/>
  <c r="N38" i="4"/>
  <c r="K38" i="4"/>
  <c r="M16" i="3" l="1"/>
  <c r="I5" i="3"/>
  <c r="C5" i="3"/>
  <c r="M29" i="1" l="1"/>
  <c r="E27" i="2" l="1"/>
  <c r="N25" i="4" l="1"/>
  <c r="K25" i="4"/>
  <c r="C45" i="4" l="1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 l="1"/>
  <c r="F45" i="4" s="1"/>
  <c r="K40" i="3"/>
  <c r="F41" i="3"/>
  <c r="F44" i="3" s="1"/>
  <c r="F48" i="3" s="1"/>
  <c r="K44" i="3" s="1"/>
  <c r="K49" i="3" s="1"/>
  <c r="E16" i="2"/>
  <c r="N46" i="2"/>
  <c r="K46" i="2"/>
  <c r="M25" i="1" l="1"/>
  <c r="I24" i="1"/>
  <c r="C11" i="1" l="1"/>
  <c r="F22" i="2" l="1"/>
  <c r="L9" i="1" l="1"/>
  <c r="F21" i="2" l="1"/>
  <c r="F20" i="2"/>
  <c r="F19" i="2" l="1"/>
  <c r="N25" i="2"/>
  <c r="K25" i="2"/>
  <c r="C45" i="2" l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 s="1"/>
  <c r="F38" i="1"/>
  <c r="F41" i="1" s="1"/>
  <c r="F44" i="1" s="1"/>
  <c r="F48" i="1" s="1"/>
  <c r="K44" i="1" s="1"/>
  <c r="K49" i="1" s="1"/>
  <c r="C38" i="1"/>
  <c r="M37" i="1"/>
  <c r="F6" i="2" l="1"/>
  <c r="F45" i="2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<sst xmlns="http://schemas.openxmlformats.org/spreadsheetml/2006/main" count="1102" uniqueCount="428">
  <si>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</si>
  <si>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</si>
  <si>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</si>
  <si>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</si>
  <si>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</si>
  <si>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</si>
  <si>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</si>
  <si>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</si>
  <si>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</si>
  <si>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</si>
  <si>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</si>
  <si>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</si>
  <si>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</si>
  <si>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</si>
  <si>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</si>
  <si>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</si>
  <si>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</si>
  <si>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</si>
  <si>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</si>
  <si>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</si>
  <si>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</si>
  <si>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</si>
  <si>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</si>
  <si>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</si>
  <si>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</si>
  <si>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</si>
  <si>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</si>
  <si>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</si>
  <si>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</si>
  <si>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</si>
  <si>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</si>
  <si>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</si>
  <si>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</si>
  <si>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</si>
  <si>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</si>
  <si>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</si>
  <si>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</si>
  <si>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</si>
  <si>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</si>
  <si>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</si>
  <si>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</si>
  <si>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</si>
  <si>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</si>
  <si>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</si>
  <si>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</si>
  <si>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</si>
  <si>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</si>
  <si>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</si>
  <si>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</si>
  <si>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</si>
  <si>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</si>
  <si>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</si>
  <si>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</si>
  <si>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</si>
  <si>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</si>
  <si>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</si>
  <si>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</si>
  <si>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</si>
  <si>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</si>
  <si>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</si>
  <si>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</si>
  <si>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</si>
  <si>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</si>
  <si>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</si>
  <si>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</si>
  <si>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</si>
  <si>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</si>
  <si>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</si>
  <si>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</si>
  <si>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</si>
  <si>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</si>
  <si>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</si>
  <si>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</si>
  <si>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</si>
  <si>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</si>
  <si>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</si>
  <si>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</si>
  <si>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</si>
  <si>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</si>
  <si>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</si>
  <si>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</si>
  <si>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</si>
  <si>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</si>
  <si>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</si>
  <si>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</si>
  <si>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</si>
  <si>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</si>
  <si>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</si>
  <si>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</si>
  <si>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</si>
  <si>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</si>
  <si>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</si>
  <si>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</si>
  <si>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</si>
  <si>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</si>
  <si>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</si>
  <si>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</si>
  <si>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</si>
  <si>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</si>
  <si>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</si>
  <si>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</si>
  <si>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</si>
  <si>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</si>
  <si>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</si>
  <si>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</si>
  <si>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</si>
  <si>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</si>
  <si>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</si>
  <si>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</si>
  <si>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</si>
  <si>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</si>
  <si>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</si>
  <si>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</si>
  <si>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</si>
  <si>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</si>
  <si>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</si>
  <si>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</si>
  <si>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</si>
  <si>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</si>
  <si>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</si>
  <si>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</si>
  <si>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</si>
  <si>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</si>
  <si>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</si>
  <si>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</si>
  <si>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</si>
  <si>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</si>
  <si>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</si>
  <si>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</si>
  <si>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</si>
  <si>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</si>
  <si>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</si>
  <si>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</si>
  <si>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</si>
  <si>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</si>
  <si>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</si>
  <si>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</si>
  <si>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</si>
  <si>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</si>
  <si>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</si>
  <si>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</si>
  <si>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</si>
  <si>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</si>
  <si>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</si>
  <si>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</si>
  <si>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</si>
  <si>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</si>
  <si>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</si>
  <si>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</si>
  <si>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</si>
  <si>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</si>
  <si>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</si>
  <si>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</si>
  <si>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</si>
  <si>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</si>
  <si>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</si>
  <si>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</si>
  <si>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</si>
  <si>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</si>
  <si>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</si>
  <si>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</si>
  <si>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</si>
  <si>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</si>
  <si>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</si>
  <si>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</si>
  <si>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</si>
  <si>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</si>
  <si>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</si>
  <si>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</si>
  <si>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</si>
  <si>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</si>
  <si>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</si>
  <si>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</si>
  <si>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</si>
  <si>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</si>
  <si>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</si>
  <si>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</si>
  <si>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</si>
  <si>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</si>
  <si>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</si>
  <si>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</si>
  <si>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</si>
  <si>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</si>
  <si>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</si>
  <si>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</si>
  <si>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</si>
  <si>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</si>
  <si>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</si>
  <si>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</si>
  <si>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</si>
  <si>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</si>
  <si>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</si>
  <si>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</si>
  <si>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</si>
  <si>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</si>
  <si>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</si>
  <si>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</si>
  <si>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</si>
  <si>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</si>
  <si>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</si>
  <si>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</si>
  <si>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</si>
  <si>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</si>
  <si>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</si>
  <si>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</si>
  <si>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</si>
  <si>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</si>
  <si>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</si>
  <si>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</si>
  <si>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</si>
  <si>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</si>
  <si>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</si>
  <si>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</si>
  <si>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</si>
  <si>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</si>
  <si>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</si>
  <si>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</si>
  <si>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</si>
  <si>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</si>
  <si>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</si>
  <si>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</si>
  <si>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</si>
  <si>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</si>
  <si>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</si>
  <si>
    <t>REMISIONES  11 SUR    A B R I L            2016</t>
  </si>
  <si>
    <t>10645 B</t>
  </si>
  <si>
    <t>10980 B</t>
  </si>
  <si>
    <t>11099 B</t>
  </si>
  <si>
    <t xml:space="preserve">10502 B </t>
  </si>
  <si>
    <t>10707 B</t>
  </si>
  <si>
    <t>11417 B</t>
  </si>
  <si>
    <t>11582 B</t>
  </si>
  <si>
    <t>11609 B</t>
  </si>
  <si>
    <t>11768 B</t>
  </si>
  <si>
    <t>11771 B</t>
  </si>
  <si>
    <t>11910 B</t>
  </si>
  <si>
    <t>12017 B</t>
  </si>
  <si>
    <t>12113 B</t>
  </si>
  <si>
    <t>12235 B</t>
  </si>
  <si>
    <t>12374 B</t>
  </si>
  <si>
    <t>12461 B</t>
  </si>
  <si>
    <t>R-9486-9693-9898-9893</t>
  </si>
  <si>
    <t xml:space="preserve">BALANCE       DE     A B R I L       2 0 1 6        11  S U R   </t>
  </si>
  <si>
    <t>NOMINA 15</t>
  </si>
  <si>
    <t>NOMINA 16</t>
  </si>
  <si>
    <t>NOMINA 17</t>
  </si>
  <si>
    <t>R-9893-10017</t>
  </si>
  <si>
    <t>R-10017-10063-10148</t>
  </si>
  <si>
    <t>R-10148-10309</t>
  </si>
  <si>
    <t xml:space="preserve"> POLLO R-10456</t>
  </si>
  <si>
    <t>POLLO--R-10456</t>
  </si>
  <si>
    <t>chorizo--R-10456-10637-10534-10502-10707-10645</t>
  </si>
  <si>
    <t>Pollo--R-10645-1080</t>
  </si>
  <si>
    <t>R-10980</t>
  </si>
  <si>
    <t>R-10980++11099</t>
  </si>
  <si>
    <t>R-11099</t>
  </si>
  <si>
    <t>MAIZ--CHORIZO</t>
  </si>
  <si>
    <t xml:space="preserve"> POLLO</t>
  </si>
  <si>
    <t>POLLO--CHORIZO</t>
  </si>
  <si>
    <t>POLLO R-11099--11417--11609</t>
  </si>
  <si>
    <t>Maiz--R-11609-11771-11768</t>
  </si>
  <si>
    <t xml:space="preserve">MAIZ  </t>
  </si>
  <si>
    <t>R-11582</t>
  </si>
  <si>
    <t>R-11910--12017</t>
  </si>
  <si>
    <t xml:space="preserve">Vacaciones </t>
  </si>
  <si>
    <t>12831 B</t>
  </si>
  <si>
    <t>12856 B</t>
  </si>
  <si>
    <t>12709 B</t>
  </si>
  <si>
    <t>12712 B</t>
  </si>
  <si>
    <t>POLLO-CHORIZO--R-12017-12113</t>
  </si>
  <si>
    <t>Extiguidor</t>
  </si>
  <si>
    <t>R-12113</t>
  </si>
  <si>
    <t>R-12113-12235-12461-12374</t>
  </si>
  <si>
    <t>R-12374-12712-12709</t>
  </si>
  <si>
    <t>R-12709-12856-+12831</t>
  </si>
  <si>
    <t>12951 B</t>
  </si>
  <si>
    <t>13136 B</t>
  </si>
  <si>
    <t>13377 B</t>
  </si>
  <si>
    <t>R-12831</t>
  </si>
  <si>
    <t>R-12831+12951</t>
  </si>
  <si>
    <t>R-12951-Mazi-Pollo</t>
  </si>
  <si>
    <t>Elias 21-Abril</t>
  </si>
  <si>
    <t xml:space="preserve">pollo-chorizo   </t>
  </si>
  <si>
    <t>pollo-R-12951</t>
  </si>
  <si>
    <t>R-12951-13136-13377</t>
  </si>
  <si>
    <t>R-13377</t>
  </si>
  <si>
    <t>MAIZ-CONDIMENTOS</t>
  </si>
  <si>
    <t>NOMINA  18</t>
  </si>
  <si>
    <t>POLLO-CHORIZO R-13377</t>
  </si>
  <si>
    <t xml:space="preserve">18-Abril--26-Abril </t>
  </si>
  <si>
    <t>13766 B</t>
  </si>
  <si>
    <t>13767 B</t>
  </si>
  <si>
    <t>13948 B</t>
  </si>
  <si>
    <t>14164 B</t>
  </si>
  <si>
    <t>14554 B</t>
  </si>
  <si>
    <t>14573 B</t>
  </si>
  <si>
    <t xml:space="preserve">BALANCE       DE     M A Y O      2 0 1 6        11  S U R   </t>
  </si>
  <si>
    <t>REMISIONES  11 SUR    M A Y O            2016</t>
  </si>
  <si>
    <t>14826 B</t>
  </si>
  <si>
    <t>15251 B</t>
  </si>
  <si>
    <t>15350 B</t>
  </si>
  <si>
    <t>15600 B</t>
  </si>
  <si>
    <t>15803 B</t>
  </si>
  <si>
    <t>15981 B</t>
  </si>
  <si>
    <t>R-1337713767-13948-13766-+</t>
  </si>
  <si>
    <t>R-13766--POLLO</t>
  </si>
  <si>
    <t xml:space="preserve">Verif Bascula </t>
  </si>
  <si>
    <t>Pollo--R-13766</t>
  </si>
  <si>
    <t xml:space="preserve">Elias 30-Abril </t>
  </si>
  <si>
    <t>pollo--R-13766-14554-14164</t>
  </si>
  <si>
    <t>X</t>
  </si>
  <si>
    <t>R-14164-14573-cebolla</t>
  </si>
  <si>
    <t>NOMINA 19</t>
  </si>
  <si>
    <t>NOMINA 20</t>
  </si>
  <si>
    <t>NOMINA 21</t>
  </si>
  <si>
    <t>NOMINA 22</t>
  </si>
  <si>
    <t xml:space="preserve">NOMINA </t>
  </si>
  <si>
    <t>R-14573</t>
  </si>
  <si>
    <t>chirizo --R-14573</t>
  </si>
  <si>
    <t>POLLO--R-14573-14970</t>
  </si>
  <si>
    <t>14970 B</t>
  </si>
  <si>
    <t>15094 B</t>
  </si>
  <si>
    <t>Chorizo--R-14826</t>
  </si>
  <si>
    <t>Elias 07-may</t>
  </si>
  <si>
    <t>maiz-condimentos R-14826-15094-+15350</t>
  </si>
  <si>
    <t>CEBOLLA</t>
  </si>
  <si>
    <t>MAIZ-Obrador</t>
  </si>
  <si>
    <t>R-15350-15251-pollo</t>
  </si>
  <si>
    <t>R-15251--Chorizo</t>
  </si>
  <si>
    <t xml:space="preserve">Elias 10-May </t>
  </si>
  <si>
    <t>pollo--R-15251</t>
  </si>
  <si>
    <t xml:space="preserve">26-Abril --13-Mayo </t>
  </si>
  <si>
    <t>16201 B</t>
  </si>
  <si>
    <t>16590 B</t>
  </si>
  <si>
    <t>16591 B</t>
  </si>
  <si>
    <t>Seguro Nissan</t>
  </si>
  <si>
    <t>Maiz --R-15251-15600</t>
  </si>
  <si>
    <t>arabe-chorizo</t>
  </si>
  <si>
    <t xml:space="preserve">ELIAS 13-May </t>
  </si>
  <si>
    <t>pollo-R-15600</t>
  </si>
  <si>
    <t>ARABE-pollo-R-15600-16201-15803</t>
  </si>
  <si>
    <t>R-15803-15600-15981-16591-</t>
  </si>
  <si>
    <t>pollo-chorizo--R-15981</t>
  </si>
  <si>
    <t>13-May --18-May</t>
  </si>
  <si>
    <t>16366 B</t>
  </si>
  <si>
    <t>16730 B</t>
  </si>
  <si>
    <t>R-15981-16730</t>
  </si>
  <si>
    <t>R-16366</t>
  </si>
  <si>
    <t>17056 B</t>
  </si>
  <si>
    <t>17448 B</t>
  </si>
  <si>
    <t>17627 B</t>
  </si>
  <si>
    <t>17645 B</t>
  </si>
  <si>
    <t>17752 B</t>
  </si>
  <si>
    <t>18027 B</t>
  </si>
  <si>
    <t>Pepe  20-May</t>
  </si>
  <si>
    <t>R-16590-pollo-arabe</t>
  </si>
  <si>
    <t>R-16590-MAIZ</t>
  </si>
  <si>
    <t xml:space="preserve">MAIZ   </t>
  </si>
  <si>
    <t>R-16590--17056-Chorizo</t>
  </si>
  <si>
    <t>R-17056-Pollo</t>
  </si>
  <si>
    <t xml:space="preserve">Elias  24 Mayo </t>
  </si>
  <si>
    <t>R-17056-Arabe</t>
  </si>
  <si>
    <t>R-17056-pollo</t>
  </si>
  <si>
    <t xml:space="preserve">18-May --28-May </t>
  </si>
  <si>
    <t>18032 B</t>
  </si>
  <si>
    <t>18052 B</t>
  </si>
  <si>
    <t>18182 B</t>
  </si>
  <si>
    <t>18328 B</t>
  </si>
  <si>
    <t>18457 B</t>
  </si>
  <si>
    <t>18539 B</t>
  </si>
  <si>
    <t>18592 B</t>
  </si>
  <si>
    <t xml:space="preserve">BALANCE       DE     J U N I O       2 0 1 6        11  S U R   </t>
  </si>
  <si>
    <t xml:space="preserve">ELIAS </t>
  </si>
  <si>
    <t xml:space="preserve">Elias  </t>
  </si>
  <si>
    <t xml:space="preserve">Pepe  </t>
  </si>
  <si>
    <t>REMISIONES  11 SUR    J U N I O             2016</t>
  </si>
  <si>
    <t>18922 B</t>
  </si>
  <si>
    <t>18882 B</t>
  </si>
  <si>
    <t>19116 B</t>
  </si>
  <si>
    <t>19248 B</t>
  </si>
  <si>
    <t>R-17448-17627-Condimentos</t>
  </si>
  <si>
    <t>R-17627-17645-pollo-maiz-chorizo</t>
  </si>
  <si>
    <t>R-17645-17752-18032</t>
  </si>
  <si>
    <t>R-18032-18027-Chorizo</t>
  </si>
  <si>
    <t>R-18027-pollo</t>
  </si>
  <si>
    <t>maiz</t>
  </si>
  <si>
    <t>arabe</t>
  </si>
  <si>
    <t>pollo-Maiz-Chorizo</t>
  </si>
  <si>
    <t>R-16730-16366</t>
  </si>
  <si>
    <t>LUZ  31-May</t>
  </si>
  <si>
    <t>PERDIDA</t>
  </si>
  <si>
    <t>R-18027-18052-18082</t>
  </si>
  <si>
    <t>ARABE</t>
  </si>
  <si>
    <t>R-18052-18328-pollo</t>
  </si>
  <si>
    <t>Elias 03-JUN</t>
  </si>
  <si>
    <t>R-18328-18457</t>
  </si>
  <si>
    <t>R-18457-18539-18592</t>
  </si>
  <si>
    <t>NOMINA 24</t>
  </si>
  <si>
    <t>NOMINA 25</t>
  </si>
  <si>
    <t>NOMINA 26</t>
  </si>
  <si>
    <t>NOMINA 27</t>
  </si>
  <si>
    <t>R-18592-18922--chorizo</t>
  </si>
  <si>
    <t>19290 B</t>
  </si>
  <si>
    <t>19369 B</t>
  </si>
  <si>
    <t>19484 B</t>
  </si>
  <si>
    <t>19778 B</t>
  </si>
  <si>
    <t>19779 B</t>
  </si>
  <si>
    <t>19972 B</t>
  </si>
  <si>
    <t>R-18922-18882-+19116</t>
  </si>
  <si>
    <t>R-19116-pollo</t>
  </si>
  <si>
    <t>R-19248</t>
  </si>
  <si>
    <t>Elias  10 JUN</t>
  </si>
  <si>
    <t>R-19248-+19290-19369-pollo-chorizo</t>
  </si>
  <si>
    <t>R-19369-19484-Maiz</t>
  </si>
  <si>
    <t>R-19484</t>
  </si>
  <si>
    <t>R-16484-19778-19779</t>
  </si>
  <si>
    <t>MAIZ</t>
  </si>
  <si>
    <t>JORGE MORENO HERNANDEZ</t>
  </si>
  <si>
    <t>paga  Rosa Bermudes  15-Jun 2016</t>
  </si>
  <si>
    <t xml:space="preserve">Abono </t>
  </si>
  <si>
    <t xml:space="preserve">08-Jun --15-Jun </t>
  </si>
  <si>
    <t>20179 B</t>
  </si>
  <si>
    <t>20058 B</t>
  </si>
  <si>
    <t>20414 B</t>
  </si>
  <si>
    <t>20668 B</t>
  </si>
  <si>
    <t>20670 B</t>
  </si>
  <si>
    <t>20671 B</t>
  </si>
  <si>
    <t>20329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</si>
</sst>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9F51B"/>
        <bgColor indexed="64"/>
      </patternFill>
    </fill>
    <fill>
      <patternFill patternType="solid">
        <fgColor theme="9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9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44" fontId="2" fillId="0" borderId="10" xfId="1" applyFont="1" applyFill="1" applyBorder="1"/>
    <xf numFmtId="165" fontId="11" fillId="0" borderId="0" xfId="0" applyNumberFormat="1" applyFon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0" xfId="1" applyFont="1" applyFill="1"/>
    <xf numFmtId="165" fontId="7" fillId="0" borderId="0" xfId="0" applyNumberFormat="1" applyFont="1" applyFill="1"/>
    <xf numFmtId="165" fontId="0" fillId="0" borderId="0" xfId="0" applyNumberFormat="1" applyFill="1" applyBorder="1"/>
    <xf numFmtId="15" fontId="0" fillId="0" borderId="18" xfId="0" applyNumberFormat="1" applyFill="1" applyBorder="1"/>
    <xf numFmtId="44" fontId="2" fillId="0" borderId="19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2" xfId="0" applyNumberFormat="1" applyFont="1" applyFill="1" applyBorder="1"/>
    <xf numFmtId="44" fontId="0" fillId="0" borderId="20" xfId="1" applyFont="1" applyFill="1" applyBorder="1"/>
    <xf numFmtId="44" fontId="0" fillId="0" borderId="0" xfId="1" applyFont="1" applyFill="1"/>
    <xf numFmtId="0" fontId="2" fillId="4" borderId="0" xfId="0" applyFont="1" applyFill="1" applyBorder="1"/>
    <xf numFmtId="165" fontId="0" fillId="0" borderId="12" xfId="0" applyNumberFormat="1" applyFill="1" applyBorder="1"/>
    <xf numFmtId="44" fontId="2" fillId="0" borderId="20" xfId="1" applyFont="1" applyFill="1" applyBorder="1"/>
    <xf numFmtId="165" fontId="0" fillId="0" borderId="0" xfId="0" applyNumberFormat="1" applyFont="1" applyFill="1"/>
    <xf numFmtId="44" fontId="12" fillId="0" borderId="0" xfId="1" applyFont="1" applyFill="1" applyBorder="1"/>
    <xf numFmtId="44" fontId="8" fillId="0" borderId="0" xfId="1" applyFont="1" applyFill="1"/>
    <xf numFmtId="0" fontId="2" fillId="0" borderId="0" xfId="0" applyFont="1" applyFill="1"/>
    <xf numFmtId="0" fontId="8" fillId="0" borderId="0" xfId="0" applyFont="1" applyFill="1"/>
    <xf numFmtId="0" fontId="0" fillId="0" borderId="0" xfId="0" applyFont="1" applyFill="1" applyBorder="1"/>
    <xf numFmtId="0" fontId="13" fillId="0" borderId="0" xfId="0" applyFont="1" applyFill="1" applyBorder="1"/>
    <xf numFmtId="0" fontId="11" fillId="0" borderId="0" xfId="0" applyFont="1" applyFill="1" applyBorder="1"/>
    <xf numFmtId="44" fontId="2" fillId="0" borderId="12" xfId="1" applyFont="1" applyFill="1" applyBorder="1" applyAlignment="1">
      <alignment horizontal="right"/>
    </xf>
    <xf numFmtId="0" fontId="2" fillId="0" borderId="0" xfId="0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1" xfId="1" applyFont="1" applyFill="1" applyBorder="1"/>
    <xf numFmtId="16" fontId="12" fillId="0" borderId="0" xfId="0" applyNumberFormat="1" applyFont="1" applyFill="1" applyBorder="1"/>
    <xf numFmtId="16" fontId="14" fillId="0" borderId="18" xfId="0" applyNumberFormat="1" applyFont="1" applyFill="1" applyBorder="1"/>
    <xf numFmtId="44" fontId="12" fillId="0" borderId="18" xfId="1" applyFont="1" applyFill="1" applyBorder="1" applyAlignment="1"/>
    <xf numFmtId="44" fontId="12" fillId="0" borderId="0" xfId="1" applyFont="1" applyFill="1" applyBorder="1" applyAlignment="1">
      <alignment horizontal="left"/>
    </xf>
    <xf numFmtId="16" fontId="2" fillId="0" borderId="1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18" xfId="0" applyFont="1" applyFill="1" applyBorder="1"/>
    <xf numFmtId="16" fontId="0" fillId="0" borderId="18" xfId="0" applyNumberFormat="1" applyFill="1" applyBorder="1"/>
    <xf numFmtId="0" fontId="0" fillId="0" borderId="18" xfId="0" applyFill="1" applyBorder="1"/>
    <xf numFmtId="44" fontId="2" fillId="0" borderId="12" xfId="1" applyFont="1" applyBorder="1" applyAlignment="1">
      <alignment horizontal="right"/>
    </xf>
    <xf numFmtId="0" fontId="15" fillId="0" borderId="18" xfId="0" applyFont="1" applyFill="1" applyBorder="1"/>
    <xf numFmtId="0" fontId="8" fillId="0" borderId="22" xfId="0" applyFont="1" applyFill="1" applyBorder="1"/>
    <xf numFmtId="0" fontId="8" fillId="0" borderId="23" xfId="0" applyFont="1" applyFill="1" applyBorder="1"/>
    <xf numFmtId="0" fontId="12" fillId="0" borderId="18" xfId="0" applyFont="1" applyFill="1" applyBorder="1"/>
    <xf numFmtId="165" fontId="2" fillId="0" borderId="12" xfId="0" applyNumberFormat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0" xfId="1" applyFont="1" applyBorder="1"/>
    <xf numFmtId="0" fontId="18" fillId="0" borderId="25" xfId="0" applyFont="1" applyFill="1" applyBorder="1" applyAlignment="1">
      <alignment horizontal="center"/>
    </xf>
    <xf numFmtId="44" fontId="0" fillId="0" borderId="21" xfId="1" applyFont="1" applyFill="1" applyBorder="1"/>
    <xf numFmtId="44" fontId="0" fillId="0" borderId="0" xfId="1" applyFont="1" applyBorder="1"/>
    <xf numFmtId="0" fontId="0" fillId="0" borderId="18" xfId="0" applyBorder="1"/>
    <xf numFmtId="165" fontId="0" fillId="0" borderId="12" xfId="0" applyNumberFormat="1" applyBorder="1"/>
    <xf numFmtId="44" fontId="0" fillId="0" borderId="20" xfId="1" applyFont="1" applyBorder="1"/>
    <xf numFmtId="0" fontId="0" fillId="0" borderId="0" xfId="0" applyFont="1" applyAlignment="1"/>
    <xf numFmtId="0" fontId="14" fillId="0" borderId="0" xfId="0" applyFont="1"/>
    <xf numFmtId="164" fontId="18" fillId="0" borderId="26" xfId="0" applyNumberFormat="1" applyFont="1" applyBorder="1" applyAlignment="1">
      <alignment horizontal="center"/>
    </xf>
    <xf numFmtId="44" fontId="2" fillId="0" borderId="27" xfId="1" applyFont="1" applyBorder="1"/>
    <xf numFmtId="0" fontId="0" fillId="0" borderId="28" xfId="0" applyBorder="1"/>
    <xf numFmtId="44" fontId="0" fillId="0" borderId="29" xfId="1" applyFont="1" applyBorder="1"/>
    <xf numFmtId="0" fontId="18" fillId="0" borderId="30" xfId="0" applyFont="1" applyBorder="1" applyAlignment="1">
      <alignment horizontal="center"/>
    </xf>
    <xf numFmtId="44" fontId="0" fillId="0" borderId="31" xfId="1" applyFont="1" applyBorder="1"/>
    <xf numFmtId="0" fontId="0" fillId="0" borderId="32" xfId="0" applyBorder="1"/>
    <xf numFmtId="165" fontId="0" fillId="0" borderId="33" xfId="0" applyNumberFormat="1" applyBorder="1"/>
    <xf numFmtId="44" fontId="10" fillId="5" borderId="34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6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3" xfId="0" applyFont="1" applyBorder="1"/>
    <xf numFmtId="0" fontId="2" fillId="0" borderId="33" xfId="0" applyFont="1" applyBorder="1"/>
    <xf numFmtId="44" fontId="2" fillId="0" borderId="33" xfId="1" applyFont="1" applyBorder="1"/>
    <xf numFmtId="0" fontId="2" fillId="0" borderId="0" xfId="0" applyFont="1" applyAlignment="1">
      <alignment horizontal="right"/>
    </xf>
    <xf numFmtId="44" fontId="18" fillId="0" borderId="39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3" xfId="0" applyBorder="1"/>
    <xf numFmtId="0" fontId="2" fillId="0" borderId="33" xfId="0" applyFont="1" applyBorder="1" applyAlignment="1">
      <alignment horizontal="center"/>
    </xf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7" borderId="0" xfId="0" applyFont="1" applyFill="1"/>
    <xf numFmtId="44" fontId="0" fillId="7" borderId="0" xfId="1" applyFont="1" applyFill="1"/>
    <xf numFmtId="0" fontId="0" fillId="7" borderId="0" xfId="0" applyFill="1"/>
    <xf numFmtId="0" fontId="2" fillId="0" borderId="39" xfId="0" applyFont="1" applyFill="1" applyBorder="1"/>
    <xf numFmtId="0" fontId="0" fillId="0" borderId="39" xfId="0" applyFill="1" applyBorder="1"/>
    <xf numFmtId="44" fontId="0" fillId="0" borderId="39" xfId="1" applyFont="1" applyFill="1" applyBorder="1"/>
    <xf numFmtId="164" fontId="2" fillId="0" borderId="40" xfId="0" applyNumberFormat="1" applyFont="1" applyFill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1" xfId="1" applyFont="1" applyFill="1" applyBorder="1"/>
    <xf numFmtId="164" fontId="2" fillId="0" borderId="42" xfId="0" applyNumberFormat="1" applyFont="1" applyFill="1" applyBorder="1" applyAlignment="1">
      <alignment horizontal="center"/>
    </xf>
    <xf numFmtId="0" fontId="25" fillId="0" borderId="42" xfId="0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44" fontId="24" fillId="0" borderId="37" xfId="1" applyFont="1" applyFill="1" applyBorder="1"/>
    <xf numFmtId="1" fontId="26" fillId="0" borderId="42" xfId="0" applyNumberFormat="1" applyFont="1" applyFill="1" applyBorder="1" applyAlignment="1">
      <alignment horizontal="center"/>
    </xf>
    <xf numFmtId="164" fontId="27" fillId="0" borderId="42" xfId="0" applyNumberFormat="1" applyFont="1" applyFill="1" applyBorder="1" applyAlignment="1">
      <alignment horizontal="center"/>
    </xf>
    <xf numFmtId="1" fontId="25" fillId="0" borderId="42" xfId="0" applyNumberFormat="1" applyFont="1" applyFill="1" applyBorder="1" applyAlignment="1">
      <alignment horizontal="center"/>
    </xf>
    <xf numFmtId="1" fontId="26" fillId="0" borderId="43" xfId="0" applyNumberFormat="1" applyFont="1" applyFill="1" applyBorder="1" applyAlignment="1">
      <alignment horizontal="center"/>
    </xf>
    <xf numFmtId="44" fontId="24" fillId="0" borderId="42" xfId="1" applyFont="1" applyFill="1" applyBorder="1"/>
    <xf numFmtId="0" fontId="26" fillId="0" borderId="35" xfId="0" applyFont="1" applyFill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44" fontId="29" fillId="0" borderId="0" xfId="1" applyFont="1" applyFill="1" applyBorder="1"/>
    <xf numFmtId="164" fontId="27" fillId="0" borderId="42" xfId="0" applyNumberFormat="1" applyFont="1" applyFill="1" applyBorder="1" applyAlignment="1">
      <alignment horizontal="left"/>
    </xf>
    <xf numFmtId="164" fontId="30" fillId="0" borderId="0" xfId="0" applyNumberFormat="1" applyFont="1" applyFill="1" applyBorder="1" applyAlignment="1">
      <alignment horizontal="center"/>
    </xf>
    <xf numFmtId="44" fontId="24" fillId="0" borderId="0" xfId="1" applyFont="1" applyFill="1" applyBorder="1"/>
    <xf numFmtId="164" fontId="27" fillId="0" borderId="43" xfId="0" applyNumberFormat="1" applyFont="1" applyFill="1" applyBorder="1" applyAlignment="1">
      <alignment horizontal="left"/>
    </xf>
    <xf numFmtId="44" fontId="24" fillId="0" borderId="43" xfId="1" applyFont="1" applyFill="1" applyBorder="1"/>
    <xf numFmtId="164" fontId="10" fillId="0" borderId="4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65" fontId="30" fillId="0" borderId="33" xfId="0" applyNumberFormat="1" applyFont="1" applyFill="1" applyBorder="1"/>
    <xf numFmtId="44" fontId="2" fillId="0" borderId="33" xfId="1" applyFont="1" applyFill="1" applyBorder="1"/>
    <xf numFmtId="164" fontId="30" fillId="0" borderId="33" xfId="0" applyNumberFormat="1" applyFont="1" applyFill="1" applyBorder="1" applyAlignment="1">
      <alignment horizontal="center"/>
    </xf>
    <xf numFmtId="44" fontId="24" fillId="0" borderId="33" xfId="1" applyFont="1" applyFill="1" applyBorder="1"/>
    <xf numFmtId="164" fontId="0" fillId="0" borderId="0" xfId="0" applyNumberFormat="1" applyFill="1" applyAlignment="1">
      <alignment horizontal="center"/>
    </xf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8" borderId="44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10" fillId="0" borderId="42" xfId="1" applyFont="1" applyFill="1" applyBorder="1" applyAlignment="1">
      <alignment horizontal="left"/>
    </xf>
    <xf numFmtId="0" fontId="10" fillId="0" borderId="42" xfId="0" applyFont="1" applyBorder="1" applyAlignment="1">
      <alignment horizontal="center"/>
    </xf>
    <xf numFmtId="44" fontId="32" fillId="0" borderId="42" xfId="1" applyFont="1" applyBorder="1"/>
    <xf numFmtId="164" fontId="32" fillId="0" borderId="42" xfId="0" applyNumberFormat="1" applyFont="1" applyBorder="1"/>
    <xf numFmtId="44" fontId="2" fillId="0" borderId="42" xfId="1" applyFont="1" applyFill="1" applyBorder="1" applyAlignment="1">
      <alignment horizontal="center"/>
    </xf>
    <xf numFmtId="44" fontId="2" fillId="0" borderId="42" xfId="1" applyFont="1" applyFill="1" applyBorder="1" applyAlignment="1">
      <alignment horizontal="left"/>
    </xf>
    <xf numFmtId="44" fontId="33" fillId="0" borderId="42" xfId="1" applyFont="1" applyBorder="1"/>
    <xf numFmtId="164" fontId="33" fillId="0" borderId="42" xfId="0" applyNumberFormat="1" applyFont="1" applyBorder="1"/>
    <xf numFmtId="0" fontId="2" fillId="0" borderId="42" xfId="0" applyFont="1" applyFill="1" applyBorder="1"/>
    <xf numFmtId="0" fontId="0" fillId="0" borderId="42" xfId="0" applyBorder="1"/>
    <xf numFmtId="44" fontId="2" fillId="0" borderId="42" xfId="1" applyFont="1" applyBorder="1"/>
    <xf numFmtId="0" fontId="31" fillId="0" borderId="0" xfId="0" applyFont="1"/>
    <xf numFmtId="16" fontId="31" fillId="0" borderId="0" xfId="0" applyNumberFormat="1" applyFont="1"/>
    <xf numFmtId="44" fontId="2" fillId="3" borderId="10" xfId="1" applyFont="1" applyFill="1" applyBorder="1"/>
    <xf numFmtId="165" fontId="11" fillId="3" borderId="0" xfId="0" applyNumberFormat="1" applyFont="1" applyFill="1"/>
    <xf numFmtId="15" fontId="0" fillId="3" borderId="11" xfId="0" applyNumberFormat="1" applyFill="1" applyBorder="1"/>
    <xf numFmtId="44" fontId="2" fillId="3" borderId="12" xfId="1" applyFont="1" applyFill="1" applyBorder="1"/>
    <xf numFmtId="0" fontId="0" fillId="3" borderId="0" xfId="0" applyFill="1"/>
    <xf numFmtId="15" fontId="0" fillId="3" borderId="13" xfId="0" applyNumberFormat="1" applyFill="1" applyBorder="1"/>
    <xf numFmtId="44" fontId="2" fillId="3" borderId="14" xfId="1" applyFont="1" applyFill="1" applyBorder="1"/>
    <xf numFmtId="44" fontId="2" fillId="3" borderId="15" xfId="1" applyFont="1" applyFill="1" applyBorder="1"/>
    <xf numFmtId="0" fontId="0" fillId="3" borderId="15" xfId="0" applyFill="1" applyBorder="1"/>
    <xf numFmtId="0" fontId="0" fillId="3" borderId="16" xfId="0" applyFill="1" applyBorder="1"/>
    <xf numFmtId="44" fontId="0" fillId="3" borderId="17" xfId="1" applyFont="1" applyFill="1" applyBorder="1"/>
    <xf numFmtId="16" fontId="0" fillId="0" borderId="0" xfId="0" applyNumberFormat="1" applyFill="1" applyBorder="1"/>
    <xf numFmtId="164" fontId="2" fillId="9" borderId="44" xfId="1" applyNumberFormat="1" applyFont="1" applyFill="1" applyBorder="1" applyAlignment="1">
      <alignment horizontal="center"/>
    </xf>
    <xf numFmtId="16" fontId="10" fillId="0" borderId="4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0" fontId="0" fillId="0" borderId="15" xfId="0" applyFill="1" applyBorder="1"/>
    <xf numFmtId="0" fontId="0" fillId="0" borderId="16" xfId="0" applyFill="1" applyBorder="1"/>
    <xf numFmtId="44" fontId="0" fillId="0" borderId="17" xfId="1" applyFont="1" applyFill="1" applyBorder="1"/>
    <xf numFmtId="164" fontId="8" fillId="0" borderId="0" xfId="0" applyNumberFormat="1" applyFont="1" applyFill="1" applyAlignment="1">
      <alignment horizontal="center"/>
    </xf>
    <xf numFmtId="44" fontId="8" fillId="0" borderId="0" xfId="1" applyFont="1" applyFill="1" applyBorder="1"/>
    <xf numFmtId="166" fontId="16" fillId="0" borderId="24" xfId="0" applyNumberFormat="1" applyFont="1" applyBorder="1" applyAlignment="1"/>
    <xf numFmtId="166" fontId="16" fillId="0" borderId="12" xfId="0" applyNumberFormat="1" applyFont="1" applyBorder="1" applyAlignment="1"/>
    <xf numFmtId="164" fontId="2" fillId="4" borderId="44" xfId="1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44" fontId="33" fillId="0" borderId="0" xfId="1" applyFont="1" applyBorder="1"/>
    <xf numFmtId="164" fontId="33" fillId="0" borderId="0" xfId="0" applyNumberFormat="1" applyFont="1" applyBorder="1"/>
    <xf numFmtId="0" fontId="26" fillId="0" borderId="0" xfId="0" applyFont="1" applyFill="1" applyBorder="1" applyAlignment="1">
      <alignment horizontal="center"/>
    </xf>
    <xf numFmtId="1" fontId="26" fillId="0" borderId="45" xfId="0" applyNumberFormat="1" applyFont="1" applyFill="1" applyBorder="1" applyAlignment="1">
      <alignment horizontal="center"/>
    </xf>
    <xf numFmtId="44" fontId="2" fillId="0" borderId="45" xfId="1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44" fontId="33" fillId="0" borderId="45" xfId="1" applyFont="1" applyBorder="1"/>
    <xf numFmtId="164" fontId="33" fillId="0" borderId="45" xfId="0" applyNumberFormat="1" applyFont="1" applyBorder="1"/>
    <xf numFmtId="164" fontId="2" fillId="5" borderId="44" xfId="1" applyNumberFormat="1" applyFont="1" applyFill="1" applyBorder="1" applyAlignment="1">
      <alignment horizontal="center"/>
    </xf>
    <xf numFmtId="44" fontId="2" fillId="11" borderId="0" xfId="1" applyFont="1" applyFill="1"/>
    <xf numFmtId="164" fontId="20" fillId="0" borderId="0" xfId="0" applyNumberFormat="1" applyFont="1"/>
    <xf numFmtId="44" fontId="2" fillId="10" borderId="12" xfId="1" applyFont="1" applyFill="1" applyBorder="1"/>
    <xf numFmtId="44" fontId="10" fillId="12" borderId="42" xfId="1" applyFont="1" applyFill="1" applyBorder="1" applyAlignment="1">
      <alignment horizontal="center"/>
    </xf>
    <xf numFmtId="0" fontId="10" fillId="6" borderId="42" xfId="0" applyFont="1" applyFill="1" applyBorder="1" applyAlignment="1">
      <alignment horizontal="center"/>
    </xf>
    <xf numFmtId="44" fontId="10" fillId="6" borderId="42" xfId="1" applyFont="1" applyFill="1" applyBorder="1"/>
    <xf numFmtId="44" fontId="0" fillId="0" borderId="42" xfId="1" applyFont="1" applyBorder="1"/>
    <xf numFmtId="44" fontId="10" fillId="0" borderId="42" xfId="1" applyFont="1" applyBorder="1"/>
    <xf numFmtId="0" fontId="20" fillId="2" borderId="42" xfId="0" applyFont="1" applyFill="1" applyBorder="1"/>
    <xf numFmtId="44" fontId="2" fillId="0" borderId="20" xfId="1" applyFont="1" applyBorder="1"/>
    <xf numFmtId="164" fontId="33" fillId="0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44" fontId="33" fillId="0" borderId="0" xfId="1" applyFont="1" applyFill="1" applyBorder="1"/>
    <xf numFmtId="44" fontId="20" fillId="0" borderId="0" xfId="1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19" fillId="0" borderId="0" xfId="0" applyFont="1" applyFill="1" applyBorder="1"/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44" fontId="2" fillId="11" borderId="20" xfId="1" applyFont="1" applyFill="1" applyBorder="1"/>
    <xf numFmtId="164" fontId="2" fillId="2" borderId="44" xfId="1" applyNumberFormat="1" applyFont="1" applyFill="1" applyBorder="1" applyAlignment="1">
      <alignment horizontal="center"/>
    </xf>
    <xf numFmtId="44" fontId="2" fillId="0" borderId="43" xfId="1" applyFont="1" applyFill="1" applyBorder="1" applyAlignment="1">
      <alignment horizontal="center"/>
    </xf>
    <xf numFmtId="0" fontId="10" fillId="0" borderId="43" xfId="0" applyFont="1" applyBorder="1" applyAlignment="1">
      <alignment horizontal="center"/>
    </xf>
    <xf numFmtId="44" fontId="33" fillId="0" borderId="43" xfId="1" applyFont="1" applyBorder="1"/>
    <xf numFmtId="164" fontId="33" fillId="0" borderId="43" xfId="0" applyNumberFormat="1" applyFont="1" applyBorder="1"/>
    <xf numFmtId="44" fontId="2" fillId="0" borderId="42" xfId="1" applyFont="1" applyFill="1" applyBorder="1"/>
    <xf numFmtId="0" fontId="10" fillId="0" borderId="42" xfId="0" applyFont="1" applyFill="1" applyBorder="1" applyAlignment="1">
      <alignment horizontal="center"/>
    </xf>
    <xf numFmtId="44" fontId="32" fillId="0" borderId="42" xfId="1" applyFont="1" applyFill="1" applyBorder="1"/>
    <xf numFmtId="164" fontId="32" fillId="0" borderId="42" xfId="0" applyNumberFormat="1" applyFont="1" applyFill="1" applyBorder="1"/>
    <xf numFmtId="0" fontId="10" fillId="0" borderId="42" xfId="0" applyFont="1" applyBorder="1"/>
    <xf numFmtId="44" fontId="0" fillId="0" borderId="0" xfId="0" applyNumberFormat="1"/>
    <xf numFmtId="1" fontId="26" fillId="0" borderId="46" xfId="0" applyNumberFormat="1" applyFont="1" applyFill="1" applyBorder="1" applyAlignment="1">
      <alignment horizontal="center"/>
    </xf>
    <xf numFmtId="44" fontId="2" fillId="0" borderId="46" xfId="1" applyFont="1" applyFill="1" applyBorder="1"/>
    <xf numFmtId="164" fontId="33" fillId="0" borderId="46" xfId="0" applyNumberFormat="1" applyFont="1" applyFill="1" applyBorder="1"/>
    <xf numFmtId="0" fontId="15" fillId="13" borderId="18" xfId="0" applyFont="1" applyFill="1" applyBorder="1"/>
    <xf numFmtId="44" fontId="2" fillId="13" borderId="22" xfId="1" applyFont="1" applyFill="1" applyBorder="1" applyAlignment="1"/>
    <xf numFmtId="0" fontId="2" fillId="13" borderId="18" xfId="0" applyFont="1" applyFill="1" applyBorder="1"/>
    <xf numFmtId="44" fontId="2" fillId="13" borderId="23" xfId="1" applyFont="1" applyFill="1" applyBorder="1" applyAlignment="1"/>
    <xf numFmtId="16" fontId="2" fillId="13" borderId="18" xfId="0" applyNumberFormat="1" applyFont="1" applyFill="1" applyBorder="1" applyAlignment="1">
      <alignment horizontal="center"/>
    </xf>
    <xf numFmtId="44" fontId="2" fillId="13" borderId="12" xfId="1" applyFont="1" applyFill="1" applyBorder="1" applyAlignment="1">
      <alignment horizontal="right"/>
    </xf>
    <xf numFmtId="16" fontId="19" fillId="0" borderId="0" xfId="0" applyNumberFormat="1" applyFont="1" applyFill="1" applyBorder="1"/>
    <xf numFmtId="164" fontId="2" fillId="2" borderId="42" xfId="0" applyNumberFormat="1" applyFont="1" applyFill="1" applyBorder="1"/>
    <xf numFmtId="164" fontId="2" fillId="0" borderId="42" xfId="0" applyNumberFormat="1" applyFont="1" applyBorder="1"/>
    <xf numFmtId="44" fontId="0" fillId="0" borderId="42" xfId="0" applyNumberFormat="1" applyBorder="1"/>
    <xf numFmtId="0" fontId="2" fillId="13" borderId="42" xfId="0" applyFont="1" applyFill="1" applyBorder="1"/>
    <xf numFmtId="0" fontId="0" fillId="13" borderId="42" xfId="0" applyFill="1" applyBorder="1"/>
    <xf numFmtId="164" fontId="2" fillId="0" borderId="42" xfId="0" applyNumberFormat="1" applyFont="1" applyBorder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65" fontId="13" fillId="0" borderId="0" xfId="0" applyNumberFormat="1" applyFont="1" applyFill="1"/>
    <xf numFmtId="164" fontId="2" fillId="14" borderId="44" xfId="1" applyNumberFormat="1" applyFont="1" applyFill="1" applyBorder="1" applyAlignment="1">
      <alignment horizontal="center"/>
    </xf>
    <xf numFmtId="16" fontId="14" fillId="13" borderId="0" xfId="0" applyNumberFormat="1" applyFont="1" applyFill="1" applyBorder="1"/>
    <xf numFmtId="165" fontId="16" fillId="0" borderId="36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" fontId="14" fillId="0" borderId="0" xfId="0" applyNumberFormat="1" applyFont="1" applyFill="1" applyBorder="1"/>
    <xf numFmtId="44" fontId="2" fillId="0" borderId="15" xfId="1" applyFont="1" applyFill="1" applyBorder="1"/>
    <xf numFmtId="164" fontId="2" fillId="15" borderId="44" xfId="1" applyNumberFormat="1" applyFont="1" applyFill="1" applyBorder="1" applyAlignment="1">
      <alignment horizontal="center"/>
    </xf>
    <xf numFmtId="16" fontId="0" fillId="0" borderId="0" xfId="0" applyNumberFormat="1" applyFill="1"/>
    <xf numFmtId="16" fontId="2" fillId="0" borderId="0" xfId="0" applyNumberFormat="1" applyFont="1" applyFill="1"/>
    <xf numFmtId="44" fontId="32" fillId="0" borderId="0" xfId="1" applyFont="1" applyBorder="1"/>
    <xf numFmtId="164" fontId="32" fillId="0" borderId="0" xfId="0" applyNumberFormat="1" applyFont="1" applyBorder="1"/>
    <xf numFmtId="1" fontId="25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44" fontId="10" fillId="0" borderId="0" xfId="1" applyFont="1" applyBorder="1"/>
    <xf numFmtId="44" fontId="32" fillId="0" borderId="0" xfId="1" applyFont="1" applyFill="1" applyBorder="1"/>
    <xf numFmtId="164" fontId="32" fillId="0" borderId="0" xfId="0" applyNumberFormat="1" applyFont="1" applyFill="1" applyBorder="1"/>
    <xf numFmtId="0" fontId="2" fillId="0" borderId="45" xfId="0" applyFont="1" applyFill="1" applyBorder="1"/>
    <xf numFmtId="44" fontId="32" fillId="0" borderId="45" xfId="1" applyFont="1" applyBorder="1"/>
    <xf numFmtId="164" fontId="32" fillId="0" borderId="45" xfId="0" applyNumberFormat="1" applyFont="1" applyBorder="1"/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16" fontId="2" fillId="0" borderId="0" xfId="0" applyNumberFormat="1" applyFont="1" applyFill="1" applyBorder="1"/>
    <xf numFmtId="16" fontId="2" fillId="0" borderId="0" xfId="1" applyNumberFormat="1" applyFont="1" applyFill="1" applyBorder="1" applyAlignment="1">
      <alignment horizontal="left"/>
    </xf>
    <xf numFmtId="44" fontId="2" fillId="6" borderId="0" xfId="1" applyFont="1" applyFill="1"/>
    <xf numFmtId="164" fontId="2" fillId="16" borderId="44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44" fontId="10" fillId="0" borderId="0" xfId="0" applyNumberFormat="1" applyFont="1"/>
    <xf numFmtId="44" fontId="2" fillId="0" borderId="47" xfId="1" applyFont="1" applyFill="1" applyBorder="1"/>
    <xf numFmtId="44" fontId="2" fillId="0" borderId="0" xfId="1" applyFont="1" applyBorder="1" applyAlignment="1"/>
    <xf numFmtId="0" fontId="8" fillId="0" borderId="0" xfId="0" applyFont="1" applyFill="1" applyBorder="1"/>
    <xf numFmtId="44" fontId="1" fillId="0" borderId="12" xfId="1" applyFont="1" applyBorder="1"/>
    <xf numFmtId="44" fontId="1" fillId="0" borderId="33" xfId="1" applyFont="1" applyBorder="1"/>
    <xf numFmtId="44" fontId="19" fillId="0" borderId="12" xfId="1" applyFont="1" applyBorder="1" applyAlignment="1"/>
    <xf numFmtId="44" fontId="2" fillId="0" borderId="0" xfId="1" applyFont="1" applyFill="1" applyBorder="1" applyAlignment="1"/>
    <xf numFmtId="44" fontId="2" fillId="3" borderId="0" xfId="1" applyFont="1" applyFill="1"/>
    <xf numFmtId="44" fontId="24" fillId="3" borderId="37" xfId="1" applyFont="1" applyFill="1" applyBorder="1"/>
    <xf numFmtId="16" fontId="2" fillId="0" borderId="18" xfId="0" applyNumberFormat="1" applyFont="1" applyFill="1" applyBorder="1"/>
    <xf numFmtId="164" fontId="2" fillId="17" borderId="42" xfId="0" applyNumberFormat="1" applyFont="1" applyFill="1" applyBorder="1" applyAlignment="1">
      <alignment horizontal="center"/>
    </xf>
    <xf numFmtId="0" fontId="8" fillId="17" borderId="42" xfId="0" applyFont="1" applyFill="1" applyBorder="1" applyAlignment="1">
      <alignment horizontal="center"/>
    </xf>
    <xf numFmtId="0" fontId="12" fillId="17" borderId="42" xfId="0" applyFont="1" applyFill="1" applyBorder="1" applyAlignment="1">
      <alignment horizontal="left" vertical="center" wrapText="1"/>
    </xf>
    <xf numFmtId="44" fontId="2" fillId="11" borderId="35" xfId="1" applyFont="1" applyFill="1" applyBorder="1" applyAlignment="1">
      <alignment horizontal="center"/>
    </xf>
    <xf numFmtId="44" fontId="20" fillId="0" borderId="2" xfId="1" applyFont="1" applyBorder="1" applyAlignment="1">
      <alignment horizontal="center"/>
    </xf>
    <xf numFmtId="44" fontId="20" fillId="0" borderId="34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4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165" fontId="9" fillId="0" borderId="29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5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4" fontId="2" fillId="0" borderId="22" xfId="1" applyFont="1" applyBorder="1" applyAlignment="1">
      <alignment horizontal="center"/>
    </xf>
    <xf numFmtId="44" fontId="2" fillId="0" borderId="23" xfId="1" applyFont="1" applyBorder="1" applyAlignment="1">
      <alignment horizontal="center"/>
    </xf>
    <xf numFmtId="166" fontId="16" fillId="0" borderId="24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0" fontId="12" fillId="16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59F51B"/>
      <color rgb="FF0000FF"/>
      <color rgb="FF00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13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329" t="s">
        <v>30</v>
      </c>
      <c r="D1" s="329"/>
      <c r="E1" s="329"/>
      <c r="F1" s="329"/>
      <c r="G1" s="329"/>
      <c r="H1" s="329"/>
      <c r="I1" s="329"/>
      <c r="J1" s="329"/>
      <c r="K1" s="32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330" t="s">
        <v>3</v>
      </c>
      <c r="F4" s="331"/>
      <c r="I4" s="332" t="s">
        <v>4</v>
      </c>
      <c r="J4" s="333"/>
      <c r="K4" s="333"/>
      <c r="L4" s="333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0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5" t="s">
        <v>136</v>
      </c>
      <c r="L31" s="246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7" t="s">
        <v>178</v>
      </c>
      <c r="L32" s="248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325" t="s">
        <v>17</v>
      </c>
      <c r="I40" s="326"/>
      <c r="J40" s="93"/>
      <c r="K40" s="327">
        <f>I38+L38</f>
        <v>116066.88</v>
      </c>
      <c r="L40" s="328"/>
    </row>
    <row r="41" spans="1:17" ht="15.75" x14ac:dyDescent="0.25">
      <c r="B41" s="94"/>
      <c r="C41" s="67"/>
      <c r="D41" s="312" t="s">
        <v>18</v>
      </c>
      <c r="E41" s="312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313" t="s">
        <v>19</v>
      </c>
      <c r="E42" s="313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314" t="s">
        <v>22</v>
      </c>
      <c r="J44" s="315"/>
      <c r="K44" s="318">
        <f>F48+L46</f>
        <v>267583.73000000021</v>
      </c>
      <c r="L44" s="319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316"/>
      <c r="J45" s="317"/>
      <c r="K45" s="320"/>
      <c r="L45" s="321"/>
    </row>
    <row r="46" spans="1:17" ht="17.25" thickTop="1" thickBot="1" x14ac:dyDescent="0.3">
      <c r="C46" s="85"/>
      <c r="D46" s="322" t="s">
        <v>25</v>
      </c>
      <c r="E46" s="322"/>
      <c r="F46" s="101">
        <v>170511.25</v>
      </c>
      <c r="I46" s="323"/>
      <c r="J46" s="323"/>
      <c r="K46" s="324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305">
        <v>-48130.1</v>
      </c>
      <c r="L47" s="306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307"/>
      <c r="E49" s="307"/>
      <c r="F49" s="67"/>
      <c r="I49" s="308" t="s">
        <v>28</v>
      </c>
      <c r="J49" s="309"/>
      <c r="K49" s="310">
        <f>K44+K47</f>
        <v>219453.63000000021</v>
      </c>
      <c r="L49" s="311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63"/>
  <sheetViews>
    <sheetView topLeftCell="A19" workbookViewId="0">
      <selection activeCell="E28" sqref="E2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7109375" bestFit="1" customWidth="1"/>
    <col min="11" max="11" width="12.5703125" bestFit="1" customWidth="1"/>
    <col min="12" max="12" width="10" bestFit="1" customWidth="1"/>
    <col min="13" max="13" width="19.140625" customWidth="1"/>
    <col min="14" max="14" width="10.28515625" customWidth="1"/>
    <col min="16" max="16" width="20.140625" bestFit="1" customWidth="1"/>
    <col min="17" max="17" width="12.140625" bestFit="1" customWidth="1"/>
  </cols>
  <sheetData>
    <row r="1" spans="1:17" ht="19.5" thickBot="1" x14ac:dyDescent="0.35">
      <c r="B1" s="109" t="s">
        <v>297</v>
      </c>
      <c r="C1" s="110"/>
      <c r="D1" s="111"/>
      <c r="M1" s="146" t="s">
        <v>46</v>
      </c>
      <c r="N1" s="147"/>
      <c r="O1" s="148"/>
      <c r="P1" s="231">
        <v>42503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42492</v>
      </c>
      <c r="B3" s="123" t="s">
        <v>298</v>
      </c>
      <c r="C3" s="21">
        <v>117524.55</v>
      </c>
      <c r="D3" s="117">
        <v>42503</v>
      </c>
      <c r="E3" s="21">
        <v>117524.55</v>
      </c>
      <c r="F3" s="118">
        <f t="shared" ref="F3:F37" si="0"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42493</v>
      </c>
      <c r="B4" s="123" t="s">
        <v>320</v>
      </c>
      <c r="C4" s="26">
        <v>10252.06</v>
      </c>
      <c r="D4" s="117">
        <v>42503</v>
      </c>
      <c r="E4" s="21">
        <v>10252.06</v>
      </c>
      <c r="F4" s="122">
        <f t="shared" si="0"/>
        <v>0</v>
      </c>
      <c r="K4" s="3">
        <f>18000+6000</f>
        <v>24000</v>
      </c>
      <c r="L4" s="123" t="s">
        <v>277</v>
      </c>
      <c r="M4" s="21">
        <v>24001.95</v>
      </c>
      <c r="N4" s="156" t="s">
        <v>51</v>
      </c>
      <c r="O4" s="157" t="s">
        <v>52</v>
      </c>
      <c r="P4" s="158">
        <v>35368</v>
      </c>
      <c r="Q4" s="159">
        <v>42487</v>
      </c>
    </row>
    <row r="5" spans="1:17" ht="15.75" x14ac:dyDescent="0.25">
      <c r="A5" s="124">
        <v>42494</v>
      </c>
      <c r="B5" s="123" t="s">
        <v>321</v>
      </c>
      <c r="C5" s="26">
        <v>38699.86</v>
      </c>
      <c r="D5" s="117">
        <v>42503</v>
      </c>
      <c r="E5" s="21">
        <v>38699.86</v>
      </c>
      <c r="F5" s="122">
        <f t="shared" si="0"/>
        <v>0</v>
      </c>
      <c r="K5" s="3">
        <f>2623+34500+66500+13999.84</f>
        <v>117622.84</v>
      </c>
      <c r="L5" s="123" t="s">
        <v>290</v>
      </c>
      <c r="M5" s="285">
        <v>117622.84</v>
      </c>
      <c r="N5" s="160"/>
      <c r="O5" s="157" t="s">
        <v>52</v>
      </c>
      <c r="P5" s="158">
        <v>7763</v>
      </c>
      <c r="Q5" s="159">
        <v>42481</v>
      </c>
    </row>
    <row r="6" spans="1:17" ht="15.75" x14ac:dyDescent="0.25">
      <c r="A6" s="119">
        <v>42495</v>
      </c>
      <c r="B6" s="123" t="s">
        <v>299</v>
      </c>
      <c r="C6" s="21">
        <v>117255.53</v>
      </c>
      <c r="D6" s="258" t="s">
        <v>343</v>
      </c>
      <c r="E6" s="21">
        <f>42255.53+75000</f>
        <v>117255.53</v>
      </c>
      <c r="F6" s="122">
        <f t="shared" si="0"/>
        <v>0</v>
      </c>
      <c r="K6" s="3">
        <v>1680</v>
      </c>
      <c r="L6" s="123" t="s">
        <v>291</v>
      </c>
      <c r="M6" s="285">
        <v>1680</v>
      </c>
      <c r="N6" s="160"/>
      <c r="O6" s="157" t="s">
        <v>52</v>
      </c>
      <c r="P6" s="158">
        <v>34500</v>
      </c>
      <c r="Q6" s="159">
        <v>42488</v>
      </c>
    </row>
    <row r="7" spans="1:17" ht="15.75" x14ac:dyDescent="0.25">
      <c r="A7" s="119">
        <v>42496</v>
      </c>
      <c r="B7" s="123" t="s">
        <v>300</v>
      </c>
      <c r="C7" s="21">
        <v>25645.7</v>
      </c>
      <c r="D7" s="117">
        <v>42503</v>
      </c>
      <c r="E7" s="21">
        <v>25645.7</v>
      </c>
      <c r="F7" s="122">
        <f t="shared" si="0"/>
        <v>0</v>
      </c>
      <c r="K7" s="3">
        <f>13064.6+7763</f>
        <v>20827.599999999999</v>
      </c>
      <c r="L7" s="123" t="s">
        <v>292</v>
      </c>
      <c r="M7" s="285">
        <v>20827.599999999999</v>
      </c>
      <c r="N7" s="161"/>
      <c r="O7" s="157" t="s">
        <v>52</v>
      </c>
      <c r="P7" s="158">
        <v>6000</v>
      </c>
      <c r="Q7" s="159">
        <v>42489</v>
      </c>
    </row>
    <row r="8" spans="1:17" ht="15.75" x14ac:dyDescent="0.25">
      <c r="A8" s="119">
        <v>42497</v>
      </c>
      <c r="B8" s="123" t="s">
        <v>301</v>
      </c>
      <c r="C8" s="21">
        <v>70642.02</v>
      </c>
      <c r="D8" s="117">
        <v>42508</v>
      </c>
      <c r="E8" s="26">
        <v>70642.02</v>
      </c>
      <c r="F8" s="122">
        <f t="shared" si="0"/>
        <v>0</v>
      </c>
      <c r="K8" s="3">
        <f>10382.5+30389.75+32617.5</f>
        <v>73389.75</v>
      </c>
      <c r="L8" s="123" t="s">
        <v>293</v>
      </c>
      <c r="M8" s="21">
        <v>73389.75</v>
      </c>
      <c r="N8" s="160"/>
      <c r="O8" s="157">
        <v>3261926</v>
      </c>
      <c r="P8" s="162">
        <v>66500</v>
      </c>
      <c r="Q8" s="163">
        <v>42489</v>
      </c>
    </row>
    <row r="9" spans="1:17" ht="15.75" x14ac:dyDescent="0.25">
      <c r="A9" s="119">
        <v>42499</v>
      </c>
      <c r="B9" s="123" t="s">
        <v>302</v>
      </c>
      <c r="C9" s="21">
        <v>54440.85</v>
      </c>
      <c r="D9" s="117">
        <v>42508</v>
      </c>
      <c r="E9" s="26">
        <v>54440.85</v>
      </c>
      <c r="F9" s="122">
        <f t="shared" si="0"/>
        <v>0</v>
      </c>
      <c r="K9" s="3">
        <v>23067.119999999999</v>
      </c>
      <c r="L9" s="123" t="s">
        <v>294</v>
      </c>
      <c r="M9" s="21">
        <v>23067.119999999999</v>
      </c>
      <c r="N9" s="160"/>
      <c r="O9" s="157" t="s">
        <v>52</v>
      </c>
      <c r="P9" s="162">
        <v>67457</v>
      </c>
      <c r="Q9" s="163">
        <v>42492</v>
      </c>
    </row>
    <row r="10" spans="1:17" ht="15.75" x14ac:dyDescent="0.25">
      <c r="A10" s="119">
        <v>42501</v>
      </c>
      <c r="B10" s="123" t="s">
        <v>303</v>
      </c>
      <c r="C10" s="26">
        <v>96761.5</v>
      </c>
      <c r="D10" s="117" t="s">
        <v>363</v>
      </c>
      <c r="E10" s="26">
        <f>46342+50419.5</f>
        <v>96761.5</v>
      </c>
      <c r="F10" s="122">
        <f t="shared" si="0"/>
        <v>0</v>
      </c>
      <c r="K10" s="3">
        <f>4000+38792.7+40000+13000</f>
        <v>95792.7</v>
      </c>
      <c r="L10" s="123" t="s">
        <v>295</v>
      </c>
      <c r="M10" s="21">
        <v>95792.7</v>
      </c>
      <c r="N10" s="160"/>
      <c r="O10" s="157" t="s">
        <v>52</v>
      </c>
      <c r="P10" s="162">
        <v>6023.5</v>
      </c>
      <c r="Q10" s="163">
        <v>42485</v>
      </c>
    </row>
    <row r="11" spans="1:17" ht="15.75" x14ac:dyDescent="0.25">
      <c r="A11" s="119">
        <v>42502</v>
      </c>
      <c r="B11" s="125" t="s">
        <v>332</v>
      </c>
      <c r="C11" s="26">
        <v>11221.8</v>
      </c>
      <c r="D11" s="117">
        <v>42508</v>
      </c>
      <c r="E11" s="26">
        <v>11221.8</v>
      </c>
      <c r="F11" s="127">
        <f t="shared" si="0"/>
        <v>0</v>
      </c>
      <c r="K11" s="3">
        <f>2648.8+11937.9+96000+6937.85</f>
        <v>117524.55</v>
      </c>
      <c r="L11" s="123" t="s">
        <v>298</v>
      </c>
      <c r="M11" s="21">
        <v>117524.55</v>
      </c>
      <c r="N11" s="160"/>
      <c r="O11" s="157" t="s">
        <v>52</v>
      </c>
      <c r="P11" s="162">
        <v>4359</v>
      </c>
      <c r="Q11" s="163">
        <v>42488</v>
      </c>
    </row>
    <row r="12" spans="1:17" ht="15.75" x14ac:dyDescent="0.25">
      <c r="A12" s="119">
        <v>42505</v>
      </c>
      <c r="B12" s="125" t="s">
        <v>333</v>
      </c>
      <c r="C12" s="26">
        <v>127316.2</v>
      </c>
      <c r="D12" s="117">
        <v>42518</v>
      </c>
      <c r="E12" s="26">
        <v>127316.2</v>
      </c>
      <c r="F12" s="127">
        <f t="shared" si="0"/>
        <v>0</v>
      </c>
      <c r="K12" s="3">
        <v>10252.06</v>
      </c>
      <c r="L12" s="123" t="s">
        <v>320</v>
      </c>
      <c r="M12" s="26">
        <v>10252.06</v>
      </c>
      <c r="N12" s="160"/>
      <c r="O12" s="157" t="s">
        <v>52</v>
      </c>
      <c r="P12" s="162">
        <v>36617.5</v>
      </c>
      <c r="Q12" s="163">
        <v>42492</v>
      </c>
    </row>
    <row r="13" spans="1:17" ht="15.75" x14ac:dyDescent="0.25">
      <c r="A13" s="119">
        <v>42505</v>
      </c>
      <c r="B13" s="125" t="s">
        <v>334</v>
      </c>
      <c r="C13" s="26">
        <v>1313</v>
      </c>
      <c r="D13" s="117">
        <v>42508</v>
      </c>
      <c r="E13" s="26">
        <v>1313</v>
      </c>
      <c r="F13" s="127">
        <f t="shared" si="0"/>
        <v>0</v>
      </c>
      <c r="K13" s="3">
        <v>38699.86</v>
      </c>
      <c r="L13" s="123" t="s">
        <v>321</v>
      </c>
      <c r="M13" s="26">
        <v>38699.86</v>
      </c>
      <c r="N13" s="160"/>
      <c r="O13" s="157">
        <v>3280918</v>
      </c>
      <c r="P13" s="162">
        <v>38792.5</v>
      </c>
      <c r="Q13" s="163">
        <v>42492</v>
      </c>
    </row>
    <row r="14" spans="1:17" ht="15.75" x14ac:dyDescent="0.25">
      <c r="A14" s="119">
        <v>42503</v>
      </c>
      <c r="B14" s="125" t="s">
        <v>344</v>
      </c>
      <c r="C14" s="26">
        <v>96433.08</v>
      </c>
      <c r="D14" s="117">
        <v>42508</v>
      </c>
      <c r="E14" s="26">
        <v>96433.08</v>
      </c>
      <c r="F14" s="127">
        <f t="shared" si="0"/>
        <v>0</v>
      </c>
      <c r="K14" s="3">
        <f>16000+26255.53</f>
        <v>42255.53</v>
      </c>
      <c r="L14" s="123" t="s">
        <v>299</v>
      </c>
      <c r="M14" s="21">
        <v>42255.53</v>
      </c>
      <c r="N14" s="160" t="s">
        <v>91</v>
      </c>
      <c r="O14" s="157">
        <v>3280919</v>
      </c>
      <c r="P14" s="162">
        <v>40000</v>
      </c>
      <c r="Q14" s="163">
        <v>42493</v>
      </c>
    </row>
    <row r="15" spans="1:17" ht="15.75" x14ac:dyDescent="0.25">
      <c r="A15" s="119">
        <v>42506</v>
      </c>
      <c r="B15" s="125" t="s">
        <v>345</v>
      </c>
      <c r="C15" s="26">
        <v>16386.099999999999</v>
      </c>
      <c r="D15" s="117">
        <v>42518</v>
      </c>
      <c r="E15" s="26">
        <v>16386.099999999999</v>
      </c>
      <c r="F15" s="127">
        <f t="shared" si="0"/>
        <v>0</v>
      </c>
      <c r="K15" s="3">
        <f>9145.7+16500</f>
        <v>25645.7</v>
      </c>
      <c r="L15" s="123" t="s">
        <v>300</v>
      </c>
      <c r="M15" s="21">
        <v>25645.7</v>
      </c>
      <c r="N15" s="232"/>
      <c r="O15" s="233" t="s">
        <v>52</v>
      </c>
      <c r="P15" s="234">
        <v>23252</v>
      </c>
      <c r="Q15" s="235">
        <v>42495</v>
      </c>
    </row>
    <row r="16" spans="1:17" ht="15.75" x14ac:dyDescent="0.25">
      <c r="A16" s="124">
        <v>42509</v>
      </c>
      <c r="B16" s="123" t="s">
        <v>348</v>
      </c>
      <c r="C16" s="21">
        <v>111035.27</v>
      </c>
      <c r="D16" s="117">
        <v>42518</v>
      </c>
      <c r="E16" s="21">
        <v>111035.27</v>
      </c>
      <c r="F16" s="127">
        <f t="shared" si="0"/>
        <v>0</v>
      </c>
      <c r="K16" s="3"/>
      <c r="L16" s="123"/>
      <c r="M16" s="21"/>
      <c r="N16" s="164"/>
      <c r="O16" s="157" t="s">
        <v>52</v>
      </c>
      <c r="P16" s="158">
        <v>96000</v>
      </c>
      <c r="Q16" s="159">
        <v>42497</v>
      </c>
    </row>
    <row r="17" spans="1:17" ht="15.75" x14ac:dyDescent="0.25">
      <c r="A17" s="124">
        <v>42511</v>
      </c>
      <c r="B17" s="123" t="s">
        <v>349</v>
      </c>
      <c r="C17" s="21">
        <v>63305.22</v>
      </c>
      <c r="D17" s="117">
        <v>42529</v>
      </c>
      <c r="E17" s="21">
        <v>63305.22</v>
      </c>
      <c r="F17" s="127">
        <f t="shared" si="0"/>
        <v>0</v>
      </c>
      <c r="K17" s="3"/>
      <c r="L17" s="123"/>
      <c r="M17" s="21"/>
      <c r="N17" s="164"/>
      <c r="O17" s="157" t="s">
        <v>52</v>
      </c>
      <c r="P17" s="158">
        <v>11937.9</v>
      </c>
      <c r="Q17" s="159">
        <v>42495</v>
      </c>
    </row>
    <row r="18" spans="1:17" ht="15.75" x14ac:dyDescent="0.25">
      <c r="A18" s="124">
        <v>42513</v>
      </c>
      <c r="B18" s="123" t="s">
        <v>350</v>
      </c>
      <c r="C18" s="21">
        <v>42778.59</v>
      </c>
      <c r="D18" s="117">
        <v>42529</v>
      </c>
      <c r="E18" s="21">
        <v>42778.59</v>
      </c>
      <c r="F18" s="127">
        <f t="shared" si="0"/>
        <v>0</v>
      </c>
      <c r="G18" s="268">
        <v>42491</v>
      </c>
      <c r="H18" s="20" t="s">
        <v>325</v>
      </c>
      <c r="I18" s="30">
        <v>32</v>
      </c>
      <c r="K18" s="3"/>
      <c r="L18" s="123"/>
      <c r="M18" s="26"/>
      <c r="N18" s="164"/>
      <c r="O18" s="157" t="s">
        <v>52</v>
      </c>
      <c r="P18" s="158">
        <v>2649</v>
      </c>
      <c r="Q18" s="159">
        <v>42492</v>
      </c>
    </row>
    <row r="19" spans="1:17" ht="15.75" x14ac:dyDescent="0.25">
      <c r="A19" s="124">
        <v>42513</v>
      </c>
      <c r="B19" s="123" t="s">
        <v>351</v>
      </c>
      <c r="C19" s="21">
        <v>60736</v>
      </c>
      <c r="D19" s="117">
        <v>42529</v>
      </c>
      <c r="E19" s="21">
        <v>60736</v>
      </c>
      <c r="F19" s="127">
        <f t="shared" si="0"/>
        <v>0</v>
      </c>
      <c r="G19" s="268">
        <v>42493</v>
      </c>
      <c r="H19" s="20" t="s">
        <v>82</v>
      </c>
      <c r="I19" s="30">
        <v>371</v>
      </c>
      <c r="K19" s="3"/>
      <c r="L19" s="123"/>
      <c r="M19" s="21"/>
      <c r="N19" s="164"/>
      <c r="O19" s="157" t="s">
        <v>52</v>
      </c>
      <c r="P19" s="158">
        <v>54784</v>
      </c>
      <c r="Q19" s="159">
        <v>42499</v>
      </c>
    </row>
    <row r="20" spans="1:17" ht="15.75" x14ac:dyDescent="0.25">
      <c r="A20" s="124">
        <v>42514</v>
      </c>
      <c r="B20" s="123" t="s">
        <v>352</v>
      </c>
      <c r="C20" s="21">
        <v>15762</v>
      </c>
      <c r="D20" s="117">
        <v>42529</v>
      </c>
      <c r="E20" s="21">
        <v>15762</v>
      </c>
      <c r="F20" s="127">
        <f t="shared" si="0"/>
        <v>0</v>
      </c>
      <c r="G20" s="268">
        <v>42494</v>
      </c>
      <c r="H20" s="20" t="s">
        <v>83</v>
      </c>
      <c r="I20" s="30">
        <v>980</v>
      </c>
      <c r="K20" s="3"/>
      <c r="L20" s="123"/>
      <c r="M20" s="21"/>
      <c r="N20" s="164"/>
      <c r="O20" s="157" t="s">
        <v>52</v>
      </c>
      <c r="P20" s="158">
        <v>32500</v>
      </c>
      <c r="Q20" s="159">
        <v>42499</v>
      </c>
    </row>
    <row r="21" spans="1:17" ht="15.75" x14ac:dyDescent="0.25">
      <c r="A21" s="124">
        <v>42516</v>
      </c>
      <c r="B21" s="123" t="s">
        <v>353</v>
      </c>
      <c r="C21" s="21">
        <v>44201.06</v>
      </c>
      <c r="D21" s="117">
        <v>42529</v>
      </c>
      <c r="E21" s="21">
        <v>44201.06</v>
      </c>
      <c r="F21" s="127">
        <f t="shared" si="0"/>
        <v>0</v>
      </c>
      <c r="G21" s="268">
        <v>42496</v>
      </c>
      <c r="H21" s="20" t="s">
        <v>82</v>
      </c>
      <c r="I21" s="30">
        <v>553</v>
      </c>
      <c r="K21" s="3"/>
      <c r="L21" s="123"/>
      <c r="M21" s="21"/>
      <c r="N21" s="164"/>
      <c r="O21" s="157">
        <v>3261769</v>
      </c>
      <c r="P21" s="158">
        <v>26255.5</v>
      </c>
      <c r="Q21" s="159">
        <v>42500</v>
      </c>
    </row>
    <row r="22" spans="1:17" ht="15.75" x14ac:dyDescent="0.25">
      <c r="A22" s="124">
        <v>42516</v>
      </c>
      <c r="B22" s="123" t="s">
        <v>364</v>
      </c>
      <c r="C22" s="21">
        <v>32110</v>
      </c>
      <c r="D22" s="117">
        <v>42529</v>
      </c>
      <c r="E22" s="21">
        <v>32110</v>
      </c>
      <c r="F22" s="127">
        <f t="shared" si="0"/>
        <v>0</v>
      </c>
      <c r="G22" s="269">
        <v>42497</v>
      </c>
      <c r="H22" s="20" t="s">
        <v>326</v>
      </c>
      <c r="I22" s="30">
        <v>1392</v>
      </c>
      <c r="K22" s="3"/>
      <c r="L22" s="123"/>
      <c r="M22" s="26"/>
      <c r="N22" s="164"/>
      <c r="O22" s="157">
        <v>3281246</v>
      </c>
      <c r="P22" s="158">
        <v>0.76</v>
      </c>
      <c r="Q22" s="159"/>
    </row>
    <row r="23" spans="1:17" ht="15.75" x14ac:dyDescent="0.25">
      <c r="A23" s="124">
        <v>42516</v>
      </c>
      <c r="B23" s="123" t="s">
        <v>365</v>
      </c>
      <c r="C23" s="21">
        <v>32110</v>
      </c>
      <c r="D23" s="117">
        <v>42529</v>
      </c>
      <c r="E23" s="21">
        <v>32110</v>
      </c>
      <c r="F23" s="127">
        <f t="shared" si="0"/>
        <v>0</v>
      </c>
      <c r="G23" s="268">
        <v>42499</v>
      </c>
      <c r="H23" s="20" t="s">
        <v>82</v>
      </c>
      <c r="I23" s="3">
        <v>414</v>
      </c>
      <c r="K23" s="241">
        <f>SUM(K4:K22)</f>
        <v>590757.71</v>
      </c>
      <c r="L23" s="165"/>
      <c r="M23" s="166"/>
      <c r="N23" s="165"/>
      <c r="O23" s="240" t="s">
        <v>52</v>
      </c>
      <c r="P23" s="215"/>
      <c r="Q23" s="163"/>
    </row>
    <row r="24" spans="1:17" ht="15.75" x14ac:dyDescent="0.25">
      <c r="A24" s="124">
        <v>42517</v>
      </c>
      <c r="B24" s="123" t="s">
        <v>366</v>
      </c>
      <c r="C24" s="21">
        <v>14335.24</v>
      </c>
      <c r="D24" s="117">
        <v>42529</v>
      </c>
      <c r="E24" s="21">
        <v>14335.24</v>
      </c>
      <c r="F24" s="127">
        <f t="shared" si="0"/>
        <v>0</v>
      </c>
      <c r="G24" s="268">
        <v>42500</v>
      </c>
      <c r="H24" s="20" t="s">
        <v>83</v>
      </c>
      <c r="I24" s="30">
        <v>946</v>
      </c>
      <c r="L24" s="196"/>
      <c r="M24" s="26">
        <f>SUM(M4:M23)</f>
        <v>590759.65999999992</v>
      </c>
      <c r="N24" s="43"/>
      <c r="O24" s="219"/>
      <c r="P24" s="220">
        <f>SUM(P4:P23)</f>
        <v>590759.66</v>
      </c>
      <c r="Q24" s="218"/>
    </row>
    <row r="25" spans="1:17" x14ac:dyDescent="0.25">
      <c r="A25" s="124">
        <v>42518</v>
      </c>
      <c r="B25" s="123" t="s">
        <v>367</v>
      </c>
      <c r="C25" s="21">
        <v>75509.759999999995</v>
      </c>
      <c r="D25" s="117">
        <v>42529</v>
      </c>
      <c r="E25" s="21">
        <v>75509.759999999995</v>
      </c>
      <c r="F25" s="127">
        <f t="shared" si="0"/>
        <v>0</v>
      </c>
      <c r="G25" s="268">
        <v>42501</v>
      </c>
      <c r="H25" s="20" t="s">
        <v>385</v>
      </c>
      <c r="I25" s="30">
        <v>960</v>
      </c>
    </row>
    <row r="26" spans="1:17" x14ac:dyDescent="0.25">
      <c r="A26" s="124">
        <v>42520</v>
      </c>
      <c r="B26" s="123" t="s">
        <v>368</v>
      </c>
      <c r="C26" s="21">
        <v>29667</v>
      </c>
      <c r="D26" s="117">
        <v>42529</v>
      </c>
      <c r="E26" s="21">
        <v>29667</v>
      </c>
      <c r="F26" s="127">
        <f t="shared" si="0"/>
        <v>0</v>
      </c>
      <c r="G26" s="268">
        <v>42502</v>
      </c>
      <c r="H26" s="20" t="s">
        <v>123</v>
      </c>
      <c r="I26" s="30">
        <f>395+25</f>
        <v>420</v>
      </c>
    </row>
    <row r="27" spans="1:17" ht="15.75" thickBot="1" x14ac:dyDescent="0.3">
      <c r="A27" s="124">
        <v>42520</v>
      </c>
      <c r="B27" s="123" t="s">
        <v>369</v>
      </c>
      <c r="C27" s="21">
        <v>30351.09</v>
      </c>
      <c r="D27" s="117">
        <v>42529</v>
      </c>
      <c r="E27" s="21">
        <v>30351.09</v>
      </c>
      <c r="F27" s="127">
        <f t="shared" si="0"/>
        <v>0</v>
      </c>
      <c r="G27" s="268">
        <v>42503</v>
      </c>
      <c r="H27" s="20" t="s">
        <v>83</v>
      </c>
      <c r="I27" s="30">
        <v>894</v>
      </c>
    </row>
    <row r="28" spans="1:17" ht="19.5" thickBot="1" x14ac:dyDescent="0.35">
      <c r="A28" s="124">
        <v>42521</v>
      </c>
      <c r="B28" s="123" t="s">
        <v>370</v>
      </c>
      <c r="C28" s="21">
        <v>43477.02</v>
      </c>
      <c r="D28" s="117">
        <v>42529</v>
      </c>
      <c r="E28" s="21">
        <v>43477.02</v>
      </c>
      <c r="F28" s="127">
        <f t="shared" si="0"/>
        <v>0</v>
      </c>
      <c r="G28" s="268">
        <v>42504</v>
      </c>
      <c r="H28" s="20" t="s">
        <v>386</v>
      </c>
      <c r="I28" s="30">
        <v>23</v>
      </c>
      <c r="M28" s="146" t="s">
        <v>46</v>
      </c>
      <c r="N28" s="147"/>
      <c r="O28" s="148"/>
      <c r="P28" s="286">
        <v>42508</v>
      </c>
      <c r="Q28" s="150"/>
    </row>
    <row r="29" spans="1:17" ht="15.75" x14ac:dyDescent="0.25">
      <c r="A29" s="124"/>
      <c r="B29" s="123"/>
      <c r="C29" s="26"/>
      <c r="D29" s="130"/>
      <c r="E29" s="131"/>
      <c r="F29" s="127">
        <f t="shared" si="0"/>
        <v>0</v>
      </c>
      <c r="G29" s="268">
        <v>42506</v>
      </c>
      <c r="H29" s="20" t="s">
        <v>82</v>
      </c>
      <c r="I29" s="30">
        <f>372+881.6</f>
        <v>1253.5999999999999</v>
      </c>
      <c r="L29" s="151"/>
      <c r="M29" s="152"/>
      <c r="N29" s="151"/>
      <c r="O29" s="153"/>
      <c r="P29" s="152"/>
      <c r="Q29" s="154"/>
    </row>
    <row r="30" spans="1:17" ht="15.75" x14ac:dyDescent="0.25">
      <c r="A30" s="132"/>
      <c r="B30" s="123"/>
      <c r="C30" s="26"/>
      <c r="D30" s="130"/>
      <c r="E30" s="131"/>
      <c r="F30" s="127">
        <f>C30-E30</f>
        <v>0</v>
      </c>
      <c r="G30" s="268">
        <v>42510</v>
      </c>
      <c r="H30" s="20" t="s">
        <v>386</v>
      </c>
      <c r="I30" s="30">
        <v>20</v>
      </c>
      <c r="L30" s="155" t="s">
        <v>47</v>
      </c>
      <c r="M30" s="152" t="s">
        <v>48</v>
      </c>
      <c r="N30" s="151"/>
      <c r="O30" s="153" t="s">
        <v>49</v>
      </c>
      <c r="P30" s="152" t="s">
        <v>50</v>
      </c>
      <c r="Q30" s="154"/>
    </row>
    <row r="31" spans="1:17" ht="15.75" x14ac:dyDescent="0.25">
      <c r="A31" s="124"/>
      <c r="B31" s="123"/>
      <c r="C31" s="26"/>
      <c r="D31" s="133"/>
      <c r="E31" s="134"/>
      <c r="F31" s="127">
        <f>C31-E31</f>
        <v>0</v>
      </c>
      <c r="G31" s="268">
        <v>42511</v>
      </c>
      <c r="H31" t="s">
        <v>357</v>
      </c>
      <c r="I31" s="30">
        <v>240</v>
      </c>
      <c r="K31" s="30">
        <f>49500+25500</f>
        <v>75000</v>
      </c>
      <c r="L31" s="123" t="s">
        <v>299</v>
      </c>
      <c r="M31" s="21">
        <v>75000</v>
      </c>
      <c r="N31" s="156" t="s">
        <v>111</v>
      </c>
      <c r="O31" s="157">
        <v>3280922</v>
      </c>
      <c r="P31" s="158">
        <v>49500</v>
      </c>
      <c r="Q31" s="159">
        <v>42500</v>
      </c>
    </row>
    <row r="32" spans="1:17" ht="15.75" x14ac:dyDescent="0.25">
      <c r="A32" s="124"/>
      <c r="B32" s="123"/>
      <c r="C32" s="26"/>
      <c r="D32" s="133"/>
      <c r="E32" s="134"/>
      <c r="F32" s="127">
        <f>C32-E32</f>
        <v>0</v>
      </c>
      <c r="G32" s="268">
        <v>42512</v>
      </c>
      <c r="H32" t="s">
        <v>83</v>
      </c>
      <c r="I32" s="30">
        <v>795</v>
      </c>
      <c r="K32" s="30">
        <f>5000+6050+57500+1342+750</f>
        <v>70642</v>
      </c>
      <c r="L32" s="123" t="s">
        <v>301</v>
      </c>
      <c r="M32" s="21">
        <v>70642.02</v>
      </c>
      <c r="N32" s="160"/>
      <c r="O32" s="157" t="s">
        <v>52</v>
      </c>
      <c r="P32" s="158">
        <v>36550</v>
      </c>
      <c r="Q32" s="159">
        <v>42502</v>
      </c>
    </row>
    <row r="33" spans="1:17" ht="15.75" x14ac:dyDescent="0.25">
      <c r="A33" s="124"/>
      <c r="B33" s="123"/>
      <c r="C33" s="26"/>
      <c r="D33" s="121"/>
      <c r="E33" s="21"/>
      <c r="F33" s="127">
        <f>C33-E33</f>
        <v>0</v>
      </c>
      <c r="G33" s="268">
        <v>42513</v>
      </c>
      <c r="H33" t="s">
        <v>82</v>
      </c>
      <c r="I33" s="30">
        <v>381</v>
      </c>
      <c r="K33" s="30">
        <f>45000+9440.85</f>
        <v>54440.85</v>
      </c>
      <c r="L33" s="123" t="s">
        <v>302</v>
      </c>
      <c r="M33" s="21">
        <v>54440.85</v>
      </c>
      <c r="N33" s="160"/>
      <c r="O33" s="157" t="s">
        <v>52</v>
      </c>
      <c r="P33" s="158">
        <v>57500</v>
      </c>
      <c r="Q33" s="159">
        <v>42504</v>
      </c>
    </row>
    <row r="34" spans="1:17" ht="15.75" x14ac:dyDescent="0.25">
      <c r="A34" s="135"/>
      <c r="B34" s="126"/>
      <c r="C34" s="21"/>
      <c r="D34" s="133"/>
      <c r="E34" s="134"/>
      <c r="F34" s="136">
        <f>C34-E34</f>
        <v>0</v>
      </c>
      <c r="G34" s="268">
        <v>42514</v>
      </c>
      <c r="H34" t="s">
        <v>83</v>
      </c>
      <c r="I34" s="30">
        <v>978</v>
      </c>
      <c r="K34" s="30">
        <f>13342+33000</f>
        <v>46342</v>
      </c>
      <c r="L34" s="123" t="s">
        <v>303</v>
      </c>
      <c r="M34" s="26">
        <v>46342</v>
      </c>
      <c r="N34" s="161" t="s">
        <v>91</v>
      </c>
      <c r="O34" s="157" t="s">
        <v>52</v>
      </c>
      <c r="P34" s="158">
        <v>57566</v>
      </c>
      <c r="Q34" s="159">
        <v>42506</v>
      </c>
    </row>
    <row r="35" spans="1:17" ht="15.75" x14ac:dyDescent="0.25">
      <c r="A35" s="137"/>
      <c r="B35" s="128"/>
      <c r="C35" s="26"/>
      <c r="D35" s="138"/>
      <c r="E35" s="26"/>
      <c r="F35" s="136">
        <f t="shared" si="0"/>
        <v>0</v>
      </c>
      <c r="G35" s="268">
        <v>42515</v>
      </c>
      <c r="H35" t="s">
        <v>386</v>
      </c>
      <c r="I35" s="30">
        <v>25</v>
      </c>
      <c r="K35" s="30">
        <v>11221.8</v>
      </c>
      <c r="L35" s="125" t="s">
        <v>332</v>
      </c>
      <c r="M35" s="26">
        <v>11221.8</v>
      </c>
      <c r="N35" s="160"/>
      <c r="O35" s="157" t="s">
        <v>52</v>
      </c>
      <c r="P35" s="162">
        <v>44504</v>
      </c>
      <c r="Q35" s="163">
        <v>42506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>
        <v>42516</v>
      </c>
      <c r="H36" t="s">
        <v>83</v>
      </c>
      <c r="I36" s="30">
        <v>725</v>
      </c>
      <c r="K36" s="30">
        <v>1313</v>
      </c>
      <c r="L36" s="125" t="s">
        <v>334</v>
      </c>
      <c r="M36" s="26">
        <v>1313</v>
      </c>
      <c r="N36" s="160"/>
      <c r="O36" s="157">
        <v>3275353</v>
      </c>
      <c r="P36" s="162">
        <v>13342</v>
      </c>
      <c r="Q36" s="163">
        <v>42504</v>
      </c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>
        <v>42517</v>
      </c>
      <c r="H37" t="s">
        <v>66</v>
      </c>
      <c r="I37" s="30">
        <v>856</v>
      </c>
      <c r="K37" s="30"/>
      <c r="L37" s="123"/>
      <c r="M37" s="26"/>
      <c r="N37" s="160"/>
      <c r="O37" s="157"/>
      <c r="P37" s="162"/>
      <c r="Q37" s="163"/>
    </row>
    <row r="38" spans="1:17" ht="16.5" thickTop="1" x14ac:dyDescent="0.25">
      <c r="B38" s="37"/>
      <c r="C38" s="21">
        <f>SUM(C3:C37)</f>
        <v>1379270.5000000002</v>
      </c>
      <c r="D38" s="145"/>
      <c r="E38" s="30">
        <f>SUM(E3:E37)</f>
        <v>1379270.5000000002</v>
      </c>
      <c r="F38" s="30">
        <f>SUM(F3:F37)</f>
        <v>0</v>
      </c>
      <c r="G38" s="268">
        <v>42518</v>
      </c>
      <c r="H38" t="s">
        <v>387</v>
      </c>
      <c r="I38" s="3">
        <f>1094+480+385</f>
        <v>1959</v>
      </c>
      <c r="K38" s="30"/>
      <c r="L38" s="123"/>
      <c r="M38" s="21"/>
      <c r="N38" s="160"/>
      <c r="O38" s="157"/>
      <c r="P38" s="162"/>
      <c r="Q38" s="163"/>
    </row>
    <row r="39" spans="1:17" ht="15.75" x14ac:dyDescent="0.25">
      <c r="A39" s="20"/>
      <c r="G39" s="268">
        <v>42521</v>
      </c>
      <c r="H39" t="s">
        <v>83</v>
      </c>
      <c r="I39" s="3">
        <v>684</v>
      </c>
      <c r="K39" s="30"/>
      <c r="L39" s="123"/>
      <c r="M39" s="21"/>
      <c r="N39" s="232"/>
      <c r="O39" s="233"/>
      <c r="P39" s="234"/>
      <c r="Q39" s="235"/>
    </row>
    <row r="40" spans="1:17" ht="15.75" x14ac:dyDescent="0.25">
      <c r="A40" s="269"/>
      <c r="C40" s="30">
        <f>C38+I41</f>
        <v>1394172.1000000003</v>
      </c>
      <c r="I40" s="3">
        <v>0</v>
      </c>
      <c r="K40" s="241">
        <f>SUM(K31:K39)</f>
        <v>258959.65</v>
      </c>
      <c r="L40" s="165"/>
      <c r="M40" s="166"/>
      <c r="N40" s="165"/>
      <c r="O40" s="240" t="s">
        <v>52</v>
      </c>
      <c r="P40" s="215"/>
      <c r="Q40" s="163"/>
    </row>
    <row r="41" spans="1:17" ht="15.75" x14ac:dyDescent="0.25">
      <c r="A41" s="269"/>
      <c r="I41" s="290">
        <f>SUM(I18:I40)</f>
        <v>14901.6</v>
      </c>
      <c r="L41" s="196"/>
      <c r="M41" s="26">
        <f>SUM(M31:M40)</f>
        <v>258959.67</v>
      </c>
      <c r="N41" s="43"/>
      <c r="O41" s="219"/>
      <c r="P41" s="220">
        <f>SUM(P31:P40)</f>
        <v>258962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231">
        <v>42518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f>20919.6+29500</f>
        <v>50419.6</v>
      </c>
      <c r="L48" s="123" t="s">
        <v>303</v>
      </c>
      <c r="M48" s="26">
        <v>50419.5</v>
      </c>
      <c r="N48" s="156" t="s">
        <v>51</v>
      </c>
      <c r="O48" s="157">
        <v>3280930</v>
      </c>
      <c r="P48" s="158">
        <v>29500</v>
      </c>
      <c r="Q48" s="159">
        <v>42506</v>
      </c>
    </row>
    <row r="49" spans="11:17" customFormat="1" ht="15.75" x14ac:dyDescent="0.25">
      <c r="K49" s="30">
        <f>8053+11316+56000+40000+11946.8</f>
        <v>127315.8</v>
      </c>
      <c r="L49" s="125" t="s">
        <v>333</v>
      </c>
      <c r="M49" s="26">
        <v>127316.2</v>
      </c>
      <c r="N49" s="160"/>
      <c r="O49" s="157" t="s">
        <v>52</v>
      </c>
      <c r="P49" s="158">
        <v>8053</v>
      </c>
      <c r="Q49" s="159">
        <v>42510</v>
      </c>
    </row>
    <row r="50" spans="11:17" customFormat="1" ht="15.75" x14ac:dyDescent="0.25">
      <c r="K50" s="30">
        <f>24433.08+42000+30005</f>
        <v>96438.080000000002</v>
      </c>
      <c r="L50" s="125" t="s">
        <v>344</v>
      </c>
      <c r="M50" s="26">
        <v>96433.08</v>
      </c>
      <c r="N50" s="160"/>
      <c r="O50" s="157" t="s">
        <v>52</v>
      </c>
      <c r="P50" s="158">
        <v>53316</v>
      </c>
      <c r="Q50" s="159">
        <v>42511</v>
      </c>
    </row>
    <row r="51" spans="11:17" customFormat="1" ht="15.75" x14ac:dyDescent="0.25">
      <c r="K51" s="30">
        <f>8500+7886.1</f>
        <v>16386.099999999999</v>
      </c>
      <c r="L51" s="125" t="s">
        <v>345</v>
      </c>
      <c r="M51" s="26">
        <v>16386.099999999999</v>
      </c>
      <c r="N51" s="161"/>
      <c r="O51" s="157" t="s">
        <v>52</v>
      </c>
      <c r="P51" s="158">
        <v>56000</v>
      </c>
      <c r="Q51" s="159">
        <v>42513</v>
      </c>
    </row>
    <row r="52" spans="11:17" customFormat="1" ht="15.75" x14ac:dyDescent="0.25">
      <c r="K52" s="30">
        <f>16700+8714.6+29500+29050+27070.67</f>
        <v>111035.27</v>
      </c>
      <c r="L52" s="123" t="s">
        <v>348</v>
      </c>
      <c r="M52" s="21">
        <v>111035.27</v>
      </c>
      <c r="N52" s="160"/>
      <c r="O52" s="157" t="s">
        <v>52</v>
      </c>
      <c r="P52" s="162">
        <v>40000</v>
      </c>
      <c r="Q52" s="163">
        <v>42513</v>
      </c>
    </row>
    <row r="53" spans="11:17" customFormat="1" ht="15.75" x14ac:dyDescent="0.25">
      <c r="K53" s="30"/>
      <c r="L53" s="123"/>
      <c r="M53" s="21"/>
      <c r="N53" s="160"/>
      <c r="O53" s="157" t="s">
        <v>52</v>
      </c>
      <c r="P53" s="162">
        <v>28647</v>
      </c>
      <c r="Q53" s="163">
        <v>42514</v>
      </c>
    </row>
    <row r="54" spans="11:17" customFormat="1" ht="15.75" x14ac:dyDescent="0.25">
      <c r="K54" s="30"/>
      <c r="L54" s="123"/>
      <c r="M54" s="21"/>
      <c r="N54" s="160"/>
      <c r="O54" s="157">
        <v>3280935</v>
      </c>
      <c r="P54" s="162">
        <v>29500</v>
      </c>
      <c r="Q54" s="163">
        <v>42514</v>
      </c>
    </row>
    <row r="55" spans="11:17" customFormat="1" ht="15.75" x14ac:dyDescent="0.25">
      <c r="K55" s="30"/>
      <c r="L55" s="123"/>
      <c r="M55" s="21"/>
      <c r="N55" s="160"/>
      <c r="O55" s="157">
        <v>3359491</v>
      </c>
      <c r="P55" s="162">
        <v>8715</v>
      </c>
      <c r="Q55" s="163">
        <v>42513</v>
      </c>
    </row>
    <row r="56" spans="11:17" customFormat="1" ht="15.75" x14ac:dyDescent="0.25">
      <c r="K56" s="30"/>
      <c r="L56" s="123"/>
      <c r="M56" s="21"/>
      <c r="N56" s="160"/>
      <c r="O56" s="157" t="s">
        <v>52</v>
      </c>
      <c r="P56" s="162">
        <v>29050</v>
      </c>
      <c r="Q56" s="163">
        <v>42516</v>
      </c>
    </row>
    <row r="57" spans="11:17" customFormat="1" ht="15.75" x14ac:dyDescent="0.25">
      <c r="K57" s="30"/>
      <c r="L57" s="123"/>
      <c r="M57" s="21"/>
      <c r="N57" s="160"/>
      <c r="O57" s="157" t="s">
        <v>52</v>
      </c>
      <c r="P57" s="162">
        <v>27070.5</v>
      </c>
      <c r="Q57" s="163">
        <v>42517</v>
      </c>
    </row>
    <row r="58" spans="11:17" customFormat="1" ht="15.75" x14ac:dyDescent="0.25">
      <c r="K58" s="30"/>
      <c r="L58" s="123"/>
      <c r="M58" s="21"/>
      <c r="N58" s="160"/>
      <c r="O58" s="157" t="s">
        <v>52</v>
      </c>
      <c r="P58" s="162">
        <v>29420</v>
      </c>
      <c r="Q58" s="163">
        <v>42508</v>
      </c>
    </row>
    <row r="59" spans="11:17" customFormat="1" ht="15.75" x14ac:dyDescent="0.25">
      <c r="K59" s="30"/>
      <c r="L59" s="123"/>
      <c r="M59" s="21"/>
      <c r="N59" s="232"/>
      <c r="O59" s="233" t="s">
        <v>52</v>
      </c>
      <c r="P59" s="234">
        <v>32319.5</v>
      </c>
      <c r="Q59" s="235">
        <v>42509</v>
      </c>
    </row>
    <row r="60" spans="11:17" customFormat="1" ht="15.75" x14ac:dyDescent="0.25">
      <c r="K60" s="3"/>
      <c r="L60" s="123"/>
      <c r="M60" s="21"/>
      <c r="N60" s="164"/>
      <c r="O60" s="157" t="s">
        <v>52</v>
      </c>
      <c r="P60" s="158">
        <v>30005</v>
      </c>
      <c r="Q60" s="159">
        <v>42510</v>
      </c>
    </row>
    <row r="61" spans="11:17" customFormat="1" ht="15.75" x14ac:dyDescent="0.25">
      <c r="K61" s="3"/>
      <c r="L61" s="123"/>
      <c r="M61" s="21"/>
      <c r="N61" s="164"/>
      <c r="O61" s="157" t="s">
        <v>52</v>
      </c>
      <c r="P61" s="158">
        <v>0</v>
      </c>
      <c r="Q61" s="159"/>
    </row>
    <row r="62" spans="11:17" customFormat="1" ht="15.75" x14ac:dyDescent="0.25">
      <c r="K62" s="241">
        <f>SUM(K48:K61)</f>
        <v>401594.85</v>
      </c>
      <c r="L62" s="165"/>
      <c r="M62" s="166"/>
      <c r="N62" s="165"/>
      <c r="O62" s="240" t="s">
        <v>52</v>
      </c>
      <c r="P62" s="215">
        <v>0</v>
      </c>
      <c r="Q62" s="163"/>
    </row>
    <row r="63" spans="11:17" customFormat="1" ht="15.75" x14ac:dyDescent="0.25">
      <c r="L63" s="196"/>
      <c r="M63" s="26">
        <f>SUM(M48:M62)</f>
        <v>401590.15</v>
      </c>
      <c r="N63" s="43"/>
      <c r="O63" s="219"/>
      <c r="P63" s="220">
        <f>SUM(P48:P62)</f>
        <v>401596</v>
      </c>
      <c r="Q63" s="218"/>
    </row>
  </sheetData>
  <sortState ref="K50:M52">
    <sortCondition ref="L50:L52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workbookViewId="0">
      <selection activeCell="K17" sqref="K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29" t="s">
        <v>371</v>
      </c>
      <c r="D1" s="329"/>
      <c r="E1" s="329"/>
      <c r="F1" s="329"/>
      <c r="G1" s="329"/>
      <c r="H1" s="329"/>
      <c r="I1" s="329"/>
      <c r="J1" s="329"/>
      <c r="K1" s="32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231465.08</v>
      </c>
      <c r="D4" s="12"/>
      <c r="E4" s="330" t="s">
        <v>3</v>
      </c>
      <c r="F4" s="331"/>
      <c r="I4" s="332" t="s">
        <v>4</v>
      </c>
      <c r="J4" s="333"/>
      <c r="K4" s="333"/>
      <c r="L4" s="333"/>
      <c r="M4" s="13" t="s">
        <v>5</v>
      </c>
    </row>
    <row r="5" spans="1:19" ht="15.75" thickTop="1" x14ac:dyDescent="0.25">
      <c r="A5" s="14"/>
      <c r="B5" s="15">
        <v>42522</v>
      </c>
      <c r="C5" s="16">
        <v>43871.24</v>
      </c>
      <c r="D5" s="17" t="s">
        <v>391</v>
      </c>
      <c r="E5" s="18">
        <v>42522</v>
      </c>
      <c r="F5" s="19">
        <v>41796.129999999997</v>
      </c>
      <c r="G5" s="20"/>
      <c r="H5" s="186">
        <v>42522</v>
      </c>
      <c r="I5" s="187">
        <v>500</v>
      </c>
      <c r="J5" s="176"/>
      <c r="K5" s="188"/>
      <c r="L5" s="189"/>
      <c r="M5" s="190">
        <v>21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42523</v>
      </c>
      <c r="C6" s="16">
        <v>36801</v>
      </c>
      <c r="D6" s="22" t="s">
        <v>393</v>
      </c>
      <c r="E6" s="18">
        <v>42523</v>
      </c>
      <c r="F6" s="19">
        <v>37674.639999999999</v>
      </c>
      <c r="G6" s="23"/>
      <c r="H6" s="24">
        <v>42523</v>
      </c>
      <c r="I6" s="25">
        <v>0</v>
      </c>
      <c r="J6" s="26"/>
      <c r="K6" s="27" t="s">
        <v>7</v>
      </c>
      <c r="L6" s="28">
        <v>1075</v>
      </c>
      <c r="M6" s="33">
        <v>186</v>
      </c>
      <c r="N6" s="30"/>
      <c r="O6" s="20"/>
      <c r="P6" s="20"/>
      <c r="Q6" s="20"/>
    </row>
    <row r="7" spans="1:19" x14ac:dyDescent="0.25">
      <c r="A7" s="14"/>
      <c r="B7" s="15">
        <v>42524</v>
      </c>
      <c r="C7" s="16">
        <v>52010</v>
      </c>
      <c r="D7" s="17" t="s">
        <v>395</v>
      </c>
      <c r="E7" s="18">
        <v>42524</v>
      </c>
      <c r="F7" s="19">
        <v>54421.440000000002</v>
      </c>
      <c r="G7" s="20"/>
      <c r="H7" s="24">
        <v>42524</v>
      </c>
      <c r="I7" s="25">
        <v>56</v>
      </c>
      <c r="J7" s="26"/>
      <c r="K7" s="31" t="s">
        <v>8</v>
      </c>
      <c r="L7" s="28">
        <v>0</v>
      </c>
      <c r="M7" s="33">
        <v>265.5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42525</v>
      </c>
      <c r="C8" s="16">
        <v>79737.09</v>
      </c>
      <c r="D8" s="17" t="s">
        <v>396</v>
      </c>
      <c r="E8" s="18">
        <v>42525</v>
      </c>
      <c r="F8" s="19">
        <v>75239.42</v>
      </c>
      <c r="G8" s="20"/>
      <c r="H8" s="24">
        <v>42525</v>
      </c>
      <c r="I8" s="25">
        <v>207.4</v>
      </c>
      <c r="J8" s="26"/>
      <c r="K8" s="27" t="s">
        <v>10</v>
      </c>
      <c r="L8" s="32">
        <v>28750</v>
      </c>
      <c r="M8" s="33">
        <v>36.5</v>
      </c>
      <c r="N8" s="21"/>
      <c r="O8" s="20"/>
      <c r="P8" s="20"/>
      <c r="Q8" s="20"/>
    </row>
    <row r="9" spans="1:19" x14ac:dyDescent="0.25">
      <c r="A9" s="14"/>
      <c r="B9" s="15">
        <v>42526</v>
      </c>
      <c r="C9" s="16">
        <v>42002.52</v>
      </c>
      <c r="D9" s="17" t="s">
        <v>401</v>
      </c>
      <c r="E9" s="18">
        <v>42526</v>
      </c>
      <c r="F9" s="19">
        <v>44921.54</v>
      </c>
      <c r="G9" s="20"/>
      <c r="H9" s="24">
        <v>42526</v>
      </c>
      <c r="I9" s="25">
        <v>520</v>
      </c>
      <c r="J9" s="35"/>
      <c r="K9" s="27" t="s">
        <v>397</v>
      </c>
      <c r="L9" s="19">
        <v>11150</v>
      </c>
      <c r="M9" s="33">
        <v>85</v>
      </c>
      <c r="N9" s="21"/>
      <c r="O9" s="37"/>
      <c r="P9" s="20"/>
      <c r="Q9" s="20"/>
    </row>
    <row r="10" spans="1:19" x14ac:dyDescent="0.25">
      <c r="A10" s="14"/>
      <c r="B10" s="15">
        <v>42527</v>
      </c>
      <c r="C10" s="16">
        <v>46591</v>
      </c>
      <c r="D10" s="22" t="s">
        <v>408</v>
      </c>
      <c r="E10" s="18">
        <v>42527</v>
      </c>
      <c r="F10" s="19">
        <v>46653.52</v>
      </c>
      <c r="G10" s="20"/>
      <c r="H10" s="24">
        <v>42527</v>
      </c>
      <c r="I10" s="25">
        <v>0</v>
      </c>
      <c r="J10" s="35"/>
      <c r="K10" s="27" t="s">
        <v>398</v>
      </c>
      <c r="L10" s="19">
        <v>10921.42</v>
      </c>
      <c r="M10" s="33">
        <v>62.5</v>
      </c>
      <c r="N10" s="21"/>
      <c r="O10" s="20"/>
      <c r="P10" s="20"/>
      <c r="Q10" s="20"/>
    </row>
    <row r="11" spans="1:19" x14ac:dyDescent="0.25">
      <c r="A11" s="14"/>
      <c r="B11" s="15">
        <v>42528</v>
      </c>
      <c r="C11" s="16">
        <v>33672.400000000001</v>
      </c>
      <c r="D11" s="34" t="s">
        <v>409</v>
      </c>
      <c r="E11" s="18">
        <v>42528</v>
      </c>
      <c r="F11" s="19">
        <v>34301.71</v>
      </c>
      <c r="G11" s="20"/>
      <c r="H11" s="24">
        <v>42528</v>
      </c>
      <c r="I11" s="25">
        <v>0</v>
      </c>
      <c r="J11" s="35"/>
      <c r="K11" s="27" t="s">
        <v>399</v>
      </c>
      <c r="L11" s="19">
        <v>0</v>
      </c>
      <c r="M11" s="33">
        <v>927</v>
      </c>
      <c r="N11" s="36"/>
      <c r="O11" s="20"/>
      <c r="P11" s="20"/>
      <c r="Q11" s="20"/>
    </row>
    <row r="12" spans="1:19" x14ac:dyDescent="0.25">
      <c r="A12" s="14"/>
      <c r="B12" s="15">
        <v>42529</v>
      </c>
      <c r="C12" s="16">
        <v>31352.46</v>
      </c>
      <c r="D12" s="17" t="s">
        <v>410</v>
      </c>
      <c r="E12" s="18">
        <v>42529</v>
      </c>
      <c r="F12" s="19">
        <v>32363.57</v>
      </c>
      <c r="G12" s="20"/>
      <c r="H12" s="24">
        <v>42529</v>
      </c>
      <c r="I12" s="25">
        <v>968.7</v>
      </c>
      <c r="J12" s="35"/>
      <c r="K12" s="27" t="s">
        <v>400</v>
      </c>
      <c r="L12" s="19">
        <v>0</v>
      </c>
      <c r="M12" s="33">
        <v>41</v>
      </c>
      <c r="N12" s="21"/>
      <c r="O12" s="37"/>
      <c r="P12" s="38"/>
      <c r="Q12" s="20"/>
    </row>
    <row r="13" spans="1:19" x14ac:dyDescent="0.25">
      <c r="A13" s="14"/>
      <c r="B13" s="15">
        <v>42530</v>
      </c>
      <c r="C13" s="16">
        <v>37615.5</v>
      </c>
      <c r="D13" s="34" t="s">
        <v>410</v>
      </c>
      <c r="E13" s="18">
        <v>42530</v>
      </c>
      <c r="F13" s="19">
        <v>37615.379999999997</v>
      </c>
      <c r="G13" s="20"/>
      <c r="H13" s="24">
        <v>42530</v>
      </c>
      <c r="I13" s="25">
        <v>0</v>
      </c>
      <c r="J13" s="35"/>
      <c r="K13" s="27" t="s">
        <v>316</v>
      </c>
      <c r="L13" s="19">
        <v>0</v>
      </c>
      <c r="M13" s="33">
        <v>0</v>
      </c>
      <c r="N13" s="21"/>
      <c r="O13" s="20"/>
      <c r="P13" s="20"/>
      <c r="Q13" s="20"/>
    </row>
    <row r="14" spans="1:19" x14ac:dyDescent="0.25">
      <c r="A14" s="14"/>
      <c r="B14" s="15">
        <v>42531</v>
      </c>
      <c r="C14" s="16">
        <v>51618.57</v>
      </c>
      <c r="D14" s="17" t="s">
        <v>412</v>
      </c>
      <c r="E14" s="18">
        <v>42531</v>
      </c>
      <c r="F14" s="19">
        <v>54373.47</v>
      </c>
      <c r="G14" s="20"/>
      <c r="H14" s="24">
        <v>42531</v>
      </c>
      <c r="I14" s="25">
        <v>0</v>
      </c>
      <c r="J14" s="35"/>
      <c r="K14" s="40" t="s">
        <v>264</v>
      </c>
      <c r="L14" s="19">
        <v>0</v>
      </c>
      <c r="M14" s="33">
        <v>255</v>
      </c>
      <c r="N14" s="21"/>
      <c r="O14" s="20"/>
      <c r="P14" s="20"/>
      <c r="Q14" s="20"/>
    </row>
    <row r="15" spans="1:19" ht="15.75" x14ac:dyDescent="0.25">
      <c r="A15" s="14"/>
      <c r="B15" s="15">
        <v>42532</v>
      </c>
      <c r="C15" s="16">
        <v>73386.100000000006</v>
      </c>
      <c r="D15" s="17" t="s">
        <v>413</v>
      </c>
      <c r="E15" s="18">
        <v>42532</v>
      </c>
      <c r="F15" s="19">
        <v>73699.820000000007</v>
      </c>
      <c r="G15" s="20"/>
      <c r="H15" s="24">
        <v>42532</v>
      </c>
      <c r="I15" s="25">
        <v>0</v>
      </c>
      <c r="J15" s="35"/>
      <c r="K15" s="226" t="s">
        <v>11</v>
      </c>
      <c r="L15" s="19">
        <v>0</v>
      </c>
      <c r="M15" s="33">
        <v>314</v>
      </c>
      <c r="N15" s="30"/>
      <c r="O15" s="20"/>
      <c r="P15" s="20"/>
      <c r="Q15" s="20"/>
    </row>
    <row r="16" spans="1:19" ht="15.75" x14ac:dyDescent="0.25">
      <c r="A16" s="14"/>
      <c r="B16" s="15">
        <v>42533</v>
      </c>
      <c r="C16" s="16">
        <v>57000</v>
      </c>
      <c r="D16" s="17" t="s">
        <v>414</v>
      </c>
      <c r="E16" s="18">
        <v>42533</v>
      </c>
      <c r="F16" s="19">
        <v>64500.11</v>
      </c>
      <c r="G16" s="20"/>
      <c r="H16" s="24">
        <v>42533</v>
      </c>
      <c r="I16" s="25">
        <v>300</v>
      </c>
      <c r="J16" s="35"/>
      <c r="K16" s="251"/>
      <c r="L16" s="42">
        <v>0</v>
      </c>
      <c r="M16" s="33">
        <v>378.5</v>
      </c>
      <c r="N16" s="30"/>
      <c r="O16" s="20"/>
      <c r="P16" s="20"/>
      <c r="Q16" s="20"/>
    </row>
    <row r="17" spans="1:18" x14ac:dyDescent="0.25">
      <c r="A17" s="14"/>
      <c r="B17" s="15">
        <v>42534</v>
      </c>
      <c r="C17" s="16">
        <v>31655.24</v>
      </c>
      <c r="D17" s="17" t="s">
        <v>415</v>
      </c>
      <c r="E17" s="18">
        <v>42534</v>
      </c>
      <c r="F17" s="19">
        <v>32558.81</v>
      </c>
      <c r="G17" s="20"/>
      <c r="H17" s="24">
        <v>42534</v>
      </c>
      <c r="I17" s="25">
        <v>100</v>
      </c>
      <c r="J17" s="35"/>
      <c r="K17" s="265" t="s">
        <v>335</v>
      </c>
      <c r="L17" s="19">
        <v>0</v>
      </c>
      <c r="M17" s="33">
        <v>803.5</v>
      </c>
      <c r="N17" s="30"/>
      <c r="O17" s="20"/>
      <c r="P17" s="20"/>
      <c r="Q17" s="20"/>
    </row>
    <row r="18" spans="1:18" x14ac:dyDescent="0.25">
      <c r="A18" s="14"/>
      <c r="B18" s="15">
        <v>42535</v>
      </c>
      <c r="C18" s="16"/>
      <c r="D18" s="17"/>
      <c r="E18" s="18">
        <v>42535</v>
      </c>
      <c r="F18" s="19"/>
      <c r="G18" s="20"/>
      <c r="H18" s="24">
        <v>42535</v>
      </c>
      <c r="I18" s="25"/>
      <c r="J18" s="35"/>
      <c r="K18" s="283"/>
      <c r="L18" s="19">
        <v>0</v>
      </c>
      <c r="M18" s="33"/>
      <c r="N18" s="21"/>
      <c r="O18" s="37"/>
      <c r="P18" s="20"/>
      <c r="Q18" s="20"/>
    </row>
    <row r="19" spans="1:18" x14ac:dyDescent="0.25">
      <c r="A19" s="14"/>
      <c r="B19" s="15">
        <v>42536</v>
      </c>
      <c r="C19" s="16"/>
      <c r="D19" s="34"/>
      <c r="E19" s="18">
        <v>42536</v>
      </c>
      <c r="F19" s="19"/>
      <c r="G19" s="20"/>
      <c r="H19" s="24">
        <v>42536</v>
      </c>
      <c r="I19" s="25"/>
      <c r="J19" s="35"/>
      <c r="K19" s="43"/>
      <c r="L19" s="44">
        <v>0</v>
      </c>
      <c r="M19" s="33"/>
      <c r="N19" s="21"/>
      <c r="O19" s="20"/>
      <c r="P19" s="20"/>
      <c r="Q19" s="20"/>
    </row>
    <row r="20" spans="1:18" x14ac:dyDescent="0.25">
      <c r="A20" s="14"/>
      <c r="B20" s="15">
        <v>42537</v>
      </c>
      <c r="C20" s="16"/>
      <c r="D20" s="22"/>
      <c r="E20" s="18">
        <v>42537</v>
      </c>
      <c r="F20" s="19"/>
      <c r="G20" s="20"/>
      <c r="H20" s="24">
        <v>42537</v>
      </c>
      <c r="I20" s="45"/>
      <c r="J20" s="35"/>
      <c r="K20" s="46" t="s">
        <v>14</v>
      </c>
      <c r="L20" s="42">
        <v>0</v>
      </c>
      <c r="M20" s="33"/>
      <c r="N20" s="21"/>
      <c r="O20" s="20"/>
      <c r="P20" s="20"/>
      <c r="Q20" s="20"/>
    </row>
    <row r="21" spans="1:18" x14ac:dyDescent="0.25">
      <c r="A21" s="14"/>
      <c r="B21" s="15">
        <v>42538</v>
      </c>
      <c r="C21" s="16"/>
      <c r="D21" s="17"/>
      <c r="E21" s="18">
        <v>42538</v>
      </c>
      <c r="F21" s="19"/>
      <c r="G21" s="20"/>
      <c r="H21" s="24">
        <v>42538</v>
      </c>
      <c r="I21" s="45"/>
      <c r="J21" s="35"/>
      <c r="K21" s="47" t="s">
        <v>15</v>
      </c>
      <c r="L21" s="42">
        <v>0</v>
      </c>
      <c r="M21" s="33"/>
      <c r="N21" s="21"/>
      <c r="O21" s="37"/>
      <c r="P21" s="37"/>
      <c r="Q21" s="37"/>
      <c r="R21" s="37"/>
    </row>
    <row r="22" spans="1:18" x14ac:dyDescent="0.25">
      <c r="A22" s="14"/>
      <c r="B22" s="15">
        <v>42539</v>
      </c>
      <c r="C22" s="16"/>
      <c r="D22" s="17"/>
      <c r="E22" s="18">
        <v>42539</v>
      </c>
      <c r="F22" s="19"/>
      <c r="G22" s="20"/>
      <c r="H22" s="24">
        <v>42539</v>
      </c>
      <c r="I22" s="45"/>
      <c r="J22" s="48"/>
      <c r="K22" s="49" t="s">
        <v>29</v>
      </c>
      <c r="L22" s="42">
        <v>0</v>
      </c>
      <c r="M22" s="33"/>
      <c r="N22" s="30"/>
      <c r="O22" s="20"/>
      <c r="P22" s="20"/>
      <c r="Q22" s="20"/>
    </row>
    <row r="23" spans="1:18" x14ac:dyDescent="0.25">
      <c r="A23" s="14"/>
      <c r="B23" s="15">
        <v>42540</v>
      </c>
      <c r="C23" s="16"/>
      <c r="D23" s="259"/>
      <c r="E23" s="18">
        <v>42540</v>
      </c>
      <c r="F23" s="19"/>
      <c r="G23" s="20"/>
      <c r="H23" s="24">
        <v>42540</v>
      </c>
      <c r="I23" s="45"/>
      <c r="J23" s="26"/>
      <c r="K23" s="50"/>
      <c r="L23" s="42">
        <v>0</v>
      </c>
      <c r="M23" s="33"/>
      <c r="N23" s="30"/>
      <c r="O23" s="20"/>
      <c r="P23" s="20"/>
      <c r="Q23" s="20"/>
    </row>
    <row r="24" spans="1:18" x14ac:dyDescent="0.25">
      <c r="A24" s="14"/>
      <c r="B24" s="15">
        <v>42541</v>
      </c>
      <c r="C24" s="16"/>
      <c r="D24" s="17"/>
      <c r="E24" s="18">
        <v>42541</v>
      </c>
      <c r="F24" s="19"/>
      <c r="G24" s="20"/>
      <c r="H24" s="24">
        <v>42541</v>
      </c>
      <c r="I24" s="45"/>
      <c r="J24" s="35"/>
      <c r="K24" s="51" t="s">
        <v>270</v>
      </c>
      <c r="L24" s="42">
        <v>0</v>
      </c>
      <c r="M24" s="33"/>
      <c r="N24" s="30"/>
      <c r="O24" s="20"/>
      <c r="P24" s="20"/>
      <c r="Q24" s="20"/>
    </row>
    <row r="25" spans="1:18" x14ac:dyDescent="0.25">
      <c r="A25" s="14"/>
      <c r="B25" s="15">
        <v>42542</v>
      </c>
      <c r="C25" s="16"/>
      <c r="D25" s="259"/>
      <c r="E25" s="18">
        <v>42542</v>
      </c>
      <c r="F25" s="19"/>
      <c r="G25" s="20"/>
      <c r="H25" s="24">
        <v>42542</v>
      </c>
      <c r="I25" s="45"/>
      <c r="J25" s="26"/>
      <c r="K25" s="50"/>
      <c r="L25" s="42">
        <v>0</v>
      </c>
      <c r="M25" s="33"/>
      <c r="N25" s="21"/>
      <c r="O25" s="20"/>
      <c r="P25" s="20"/>
      <c r="Q25" s="20"/>
    </row>
    <row r="26" spans="1:18" x14ac:dyDescent="0.25">
      <c r="A26" s="14"/>
      <c r="B26" s="15">
        <v>42543</v>
      </c>
      <c r="C26" s="16"/>
      <c r="D26" s="17"/>
      <c r="E26" s="18">
        <v>42543</v>
      </c>
      <c r="F26" s="19"/>
      <c r="G26" s="20"/>
      <c r="H26" s="24">
        <v>42543</v>
      </c>
      <c r="I26" s="45"/>
      <c r="J26" s="52"/>
      <c r="K26" s="50"/>
      <c r="L26" s="42">
        <v>0</v>
      </c>
      <c r="M26" s="33"/>
      <c r="N26" s="21"/>
      <c r="O26" s="37"/>
      <c r="P26" s="38"/>
      <c r="Q26" s="20"/>
    </row>
    <row r="27" spans="1:18" x14ac:dyDescent="0.25">
      <c r="A27" s="14"/>
      <c r="B27" s="15">
        <v>42544</v>
      </c>
      <c r="C27" s="16"/>
      <c r="D27" s="17"/>
      <c r="E27" s="18">
        <v>42544</v>
      </c>
      <c r="F27" s="19"/>
      <c r="G27" s="20"/>
      <c r="H27" s="24">
        <v>42544</v>
      </c>
      <c r="I27" s="45"/>
      <c r="J27" s="26"/>
      <c r="K27" s="53" t="s">
        <v>394</v>
      </c>
      <c r="L27" s="42">
        <v>2500</v>
      </c>
      <c r="M27" s="33"/>
      <c r="N27" s="21"/>
      <c r="O27" s="20"/>
      <c r="P27" s="20"/>
      <c r="Q27" s="20"/>
    </row>
    <row r="28" spans="1:18" x14ac:dyDescent="0.25">
      <c r="A28" s="14"/>
      <c r="B28" s="15">
        <v>42545</v>
      </c>
      <c r="C28" s="16"/>
      <c r="D28" s="17"/>
      <c r="E28" s="18">
        <v>42545</v>
      </c>
      <c r="F28" s="19"/>
      <c r="G28" s="20"/>
      <c r="H28" s="24">
        <v>42545</v>
      </c>
      <c r="I28" s="45"/>
      <c r="J28" s="26"/>
      <c r="K28" s="300" t="s">
        <v>411</v>
      </c>
      <c r="L28" s="42">
        <v>2500</v>
      </c>
      <c r="M28" s="33"/>
      <c r="N28" s="30"/>
      <c r="O28" s="20"/>
      <c r="P28" s="20"/>
      <c r="Q28" s="20"/>
    </row>
    <row r="29" spans="1:18" x14ac:dyDescent="0.25">
      <c r="A29" s="14"/>
      <c r="B29" s="15">
        <v>42546</v>
      </c>
      <c r="C29" s="16"/>
      <c r="D29" s="17"/>
      <c r="E29" s="18">
        <v>42546</v>
      </c>
      <c r="F29" s="19"/>
      <c r="G29" s="20"/>
      <c r="H29" s="24">
        <v>42546</v>
      </c>
      <c r="I29" s="45"/>
      <c r="J29" s="26"/>
      <c r="K29" s="55" t="s">
        <v>372</v>
      </c>
      <c r="L29" s="56">
        <v>0</v>
      </c>
      <c r="M29" s="33"/>
      <c r="N29" s="30"/>
      <c r="O29" s="20"/>
      <c r="P29" s="20"/>
      <c r="Q29" s="20"/>
    </row>
    <row r="30" spans="1:18" ht="15.75" thickBot="1" x14ac:dyDescent="0.3">
      <c r="A30" s="14"/>
      <c r="B30" s="15">
        <v>42547</v>
      </c>
      <c r="C30" s="16"/>
      <c r="D30" s="17"/>
      <c r="E30" s="18">
        <v>42547</v>
      </c>
      <c r="F30" s="19"/>
      <c r="G30" s="20"/>
      <c r="H30" s="24">
        <v>42547</v>
      </c>
      <c r="I30" s="45"/>
      <c r="J30" s="52"/>
      <c r="K30" s="54" t="s">
        <v>373</v>
      </c>
      <c r="L30" s="56">
        <v>0</v>
      </c>
      <c r="M30" s="33"/>
      <c r="N30" s="30"/>
      <c r="O30" s="20"/>
      <c r="P30" s="20"/>
      <c r="Q30" s="20"/>
    </row>
    <row r="31" spans="1:18" x14ac:dyDescent="0.25">
      <c r="A31" s="14"/>
      <c r="B31" s="15">
        <v>42548</v>
      </c>
      <c r="C31" s="16"/>
      <c r="D31" s="17"/>
      <c r="E31" s="18">
        <v>42548</v>
      </c>
      <c r="F31" s="19"/>
      <c r="G31" s="20"/>
      <c r="H31" s="24">
        <v>42548</v>
      </c>
      <c r="I31" s="45"/>
      <c r="J31" s="35"/>
      <c r="K31" s="57" t="s">
        <v>374</v>
      </c>
      <c r="L31" s="334">
        <v>0</v>
      </c>
      <c r="M31" s="33"/>
      <c r="N31" s="21"/>
      <c r="O31" s="20"/>
      <c r="P31" s="20"/>
      <c r="Q31" s="20"/>
    </row>
    <row r="32" spans="1:18" ht="15.75" thickBot="1" x14ac:dyDescent="0.3">
      <c r="A32" s="14"/>
      <c r="B32" s="15">
        <v>42549</v>
      </c>
      <c r="C32" s="16"/>
      <c r="D32" s="17"/>
      <c r="E32" s="18">
        <v>42549</v>
      </c>
      <c r="F32" s="19"/>
      <c r="G32" s="20"/>
      <c r="H32" s="24">
        <v>42549</v>
      </c>
      <c r="I32" s="45"/>
      <c r="J32" s="26"/>
      <c r="K32" s="53"/>
      <c r="L32" s="335"/>
      <c r="M32" s="33"/>
      <c r="N32" s="30"/>
      <c r="O32" s="20"/>
      <c r="P32" s="20"/>
      <c r="Q32" s="20"/>
    </row>
    <row r="33" spans="1:17" x14ac:dyDescent="0.25">
      <c r="A33" s="14"/>
      <c r="B33" s="15">
        <v>42550</v>
      </c>
      <c r="C33" s="16"/>
      <c r="D33" s="34"/>
      <c r="E33" s="18">
        <v>42550</v>
      </c>
      <c r="F33" s="19"/>
      <c r="G33" s="20"/>
      <c r="H33" s="24">
        <v>42550</v>
      </c>
      <c r="I33" s="45"/>
      <c r="J33" s="26"/>
      <c r="K33" s="58"/>
      <c r="L33" s="336">
        <v>0</v>
      </c>
      <c r="M33" s="33"/>
      <c r="N33" s="21"/>
      <c r="O33" s="20"/>
      <c r="P33" s="20"/>
      <c r="Q33" s="20"/>
    </row>
    <row r="34" spans="1:17" ht="15.75" thickBot="1" x14ac:dyDescent="0.3">
      <c r="A34" s="14"/>
      <c r="B34" s="15">
        <v>42551</v>
      </c>
      <c r="C34" s="16"/>
      <c r="D34" s="17"/>
      <c r="E34" s="18">
        <v>42551</v>
      </c>
      <c r="F34" s="19"/>
      <c r="G34" s="20"/>
      <c r="H34" s="24">
        <v>42551</v>
      </c>
      <c r="I34" s="45"/>
      <c r="J34" s="26"/>
      <c r="K34" s="59"/>
      <c r="L34" s="337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3375.5</v>
      </c>
    </row>
    <row r="38" spans="1:17" x14ac:dyDescent="0.25">
      <c r="B38" s="82" t="s">
        <v>16</v>
      </c>
      <c r="C38" s="83">
        <f>SUM(C5:C37)</f>
        <v>617313.12</v>
      </c>
      <c r="E38" s="287" t="s">
        <v>16</v>
      </c>
      <c r="F38" s="85">
        <f>SUM(F5:F37)</f>
        <v>630119.56000000017</v>
      </c>
      <c r="H38" s="5" t="s">
        <v>16</v>
      </c>
      <c r="I38" s="86">
        <f>SUM(I5:I37)</f>
        <v>2652.1000000000004</v>
      </c>
      <c r="J38" s="86"/>
      <c r="K38" s="87" t="s">
        <v>16</v>
      </c>
      <c r="L38" s="88">
        <f>SUM(L5:L37)</f>
        <v>56896.42</v>
      </c>
    </row>
    <row r="40" spans="1:17" ht="15.75" x14ac:dyDescent="0.25">
      <c r="A40" s="89"/>
      <c r="B40" s="90"/>
      <c r="C40" s="26"/>
      <c r="D40" s="91"/>
      <c r="E40" s="92"/>
      <c r="F40" s="67"/>
      <c r="H40" s="325" t="s">
        <v>17</v>
      </c>
      <c r="I40" s="326"/>
      <c r="J40" s="289"/>
      <c r="K40" s="327">
        <f>I38+L38</f>
        <v>59548.52</v>
      </c>
      <c r="L40" s="328"/>
    </row>
    <row r="41" spans="1:17" ht="15.75" x14ac:dyDescent="0.25">
      <c r="B41" s="94"/>
      <c r="C41" s="67"/>
      <c r="D41" s="312" t="s">
        <v>18</v>
      </c>
      <c r="E41" s="312"/>
      <c r="F41" s="95">
        <f>F38-K40</f>
        <v>570571.04000000015</v>
      </c>
      <c r="I41" s="96"/>
      <c r="J41" s="96"/>
    </row>
    <row r="42" spans="1:17" ht="15.75" x14ac:dyDescent="0.25">
      <c r="D42" s="313" t="s">
        <v>193</v>
      </c>
      <c r="E42" s="313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570571.04000000015</v>
      </c>
      <c r="I44" s="314" t="s">
        <v>22</v>
      </c>
      <c r="J44" s="315"/>
      <c r="K44" s="318">
        <f>F48+L46</f>
        <v>570571.04000000015</v>
      </c>
      <c r="L44" s="319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316"/>
      <c r="J45" s="317"/>
      <c r="K45" s="320"/>
      <c r="L45" s="321"/>
    </row>
    <row r="46" spans="1:17" ht="17.25" thickTop="1" thickBot="1" x14ac:dyDescent="0.3">
      <c r="C46" s="85"/>
      <c r="D46" s="322" t="s">
        <v>25</v>
      </c>
      <c r="E46" s="322"/>
      <c r="F46" s="101">
        <v>0</v>
      </c>
      <c r="I46" s="323"/>
      <c r="J46" s="323"/>
      <c r="K46" s="324"/>
      <c r="L46" s="102"/>
    </row>
    <row r="47" spans="1:17" ht="19.5" thickBot="1" x14ac:dyDescent="0.35">
      <c r="C47" s="85"/>
      <c r="D47" s="287"/>
      <c r="E47" s="287"/>
      <c r="F47" s="103"/>
      <c r="H47" s="104"/>
      <c r="I47" s="288" t="s">
        <v>26</v>
      </c>
      <c r="J47" s="288"/>
      <c r="K47" s="305">
        <f>-C4</f>
        <v>-231465.08</v>
      </c>
      <c r="L47" s="306"/>
    </row>
    <row r="48" spans="1:17" ht="17.25" thickTop="1" thickBot="1" x14ac:dyDescent="0.3">
      <c r="E48" s="106" t="s">
        <v>27</v>
      </c>
      <c r="F48" s="107">
        <f>F44+F45+F46</f>
        <v>570571.04000000015</v>
      </c>
    </row>
    <row r="49" spans="2:14" ht="19.5" thickBot="1" x14ac:dyDescent="0.35">
      <c r="B49"/>
      <c r="C49"/>
      <c r="D49" s="307"/>
      <c r="E49" s="307"/>
      <c r="F49" s="67"/>
      <c r="I49" s="308" t="s">
        <v>28</v>
      </c>
      <c r="J49" s="309"/>
      <c r="K49" s="310">
        <f>K44+K47</f>
        <v>339105.9600000002</v>
      </c>
      <c r="L49" s="311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63"/>
  <sheetViews>
    <sheetView tabSelected="1" workbookViewId="0">
      <selection activeCell="H7" sqref="H7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2.5703125" bestFit="1" customWidth="1"/>
    <col min="13" max="13" width="15.140625" customWidth="1"/>
    <col min="16" max="16" width="20.140625" bestFit="1" customWidth="1"/>
    <col min="17" max="17" width="12.28515625" bestFit="1" customWidth="1"/>
  </cols>
  <sheetData>
    <row r="1" spans="1:17" ht="23.25" thickBot="1" x14ac:dyDescent="0.35">
      <c r="B1" s="109" t="s">
        <v>375</v>
      </c>
      <c r="C1" s="110"/>
      <c r="D1" s="111"/>
      <c r="F1" s="301">
        <v>42416</v>
      </c>
      <c r="G1" s="302">
        <v>956</v>
      </c>
      <c r="H1" s="303" t="s">
        <v>417</v>
      </c>
      <c r="I1" s="304">
        <v>2256.3000000000002</v>
      </c>
      <c r="J1" s="338" t="s">
        <v>418</v>
      </c>
      <c r="K1" s="338"/>
      <c r="M1" s="146" t="s">
        <v>46</v>
      </c>
      <c r="N1" s="147"/>
      <c r="O1" s="148"/>
      <c r="P1" s="231">
        <v>42529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42523</v>
      </c>
      <c r="B3" s="123" t="s">
        <v>377</v>
      </c>
      <c r="C3" s="26">
        <v>15146.6</v>
      </c>
      <c r="D3" s="117">
        <v>42536</v>
      </c>
      <c r="E3" s="21">
        <v>15146.6</v>
      </c>
      <c r="F3" s="118">
        <f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42523</v>
      </c>
      <c r="B4" s="123" t="s">
        <v>376</v>
      </c>
      <c r="C4" s="21">
        <v>31812</v>
      </c>
      <c r="D4" s="117" t="s">
        <v>420</v>
      </c>
      <c r="E4" s="21">
        <f>18219.52+13592.48</f>
        <v>31812</v>
      </c>
      <c r="F4" s="122">
        <f>C4-E4</f>
        <v>0</v>
      </c>
      <c r="K4" s="30">
        <v>63305.22</v>
      </c>
      <c r="L4" s="123" t="s">
        <v>349</v>
      </c>
      <c r="M4" s="21">
        <v>63305.22</v>
      </c>
      <c r="N4" s="156"/>
      <c r="O4" s="157">
        <v>3280937</v>
      </c>
      <c r="P4" s="158">
        <v>84591.5</v>
      </c>
      <c r="Q4" s="159">
        <v>42517</v>
      </c>
    </row>
    <row r="5" spans="1:17" ht="15.75" x14ac:dyDescent="0.25">
      <c r="A5" s="124">
        <v>42524</v>
      </c>
      <c r="B5" s="123" t="s">
        <v>378</v>
      </c>
      <c r="C5" s="26">
        <v>50844.4</v>
      </c>
      <c r="D5" s="117">
        <v>42536</v>
      </c>
      <c r="E5" s="21">
        <v>50844.4</v>
      </c>
      <c r="F5" s="122">
        <f>C5-E5</f>
        <v>0</v>
      </c>
      <c r="K5" s="30">
        <f>21286.59+21492</f>
        <v>42778.59</v>
      </c>
      <c r="L5" s="123" t="s">
        <v>350</v>
      </c>
      <c r="M5" s="21">
        <v>42778.59</v>
      </c>
      <c r="N5" s="160"/>
      <c r="O5" s="157" t="s">
        <v>52</v>
      </c>
      <c r="P5" s="158">
        <v>65728</v>
      </c>
      <c r="Q5" s="159">
        <v>42520</v>
      </c>
    </row>
    <row r="6" spans="1:17" ht="15.75" x14ac:dyDescent="0.25">
      <c r="A6" s="119">
        <v>42525</v>
      </c>
      <c r="B6" s="123" t="s">
        <v>379</v>
      </c>
      <c r="C6" s="21">
        <v>70652.460000000006</v>
      </c>
      <c r="D6" s="117">
        <v>42536</v>
      </c>
      <c r="E6" s="298">
        <v>70559.13</v>
      </c>
      <c r="F6" s="299">
        <f>C6-E6</f>
        <v>93.330000000001746</v>
      </c>
      <c r="K6" s="30">
        <f>44236+16500</f>
        <v>60736</v>
      </c>
      <c r="L6" s="123" t="s">
        <v>351</v>
      </c>
      <c r="M6" s="21">
        <v>60736</v>
      </c>
      <c r="N6" s="160"/>
      <c r="O6" s="157" t="s">
        <v>52</v>
      </c>
      <c r="P6" s="158">
        <v>33062</v>
      </c>
      <c r="Q6" s="159">
        <v>42520</v>
      </c>
    </row>
    <row r="7" spans="1:17" ht="15.75" x14ac:dyDescent="0.25">
      <c r="A7" s="119">
        <v>42526</v>
      </c>
      <c r="B7" s="123" t="s">
        <v>402</v>
      </c>
      <c r="C7" s="21">
        <v>32682.65</v>
      </c>
      <c r="D7" s="117">
        <v>42536</v>
      </c>
      <c r="E7" s="21">
        <v>32682.65</v>
      </c>
      <c r="F7" s="122">
        <f t="shared" ref="F7:F37" si="0">C7-E7</f>
        <v>0</v>
      </c>
      <c r="K7" s="30">
        <v>15762</v>
      </c>
      <c r="L7" s="123" t="s">
        <v>352</v>
      </c>
      <c r="M7" s="21">
        <v>15762</v>
      </c>
      <c r="N7" s="161"/>
      <c r="O7" s="157" t="s">
        <v>52</v>
      </c>
      <c r="P7" s="158">
        <v>36301.5</v>
      </c>
      <c r="Q7" s="159">
        <v>42521</v>
      </c>
    </row>
    <row r="8" spans="1:17" ht="15.75" x14ac:dyDescent="0.25">
      <c r="A8" s="119">
        <v>42527</v>
      </c>
      <c r="B8" s="123" t="s">
        <v>403</v>
      </c>
      <c r="C8" s="21">
        <v>32291</v>
      </c>
      <c r="D8" s="117">
        <v>42536</v>
      </c>
      <c r="E8" s="26">
        <v>32291</v>
      </c>
      <c r="F8" s="122">
        <f t="shared" si="0"/>
        <v>0</v>
      </c>
      <c r="K8" s="30">
        <f>14800+20400+9001</f>
        <v>44201</v>
      </c>
      <c r="L8" s="123" t="s">
        <v>353</v>
      </c>
      <c r="M8" s="21">
        <v>44201.06</v>
      </c>
      <c r="N8" s="160"/>
      <c r="O8" s="157" t="s">
        <v>52</v>
      </c>
      <c r="P8" s="162">
        <v>3747</v>
      </c>
      <c r="Q8" s="163">
        <v>42516</v>
      </c>
    </row>
    <row r="9" spans="1:17" ht="15.75" x14ac:dyDescent="0.25">
      <c r="A9" s="119">
        <v>42528</v>
      </c>
      <c r="B9" s="123" t="s">
        <v>404</v>
      </c>
      <c r="C9" s="21">
        <v>126376</v>
      </c>
      <c r="D9" s="117">
        <v>42536</v>
      </c>
      <c r="E9" s="26">
        <v>126376</v>
      </c>
      <c r="F9" s="122">
        <f t="shared" si="0"/>
        <v>0</v>
      </c>
      <c r="K9" s="30">
        <f>800+3747.2+6061.4+21501.4</f>
        <v>32110</v>
      </c>
      <c r="L9" s="123" t="s">
        <v>364</v>
      </c>
      <c r="M9" s="21">
        <v>32110</v>
      </c>
      <c r="N9" s="160"/>
      <c r="O9" s="157" t="s">
        <v>52</v>
      </c>
      <c r="P9" s="162">
        <v>6061.5</v>
      </c>
      <c r="Q9" s="163">
        <v>42520</v>
      </c>
    </row>
    <row r="10" spans="1:17" ht="15.75" x14ac:dyDescent="0.25">
      <c r="A10" s="119">
        <v>42530</v>
      </c>
      <c r="B10" s="123" t="s">
        <v>405</v>
      </c>
      <c r="C10" s="26">
        <v>16130.66</v>
      </c>
      <c r="D10" s="117">
        <v>42536</v>
      </c>
      <c r="E10" s="26">
        <v>16130.66</v>
      </c>
      <c r="F10" s="122">
        <f t="shared" si="0"/>
        <v>0</v>
      </c>
      <c r="K10" s="30">
        <f>20510+11600</f>
        <v>32110</v>
      </c>
      <c r="L10" s="123" t="s">
        <v>365</v>
      </c>
      <c r="M10" s="21">
        <v>32110</v>
      </c>
      <c r="N10" s="160"/>
      <c r="O10" s="157" t="s">
        <v>52</v>
      </c>
      <c r="P10" s="162">
        <v>20400</v>
      </c>
      <c r="Q10" s="163">
        <v>42522</v>
      </c>
    </row>
    <row r="11" spans="1:17" ht="15.75" x14ac:dyDescent="0.25">
      <c r="A11" s="119">
        <v>42530</v>
      </c>
      <c r="B11" s="125" t="s">
        <v>406</v>
      </c>
      <c r="C11" s="26">
        <v>1699.08</v>
      </c>
      <c r="D11" s="117">
        <v>42536</v>
      </c>
      <c r="E11" s="26">
        <v>1699.08</v>
      </c>
      <c r="F11" s="127">
        <f t="shared" si="0"/>
        <v>0</v>
      </c>
      <c r="K11" s="30">
        <v>14335.24</v>
      </c>
      <c r="L11" s="123" t="s">
        <v>366</v>
      </c>
      <c r="M11" s="21">
        <v>14335.24</v>
      </c>
      <c r="N11" s="160"/>
      <c r="O11" s="157" t="s">
        <v>52</v>
      </c>
      <c r="P11" s="162">
        <v>43846</v>
      </c>
      <c r="Q11" s="163">
        <v>42523</v>
      </c>
    </row>
    <row r="12" spans="1:17" ht="15.75" x14ac:dyDescent="0.25">
      <c r="A12" s="119">
        <v>42531</v>
      </c>
      <c r="B12" s="125" t="s">
        <v>407</v>
      </c>
      <c r="C12" s="26">
        <v>133071.75</v>
      </c>
      <c r="D12" s="117"/>
      <c r="E12" s="26"/>
      <c r="F12" s="127">
        <f t="shared" si="0"/>
        <v>133071.75</v>
      </c>
      <c r="K12" s="30">
        <f>24500+51009.76</f>
        <v>75509.760000000009</v>
      </c>
      <c r="L12" s="123" t="s">
        <v>367</v>
      </c>
      <c r="M12" s="21">
        <v>75509.759999999995</v>
      </c>
      <c r="N12" s="160"/>
      <c r="O12" s="157" t="s">
        <v>52</v>
      </c>
      <c r="P12" s="162">
        <v>36100</v>
      </c>
      <c r="Q12" s="163">
        <v>42524</v>
      </c>
    </row>
    <row r="13" spans="1:17" ht="15.75" x14ac:dyDescent="0.25">
      <c r="A13" s="119">
        <v>42532</v>
      </c>
      <c r="B13" s="125" t="s">
        <v>422</v>
      </c>
      <c r="C13" s="26">
        <v>39269.5</v>
      </c>
      <c r="D13" s="117"/>
      <c r="E13" s="26"/>
      <c r="F13" s="127">
        <f t="shared" si="0"/>
        <v>39269.5</v>
      </c>
      <c r="K13" s="30">
        <f>1000+28667</f>
        <v>29667</v>
      </c>
      <c r="L13" s="123" t="s">
        <v>368</v>
      </c>
      <c r="M13" s="21">
        <v>29667</v>
      </c>
      <c r="N13" s="160"/>
      <c r="O13" s="157">
        <v>3280940</v>
      </c>
      <c r="P13" s="162">
        <v>52010</v>
      </c>
      <c r="Q13" s="163">
        <v>42524</v>
      </c>
    </row>
    <row r="14" spans="1:17" ht="15.75" x14ac:dyDescent="0.25">
      <c r="A14" s="119">
        <v>42533</v>
      </c>
      <c r="B14" s="125" t="s">
        <v>421</v>
      </c>
      <c r="C14" s="26">
        <v>752.4</v>
      </c>
      <c r="D14" s="117"/>
      <c r="E14" s="26"/>
      <c r="F14" s="127">
        <f t="shared" si="0"/>
        <v>752.4</v>
      </c>
      <c r="K14" s="30">
        <v>30361.09</v>
      </c>
      <c r="L14" s="123" t="s">
        <v>369</v>
      </c>
      <c r="M14" s="21">
        <v>30351.09</v>
      </c>
      <c r="N14" s="160"/>
      <c r="O14" s="157" t="s">
        <v>52</v>
      </c>
      <c r="P14" s="162">
        <v>1917</v>
      </c>
      <c r="Q14" s="163">
        <v>42521</v>
      </c>
    </row>
    <row r="15" spans="1:17" ht="15.75" x14ac:dyDescent="0.25">
      <c r="A15" s="124">
        <v>42534</v>
      </c>
      <c r="B15" s="123" t="s">
        <v>427</v>
      </c>
      <c r="C15" s="21">
        <v>44769.120000000003</v>
      </c>
      <c r="D15" s="117"/>
      <c r="E15" s="26"/>
      <c r="F15" s="127">
        <f t="shared" si="0"/>
        <v>44769.120000000003</v>
      </c>
      <c r="K15" s="30">
        <f>1917+17977+23583.02</f>
        <v>43477.020000000004</v>
      </c>
      <c r="L15" s="123" t="s">
        <v>370</v>
      </c>
      <c r="M15" s="21">
        <v>43477.02</v>
      </c>
      <c r="N15" s="232"/>
      <c r="O15" s="233" t="s">
        <v>52</v>
      </c>
      <c r="P15" s="234">
        <v>77005</v>
      </c>
      <c r="Q15" s="235">
        <v>42527</v>
      </c>
    </row>
    <row r="16" spans="1:17" ht="15.75" x14ac:dyDescent="0.25">
      <c r="A16" s="119">
        <v>42535</v>
      </c>
      <c r="B16" s="125" t="s">
        <v>423</v>
      </c>
      <c r="C16" s="26">
        <v>8909.6</v>
      </c>
      <c r="D16" s="117"/>
      <c r="E16" s="21"/>
      <c r="F16" s="127">
        <f t="shared" si="0"/>
        <v>8909.6</v>
      </c>
      <c r="K16" s="3">
        <v>18210</v>
      </c>
      <c r="L16" s="123" t="s">
        <v>376</v>
      </c>
      <c r="M16" s="21">
        <v>18219.52</v>
      </c>
      <c r="N16" s="164" t="s">
        <v>91</v>
      </c>
      <c r="O16" s="157" t="s">
        <v>52</v>
      </c>
      <c r="P16" s="158">
        <v>41793</v>
      </c>
      <c r="Q16" s="159">
        <v>42527</v>
      </c>
    </row>
    <row r="17" spans="1:17" ht="15.75" x14ac:dyDescent="0.25">
      <c r="A17" s="124">
        <v>42537</v>
      </c>
      <c r="B17" s="123" t="s">
        <v>424</v>
      </c>
      <c r="C17" s="21">
        <v>34572.800000000003</v>
      </c>
      <c r="D17" s="117"/>
      <c r="E17" s="21"/>
      <c r="F17" s="127">
        <f t="shared" si="0"/>
        <v>34572.800000000003</v>
      </c>
      <c r="K17" s="3"/>
      <c r="L17" s="123"/>
      <c r="M17" s="26"/>
      <c r="N17" s="164"/>
      <c r="O17" s="157"/>
      <c r="P17" s="158">
        <v>0</v>
      </c>
      <c r="Q17" s="159"/>
    </row>
    <row r="18" spans="1:17" ht="15.75" x14ac:dyDescent="0.25">
      <c r="A18" s="124">
        <v>42537</v>
      </c>
      <c r="B18" s="123" t="s">
        <v>425</v>
      </c>
      <c r="C18" s="21">
        <v>56787.7</v>
      </c>
      <c r="D18" s="117"/>
      <c r="E18" s="21"/>
      <c r="F18" s="127">
        <f t="shared" si="0"/>
        <v>56787.7</v>
      </c>
      <c r="G18" s="268">
        <v>42522</v>
      </c>
      <c r="H18" s="20" t="s">
        <v>392</v>
      </c>
      <c r="I18" s="30">
        <v>25</v>
      </c>
      <c r="K18" s="241">
        <f>SUM(K4:K17)</f>
        <v>502562.92000000004</v>
      </c>
      <c r="L18" s="165"/>
      <c r="M18" s="166"/>
      <c r="N18" s="165"/>
      <c r="O18" s="240"/>
      <c r="P18" s="215">
        <v>0</v>
      </c>
      <c r="Q18" s="163"/>
    </row>
    <row r="19" spans="1:17" ht="15.75" x14ac:dyDescent="0.25">
      <c r="A19" s="124">
        <v>42537</v>
      </c>
      <c r="B19" s="123" t="s">
        <v>426</v>
      </c>
      <c r="C19" s="21">
        <v>1269.0999999999999</v>
      </c>
      <c r="D19" s="117"/>
      <c r="E19" s="21"/>
      <c r="F19" s="127">
        <f t="shared" si="0"/>
        <v>1269.0999999999999</v>
      </c>
      <c r="G19" s="268">
        <v>42523</v>
      </c>
      <c r="H19" s="20" t="s">
        <v>83</v>
      </c>
      <c r="I19" s="30">
        <v>701</v>
      </c>
      <c r="L19" s="196"/>
      <c r="M19" s="26">
        <f>SUM(M4:M18)</f>
        <v>502562.50000000006</v>
      </c>
      <c r="N19" s="43"/>
      <c r="O19" s="219"/>
      <c r="P19" s="220">
        <f>SUM(P4:P18)</f>
        <v>502562.5</v>
      </c>
      <c r="Q19" s="218"/>
    </row>
    <row r="20" spans="1:17" x14ac:dyDescent="0.25">
      <c r="A20" s="124"/>
      <c r="B20" s="123"/>
      <c r="C20" s="21"/>
      <c r="D20" s="117"/>
      <c r="E20" s="21"/>
      <c r="F20" s="127">
        <f t="shared" si="0"/>
        <v>0</v>
      </c>
      <c r="G20" s="268">
        <v>42525</v>
      </c>
      <c r="H20" s="20" t="s">
        <v>83</v>
      </c>
      <c r="I20" s="30">
        <v>815</v>
      </c>
    </row>
    <row r="21" spans="1:17" x14ac:dyDescent="0.25">
      <c r="A21" s="124"/>
      <c r="B21" s="123"/>
      <c r="C21" s="21"/>
      <c r="D21" s="117"/>
      <c r="E21" s="21"/>
      <c r="F21" s="127">
        <f t="shared" si="0"/>
        <v>0</v>
      </c>
      <c r="G21" s="268">
        <v>42526</v>
      </c>
      <c r="H21" s="20" t="s">
        <v>82</v>
      </c>
      <c r="I21" s="30">
        <v>207.5</v>
      </c>
    </row>
    <row r="22" spans="1:17" ht="15.75" thickBot="1" x14ac:dyDescent="0.3">
      <c r="A22" s="124"/>
      <c r="B22" s="123"/>
      <c r="C22" s="21"/>
      <c r="D22" s="117"/>
      <c r="E22" s="21"/>
      <c r="F22" s="127">
        <f t="shared" si="0"/>
        <v>0</v>
      </c>
      <c r="G22" s="269">
        <v>42528</v>
      </c>
      <c r="H22" s="20" t="s">
        <v>83</v>
      </c>
      <c r="I22" s="30">
        <v>672</v>
      </c>
    </row>
    <row r="23" spans="1:17" ht="19.5" thickBot="1" x14ac:dyDescent="0.35">
      <c r="A23" s="124"/>
      <c r="B23" s="123"/>
      <c r="C23" s="21"/>
      <c r="D23" s="117"/>
      <c r="E23" s="21"/>
      <c r="F23" s="127">
        <f t="shared" si="0"/>
        <v>0</v>
      </c>
      <c r="G23" s="268">
        <v>42531</v>
      </c>
      <c r="H23" s="20" t="s">
        <v>120</v>
      </c>
      <c r="I23" s="30">
        <v>951</v>
      </c>
      <c r="M23" s="146" t="s">
        <v>46</v>
      </c>
      <c r="N23" s="147"/>
      <c r="O23" s="148"/>
      <c r="P23" s="195">
        <v>42536</v>
      </c>
      <c r="Q23" s="150"/>
    </row>
    <row r="24" spans="1:17" ht="15.75" x14ac:dyDescent="0.25">
      <c r="A24" s="124"/>
      <c r="B24" s="123"/>
      <c r="C24" s="21"/>
      <c r="D24" s="117"/>
      <c r="E24" s="21"/>
      <c r="F24" s="127">
        <f t="shared" si="0"/>
        <v>0</v>
      </c>
      <c r="G24" s="268">
        <v>42532</v>
      </c>
      <c r="H24" s="20" t="s">
        <v>416</v>
      </c>
      <c r="I24" s="30">
        <v>720</v>
      </c>
      <c r="L24" s="151"/>
      <c r="M24" s="152"/>
      <c r="N24" s="151"/>
      <c r="O24" s="153"/>
      <c r="P24" s="152"/>
      <c r="Q24" s="154"/>
    </row>
    <row r="25" spans="1:17" ht="15.75" x14ac:dyDescent="0.25">
      <c r="A25" s="124"/>
      <c r="B25" s="123"/>
      <c r="C25" s="21"/>
      <c r="D25" s="117"/>
      <c r="E25" s="21"/>
      <c r="F25" s="127">
        <f t="shared" si="0"/>
        <v>0</v>
      </c>
      <c r="G25" s="268">
        <v>42534</v>
      </c>
      <c r="H25" s="20" t="s">
        <v>120</v>
      </c>
      <c r="I25" s="30">
        <v>1224.5999999999999</v>
      </c>
      <c r="L25" s="155" t="s">
        <v>47</v>
      </c>
      <c r="M25" s="152" t="s">
        <v>48</v>
      </c>
      <c r="N25" s="151"/>
      <c r="O25" s="153" t="s">
        <v>49</v>
      </c>
      <c r="P25" s="152" t="s">
        <v>50</v>
      </c>
      <c r="Q25" s="154"/>
    </row>
    <row r="26" spans="1:17" ht="15.75" x14ac:dyDescent="0.25">
      <c r="A26" s="124"/>
      <c r="B26" s="123"/>
      <c r="C26" s="21"/>
      <c r="D26" s="117"/>
      <c r="E26" s="21"/>
      <c r="F26" s="127">
        <f t="shared" si="0"/>
        <v>0</v>
      </c>
      <c r="G26" s="268"/>
      <c r="I26" s="30"/>
      <c r="K26" s="30">
        <v>15146.6</v>
      </c>
      <c r="L26" s="123" t="s">
        <v>377</v>
      </c>
      <c r="M26" s="26">
        <v>15146.6</v>
      </c>
      <c r="N26" s="156"/>
      <c r="O26" s="157">
        <v>3280942</v>
      </c>
      <c r="P26" s="158">
        <v>46591</v>
      </c>
      <c r="Q26" s="159">
        <v>42527</v>
      </c>
    </row>
    <row r="27" spans="1:17" ht="15.75" x14ac:dyDescent="0.25">
      <c r="A27" s="124"/>
      <c r="B27" s="123"/>
      <c r="C27" s="21"/>
      <c r="D27" s="121"/>
      <c r="E27" s="36"/>
      <c r="F27" s="127">
        <f t="shared" si="0"/>
        <v>0</v>
      </c>
      <c r="K27" s="30">
        <v>13600</v>
      </c>
      <c r="L27" s="123" t="s">
        <v>376</v>
      </c>
      <c r="M27" s="21">
        <v>13592.48</v>
      </c>
      <c r="N27" s="156" t="s">
        <v>51</v>
      </c>
      <c r="O27" s="157" t="s">
        <v>52</v>
      </c>
      <c r="P27" s="158">
        <v>33000</v>
      </c>
      <c r="Q27" s="159">
        <v>42529</v>
      </c>
    </row>
    <row r="28" spans="1:17" ht="15.75" x14ac:dyDescent="0.25">
      <c r="A28" s="124"/>
      <c r="B28" s="123"/>
      <c r="C28" s="21"/>
      <c r="D28" s="129"/>
      <c r="E28" s="36"/>
      <c r="F28" s="127">
        <f t="shared" si="0"/>
        <v>0</v>
      </c>
      <c r="K28" s="30">
        <f>17844.4+33000</f>
        <v>50844.4</v>
      </c>
      <c r="L28" s="123" t="s">
        <v>378</v>
      </c>
      <c r="M28" s="26">
        <v>50844.4</v>
      </c>
      <c r="N28" s="160"/>
      <c r="O28" s="157" t="s">
        <v>52</v>
      </c>
      <c r="P28" s="158">
        <v>31350</v>
      </c>
      <c r="Q28" s="159">
        <v>42530</v>
      </c>
    </row>
    <row r="29" spans="1:17" ht="15.75" x14ac:dyDescent="0.25">
      <c r="A29" s="124"/>
      <c r="B29" s="123"/>
      <c r="C29" s="26"/>
      <c r="D29" s="130"/>
      <c r="E29" s="131"/>
      <c r="F29" s="127">
        <f t="shared" si="0"/>
        <v>0</v>
      </c>
      <c r="K29" s="30">
        <f>31350+37615.5+1584.92</f>
        <v>70550.42</v>
      </c>
      <c r="L29" s="123" t="s">
        <v>379</v>
      </c>
      <c r="M29" s="21">
        <v>70559.13</v>
      </c>
      <c r="N29" s="161" t="s">
        <v>419</v>
      </c>
      <c r="O29" s="157" t="s">
        <v>52</v>
      </c>
      <c r="P29" s="158">
        <v>37615.5</v>
      </c>
      <c r="Q29" s="159">
        <v>42531</v>
      </c>
    </row>
    <row r="30" spans="1:17" ht="15.75" x14ac:dyDescent="0.25">
      <c r="A30" s="132"/>
      <c r="B30" s="123"/>
      <c r="C30" s="26"/>
      <c r="D30" s="130"/>
      <c r="E30" s="131"/>
      <c r="F30" s="127">
        <f>C30-E30</f>
        <v>0</v>
      </c>
      <c r="K30" s="30">
        <v>32682.65</v>
      </c>
      <c r="L30" s="123" t="s">
        <v>402</v>
      </c>
      <c r="M30" s="21">
        <v>32682.65</v>
      </c>
      <c r="N30" s="161"/>
      <c r="O30" s="157" t="s">
        <v>52</v>
      </c>
      <c r="P30" s="162">
        <v>58267</v>
      </c>
      <c r="Q30" s="163">
        <v>42534</v>
      </c>
    </row>
    <row r="31" spans="1:17" ht="15.75" x14ac:dyDescent="0.25">
      <c r="A31" s="124"/>
      <c r="B31" s="123"/>
      <c r="C31" s="26"/>
      <c r="D31" s="133"/>
      <c r="E31" s="134"/>
      <c r="F31" s="127">
        <f>C31-E31</f>
        <v>0</v>
      </c>
      <c r="K31" s="30">
        <f>15891+16400</f>
        <v>32291</v>
      </c>
      <c r="L31" s="123" t="s">
        <v>403</v>
      </c>
      <c r="M31" s="21">
        <v>32291</v>
      </c>
      <c r="N31" s="160"/>
      <c r="O31" s="157" t="s">
        <v>52</v>
      </c>
      <c r="P31" s="162">
        <v>6187.5</v>
      </c>
      <c r="Q31" s="163">
        <v>42527</v>
      </c>
    </row>
    <row r="32" spans="1:17" ht="15.75" x14ac:dyDescent="0.25">
      <c r="A32" s="124"/>
      <c r="B32" s="123"/>
      <c r="C32" s="26"/>
      <c r="D32" s="133"/>
      <c r="E32" s="134"/>
      <c r="F32" s="127">
        <f>C32-E32</f>
        <v>0</v>
      </c>
      <c r="K32" s="30">
        <f>42376+6187.1+8212+57000+12600.9</f>
        <v>126376</v>
      </c>
      <c r="L32" s="123" t="s">
        <v>404</v>
      </c>
      <c r="M32" s="21">
        <v>126376</v>
      </c>
      <c r="N32" s="160"/>
      <c r="O32" s="157" t="s">
        <v>52</v>
      </c>
      <c r="P32" s="162">
        <v>8212</v>
      </c>
      <c r="Q32" s="163">
        <v>42529</v>
      </c>
    </row>
    <row r="33" spans="1:17" ht="15.75" x14ac:dyDescent="0.25">
      <c r="A33" s="124"/>
      <c r="B33" s="123"/>
      <c r="C33" s="26"/>
      <c r="D33" s="121"/>
      <c r="E33" s="21"/>
      <c r="F33" s="127">
        <f>C33-E33</f>
        <v>0</v>
      </c>
      <c r="K33" s="30">
        <v>16130.66</v>
      </c>
      <c r="L33" s="123" t="s">
        <v>405</v>
      </c>
      <c r="M33" s="26">
        <v>16130.66</v>
      </c>
      <c r="N33" s="160"/>
      <c r="O33" s="157" t="s">
        <v>52</v>
      </c>
      <c r="P33" s="162">
        <v>57000</v>
      </c>
      <c r="Q33" s="163">
        <v>42534</v>
      </c>
    </row>
    <row r="34" spans="1:17" ht="15.75" x14ac:dyDescent="0.25">
      <c r="A34" s="135"/>
      <c r="B34" s="126"/>
      <c r="C34" s="21"/>
      <c r="D34" s="133"/>
      <c r="E34" s="134"/>
      <c r="F34" s="136">
        <f>C34-E34</f>
        <v>0</v>
      </c>
      <c r="K34" s="30">
        <v>1699.08</v>
      </c>
      <c r="L34" s="125" t="s">
        <v>406</v>
      </c>
      <c r="M34" s="26">
        <v>1699.08</v>
      </c>
      <c r="N34" s="160"/>
      <c r="O34" s="157" t="s">
        <v>52</v>
      </c>
      <c r="P34" s="162">
        <v>50667.5</v>
      </c>
      <c r="Q34" s="163">
        <v>42531</v>
      </c>
    </row>
    <row r="35" spans="1:17" ht="15.75" x14ac:dyDescent="0.25">
      <c r="A35" s="137"/>
      <c r="B35" s="128"/>
      <c r="C35" s="26"/>
      <c r="D35" s="138"/>
      <c r="E35" s="26"/>
      <c r="F35" s="136">
        <f t="shared" si="0"/>
        <v>0</v>
      </c>
      <c r="K35" s="30"/>
      <c r="L35" s="125"/>
      <c r="M35" s="26"/>
      <c r="N35" s="160"/>
      <c r="O35" s="157">
        <v>3280940</v>
      </c>
      <c r="P35" s="162">
        <v>30431.5</v>
      </c>
      <c r="Q35" s="163">
        <v>42535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K36" s="30"/>
      <c r="L36" s="125"/>
      <c r="M36" s="26"/>
      <c r="N36" s="160"/>
      <c r="O36" s="157" t="s">
        <v>52</v>
      </c>
      <c r="P36" s="162"/>
      <c r="Q36" s="163"/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K37" s="30"/>
      <c r="L37" s="123"/>
      <c r="M37" s="21"/>
      <c r="N37" s="232"/>
      <c r="O37" s="233" t="s">
        <v>52</v>
      </c>
      <c r="P37" s="234"/>
      <c r="Q37" s="235"/>
    </row>
    <row r="38" spans="1:17" ht="16.5" thickTop="1" x14ac:dyDescent="0.25">
      <c r="B38" s="37"/>
      <c r="C38" s="21">
        <f>SUM(C3:C37)</f>
        <v>697036.82</v>
      </c>
      <c r="D38" s="145"/>
      <c r="E38" s="30">
        <f>SUM(E3:E37)</f>
        <v>377541.52</v>
      </c>
      <c r="F38" s="30">
        <f>SUM(F3:F37)</f>
        <v>319495.3</v>
      </c>
      <c r="K38" s="3"/>
      <c r="L38" s="123"/>
      <c r="M38" s="21"/>
      <c r="N38" s="164"/>
      <c r="O38" s="157" t="s">
        <v>52</v>
      </c>
      <c r="P38" s="158"/>
      <c r="Q38" s="159"/>
    </row>
    <row r="39" spans="1:17" ht="15.75" x14ac:dyDescent="0.25">
      <c r="A39" s="20"/>
      <c r="K39" s="3"/>
      <c r="L39" s="123"/>
      <c r="M39" s="26"/>
      <c r="N39" s="164"/>
      <c r="O39" s="157"/>
      <c r="P39" s="158">
        <v>0</v>
      </c>
      <c r="Q39" s="159"/>
    </row>
    <row r="40" spans="1:17" ht="15.75" x14ac:dyDescent="0.25">
      <c r="A40" s="269"/>
      <c r="K40" s="241">
        <f>SUM(K26:K39)</f>
        <v>359320.80999999994</v>
      </c>
      <c r="L40" s="165"/>
      <c r="M40" s="166"/>
      <c r="N40" s="165"/>
      <c r="O40" s="240"/>
      <c r="P40" s="215">
        <v>0</v>
      </c>
      <c r="Q40" s="163"/>
    </row>
    <row r="41" spans="1:17" ht="15.75" x14ac:dyDescent="0.25">
      <c r="A41" s="269"/>
      <c r="L41" s="196"/>
      <c r="M41" s="26">
        <f>SUM(M26:M40)</f>
        <v>359322</v>
      </c>
      <c r="N41" s="43"/>
      <c r="O41" s="219"/>
      <c r="P41" s="220">
        <f>SUM(P26:P40)</f>
        <v>359322</v>
      </c>
      <c r="Q41" s="218"/>
    </row>
    <row r="42" spans="1:17" x14ac:dyDescent="0.25">
      <c r="A42" s="269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sortState ref="A12:C19">
    <sortCondition ref="B12:B19"/>
  </sortState>
  <mergeCells count="1">
    <mergeCell ref="J1:K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workbookViewId="0">
      <selection activeCell="L20" sqref="L20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5" t="s">
        <v>135</v>
      </c>
      <c r="C4" s="256"/>
      <c r="D4" s="165"/>
      <c r="E4" s="211" t="s">
        <v>137</v>
      </c>
      <c r="F4" s="212" t="s">
        <v>138</v>
      </c>
      <c r="I4" s="216" t="s">
        <v>144</v>
      </c>
      <c r="J4" s="252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4">
        <f>C5-E5</f>
        <v>3000</v>
      </c>
      <c r="I5" s="165" t="s">
        <v>136</v>
      </c>
      <c r="J5" s="213">
        <v>1500</v>
      </c>
      <c r="K5" s="165"/>
      <c r="L5" s="214">
        <v>0</v>
      </c>
      <c r="M5" s="254">
        <f>J5-L5</f>
        <v>1500</v>
      </c>
    </row>
    <row r="6" spans="1:13" ht="15.75" x14ac:dyDescent="0.25">
      <c r="B6" s="165"/>
      <c r="C6" s="215"/>
      <c r="D6" s="165"/>
      <c r="E6" s="214"/>
      <c r="F6" s="254">
        <f>F5-E6</f>
        <v>3000</v>
      </c>
      <c r="I6" s="165"/>
      <c r="J6" s="215"/>
      <c r="K6" s="165"/>
      <c r="L6" s="214"/>
      <c r="M6" s="254">
        <f>M5+J6-L6</f>
        <v>1500</v>
      </c>
    </row>
    <row r="7" spans="1:13" ht="15.75" x14ac:dyDescent="0.25">
      <c r="A7" s="89" t="s">
        <v>194</v>
      </c>
      <c r="B7" s="257">
        <v>42414</v>
      </c>
      <c r="C7" s="215">
        <v>0</v>
      </c>
      <c r="D7" s="165"/>
      <c r="E7" s="214"/>
      <c r="F7" s="254">
        <f t="shared" ref="F7:F25" si="0">F6-E7</f>
        <v>3000</v>
      </c>
      <c r="I7" s="165"/>
      <c r="J7" s="215"/>
      <c r="K7" s="165"/>
      <c r="L7" s="214"/>
      <c r="M7" s="254">
        <f t="shared" ref="M7:M28" si="1">M6+J7-L7</f>
        <v>1500</v>
      </c>
    </row>
    <row r="8" spans="1:13" ht="15.75" x14ac:dyDescent="0.25">
      <c r="A8" s="89" t="s">
        <v>194</v>
      </c>
      <c r="B8" s="257">
        <v>42421</v>
      </c>
      <c r="C8" s="215">
        <v>0</v>
      </c>
      <c r="D8" s="165"/>
      <c r="E8" s="214"/>
      <c r="F8" s="254">
        <f t="shared" si="0"/>
        <v>3000</v>
      </c>
      <c r="I8" s="253">
        <v>42407</v>
      </c>
      <c r="J8" s="215"/>
      <c r="K8" s="165"/>
      <c r="L8" s="214">
        <v>300</v>
      </c>
      <c r="M8" s="254">
        <f t="shared" si="1"/>
        <v>1200</v>
      </c>
    </row>
    <row r="9" spans="1:13" ht="15.75" x14ac:dyDescent="0.25">
      <c r="A9" s="89" t="s">
        <v>194</v>
      </c>
      <c r="B9" s="257">
        <v>42428</v>
      </c>
      <c r="C9" s="215">
        <v>0</v>
      </c>
      <c r="D9" s="165"/>
      <c r="E9" s="214"/>
      <c r="F9" s="254">
        <f t="shared" si="0"/>
        <v>3000</v>
      </c>
      <c r="I9" s="253">
        <v>42414</v>
      </c>
      <c r="J9" s="215"/>
      <c r="K9" s="165"/>
      <c r="L9" s="214">
        <v>300</v>
      </c>
      <c r="M9" s="254">
        <f t="shared" si="1"/>
        <v>900</v>
      </c>
    </row>
    <row r="10" spans="1:13" ht="15.75" x14ac:dyDescent="0.25">
      <c r="A10" s="89" t="s">
        <v>194</v>
      </c>
      <c r="B10" s="257">
        <v>42435</v>
      </c>
      <c r="C10" s="215">
        <v>0</v>
      </c>
      <c r="D10" s="165"/>
      <c r="E10" s="214"/>
      <c r="F10" s="254">
        <f t="shared" si="0"/>
        <v>3000</v>
      </c>
      <c r="I10" s="253">
        <v>42421</v>
      </c>
      <c r="J10" s="215"/>
      <c r="K10" s="165"/>
      <c r="L10" s="214">
        <v>300</v>
      </c>
      <c r="M10" s="254">
        <f t="shared" si="1"/>
        <v>600</v>
      </c>
    </row>
    <row r="11" spans="1:13" ht="15.75" x14ac:dyDescent="0.25">
      <c r="A11" s="89" t="s">
        <v>194</v>
      </c>
      <c r="B11" s="257">
        <v>42442</v>
      </c>
      <c r="C11" s="215">
        <v>0</v>
      </c>
      <c r="D11" s="165"/>
      <c r="E11" s="214"/>
      <c r="F11" s="254">
        <f t="shared" si="0"/>
        <v>3000</v>
      </c>
      <c r="I11" s="253">
        <v>42448</v>
      </c>
      <c r="J11" s="215"/>
      <c r="K11" s="165"/>
      <c r="L11" s="214">
        <v>300</v>
      </c>
      <c r="M11" s="254">
        <f t="shared" si="1"/>
        <v>300</v>
      </c>
    </row>
    <row r="12" spans="1:13" ht="15.75" x14ac:dyDescent="0.25">
      <c r="B12" s="257"/>
      <c r="C12" s="215"/>
      <c r="D12" s="165"/>
      <c r="E12" s="214"/>
      <c r="F12" s="254">
        <f t="shared" si="0"/>
        <v>3000</v>
      </c>
      <c r="I12" s="253">
        <v>42451</v>
      </c>
      <c r="J12" s="215"/>
      <c r="K12" s="165"/>
      <c r="L12" s="214">
        <v>300</v>
      </c>
      <c r="M12" s="254">
        <f t="shared" si="1"/>
        <v>0</v>
      </c>
    </row>
    <row r="13" spans="1:13" ht="15.75" x14ac:dyDescent="0.25">
      <c r="B13" s="257">
        <v>42451</v>
      </c>
      <c r="C13" s="215"/>
      <c r="D13" s="165"/>
      <c r="E13" s="214">
        <v>3000</v>
      </c>
      <c r="F13" s="254">
        <f t="shared" si="0"/>
        <v>0</v>
      </c>
      <c r="I13" s="253"/>
      <c r="J13" s="215"/>
      <c r="K13" s="165"/>
      <c r="L13" s="214"/>
      <c r="M13" s="254">
        <f t="shared" si="1"/>
        <v>0</v>
      </c>
    </row>
    <row r="14" spans="1:13" ht="15.75" x14ac:dyDescent="0.25">
      <c r="B14" s="257"/>
      <c r="C14" s="215"/>
      <c r="D14" s="165"/>
      <c r="E14" s="214"/>
      <c r="F14" s="254">
        <f t="shared" si="0"/>
        <v>0</v>
      </c>
      <c r="I14" s="253">
        <v>42450</v>
      </c>
      <c r="J14" s="215">
        <v>2500</v>
      </c>
      <c r="K14" s="165"/>
      <c r="L14" s="214"/>
      <c r="M14" s="254">
        <f t="shared" si="1"/>
        <v>2500</v>
      </c>
    </row>
    <row r="15" spans="1:13" ht="15.75" x14ac:dyDescent="0.25">
      <c r="B15" s="257"/>
      <c r="C15" s="215"/>
      <c r="D15" s="165"/>
      <c r="E15" s="214"/>
      <c r="F15" s="254">
        <f t="shared" si="0"/>
        <v>0</v>
      </c>
      <c r="I15" s="253">
        <v>42457</v>
      </c>
      <c r="J15" s="215"/>
      <c r="K15" s="165"/>
      <c r="L15" s="214">
        <v>500</v>
      </c>
      <c r="M15" s="254">
        <f t="shared" si="1"/>
        <v>2000</v>
      </c>
    </row>
    <row r="16" spans="1:13" ht="15.75" x14ac:dyDescent="0.25">
      <c r="B16" s="257"/>
      <c r="C16" s="215"/>
      <c r="D16" s="165"/>
      <c r="E16" s="214"/>
      <c r="F16" s="254">
        <f t="shared" si="0"/>
        <v>0</v>
      </c>
      <c r="I16" s="253">
        <v>42474</v>
      </c>
      <c r="J16" s="215"/>
      <c r="K16" s="165"/>
      <c r="L16" s="214">
        <v>500</v>
      </c>
      <c r="M16" s="254">
        <f t="shared" si="1"/>
        <v>1500</v>
      </c>
    </row>
    <row r="17" spans="2:13" ht="15.75" x14ac:dyDescent="0.25">
      <c r="B17" s="257"/>
      <c r="C17" s="215"/>
      <c r="D17" s="165"/>
      <c r="E17" s="214"/>
      <c r="F17" s="254">
        <f t="shared" si="0"/>
        <v>0</v>
      </c>
      <c r="I17" s="253">
        <v>42485</v>
      </c>
      <c r="J17" s="215"/>
      <c r="K17" s="165"/>
      <c r="L17" s="214">
        <v>500</v>
      </c>
      <c r="M17" s="254">
        <f t="shared" si="1"/>
        <v>1000</v>
      </c>
    </row>
    <row r="18" spans="2:13" ht="15.75" x14ac:dyDescent="0.25">
      <c r="B18" s="257"/>
      <c r="C18" s="215"/>
      <c r="D18" s="165"/>
      <c r="E18" s="214"/>
      <c r="F18" s="254">
        <f t="shared" si="0"/>
        <v>0</v>
      </c>
      <c r="I18" s="253">
        <v>42498</v>
      </c>
      <c r="J18" s="215"/>
      <c r="K18" s="165"/>
      <c r="L18" s="214">
        <v>500</v>
      </c>
      <c r="M18" s="254">
        <f t="shared" si="1"/>
        <v>500</v>
      </c>
    </row>
    <row r="19" spans="2:13" ht="15.75" x14ac:dyDescent="0.25">
      <c r="B19" s="257"/>
      <c r="C19" s="215"/>
      <c r="D19" s="165"/>
      <c r="E19" s="214"/>
      <c r="F19" s="254">
        <f t="shared" si="0"/>
        <v>0</v>
      </c>
      <c r="I19" s="253">
        <v>42506</v>
      </c>
      <c r="J19" s="215"/>
      <c r="K19" s="165"/>
      <c r="L19" s="214">
        <v>500</v>
      </c>
      <c r="M19" s="254">
        <f t="shared" si="1"/>
        <v>0</v>
      </c>
    </row>
    <row r="20" spans="2:13" ht="15.75" x14ac:dyDescent="0.25">
      <c r="B20" s="257"/>
      <c r="C20" s="215"/>
      <c r="D20" s="165"/>
      <c r="E20" s="214"/>
      <c r="F20" s="254">
        <f t="shared" si="0"/>
        <v>0</v>
      </c>
      <c r="I20" s="253"/>
      <c r="J20" s="215"/>
      <c r="K20" s="165"/>
      <c r="L20" s="214"/>
      <c r="M20" s="254">
        <f t="shared" si="1"/>
        <v>0</v>
      </c>
    </row>
    <row r="21" spans="2:13" ht="15.75" x14ac:dyDescent="0.25">
      <c r="B21" s="257"/>
      <c r="C21" s="215"/>
      <c r="D21" s="165"/>
      <c r="E21" s="214"/>
      <c r="F21" s="254">
        <f t="shared" si="0"/>
        <v>0</v>
      </c>
      <c r="I21" s="253"/>
      <c r="J21" s="215"/>
      <c r="K21" s="165"/>
      <c r="L21" s="214"/>
      <c r="M21" s="254">
        <f t="shared" si="1"/>
        <v>0</v>
      </c>
    </row>
    <row r="22" spans="2:13" ht="15.75" x14ac:dyDescent="0.25">
      <c r="B22" s="257"/>
      <c r="C22" s="215"/>
      <c r="D22" s="165"/>
      <c r="E22" s="214"/>
      <c r="F22" s="254">
        <f t="shared" si="0"/>
        <v>0</v>
      </c>
      <c r="I22" s="253"/>
      <c r="J22" s="215"/>
      <c r="K22" s="165"/>
      <c r="L22" s="214"/>
      <c r="M22" s="254">
        <f t="shared" si="1"/>
        <v>0</v>
      </c>
    </row>
    <row r="23" spans="2:13" ht="15.75" x14ac:dyDescent="0.25">
      <c r="B23" s="257"/>
      <c r="C23" s="215"/>
      <c r="D23" s="165"/>
      <c r="E23" s="214"/>
      <c r="F23" s="254">
        <f t="shared" si="0"/>
        <v>0</v>
      </c>
      <c r="I23" s="253"/>
      <c r="J23" s="215"/>
      <c r="K23" s="165"/>
      <c r="L23" s="214"/>
      <c r="M23" s="254">
        <f t="shared" si="1"/>
        <v>0</v>
      </c>
    </row>
    <row r="24" spans="2:13" ht="15.75" x14ac:dyDescent="0.25">
      <c r="B24" s="257"/>
      <c r="C24" s="215"/>
      <c r="D24" s="165"/>
      <c r="E24" s="214"/>
      <c r="F24" s="254">
        <f t="shared" si="0"/>
        <v>0</v>
      </c>
      <c r="I24" s="253"/>
      <c r="J24" s="215"/>
      <c r="K24" s="165"/>
      <c r="L24" s="214"/>
      <c r="M24" s="254">
        <f t="shared" si="1"/>
        <v>0</v>
      </c>
    </row>
    <row r="25" spans="2:13" x14ac:dyDescent="0.25">
      <c r="B25" s="257"/>
      <c r="C25" s="165"/>
      <c r="D25" s="165"/>
      <c r="E25" s="214"/>
      <c r="F25" s="254">
        <f t="shared" si="0"/>
        <v>0</v>
      </c>
      <c r="I25" s="253"/>
      <c r="J25" s="165"/>
      <c r="K25" s="165"/>
      <c r="L25" s="214"/>
      <c r="M25" s="254">
        <f t="shared" si="1"/>
        <v>0</v>
      </c>
    </row>
    <row r="26" spans="2:13" x14ac:dyDescent="0.25">
      <c r="B26" s="257"/>
      <c r="C26" s="165"/>
      <c r="D26" s="165"/>
      <c r="E26" s="214"/>
      <c r="F26" s="165"/>
      <c r="I26" s="253"/>
      <c r="J26" s="165"/>
      <c r="K26" s="165"/>
      <c r="L26" s="214"/>
      <c r="M26" s="254">
        <f t="shared" si="1"/>
        <v>0</v>
      </c>
    </row>
    <row r="27" spans="2:13" x14ac:dyDescent="0.25">
      <c r="B27" s="165"/>
      <c r="C27" s="165"/>
      <c r="D27" s="165"/>
      <c r="E27" s="214"/>
      <c r="F27" s="165"/>
      <c r="I27" s="253"/>
      <c r="J27" s="165"/>
      <c r="K27" s="165"/>
      <c r="L27" s="214"/>
      <c r="M27" s="254">
        <f t="shared" si="1"/>
        <v>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/>
      <c r="M28" s="254">
        <f t="shared" si="1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19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29" t="s">
        <v>102</v>
      </c>
      <c r="D1" s="329"/>
      <c r="E1" s="329"/>
      <c r="F1" s="329"/>
      <c r="G1" s="329"/>
      <c r="H1" s="329"/>
      <c r="I1" s="329"/>
      <c r="J1" s="329"/>
      <c r="K1" s="32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330" t="s">
        <v>3</v>
      </c>
      <c r="F4" s="331"/>
      <c r="I4" s="332" t="s">
        <v>4</v>
      </c>
      <c r="J4" s="333"/>
      <c r="K4" s="333"/>
      <c r="L4" s="333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49" t="s">
        <v>183</v>
      </c>
      <c r="L23" s="250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"/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334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335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336">
        <v>0</v>
      </c>
      <c r="M33" s="33">
        <f>35620+6770</f>
        <v>42390</v>
      </c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337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325" t="s">
        <v>17</v>
      </c>
      <c r="I40" s="326"/>
      <c r="J40" s="185"/>
      <c r="K40" s="327">
        <f>I38+L38</f>
        <v>103546.62</v>
      </c>
      <c r="L40" s="328"/>
    </row>
    <row r="41" spans="1:17" ht="15.75" x14ac:dyDescent="0.25">
      <c r="B41" s="94"/>
      <c r="C41" s="67"/>
      <c r="D41" s="312" t="s">
        <v>18</v>
      </c>
      <c r="E41" s="312"/>
      <c r="F41" s="95">
        <f>F38-K40</f>
        <v>1373954.38</v>
      </c>
      <c r="I41" s="96"/>
      <c r="J41" s="96"/>
    </row>
    <row r="42" spans="1:17" ht="15.75" x14ac:dyDescent="0.25">
      <c r="D42" s="313" t="s">
        <v>19</v>
      </c>
      <c r="E42" s="313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314" t="s">
        <v>22</v>
      </c>
      <c r="J44" s="315"/>
      <c r="K44" s="318">
        <f>F48+L46</f>
        <v>216330.54999999984</v>
      </c>
      <c r="L44" s="319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316"/>
      <c r="J45" s="317"/>
      <c r="K45" s="320"/>
      <c r="L45" s="321"/>
    </row>
    <row r="46" spans="1:17" ht="17.25" thickTop="1" thickBot="1" x14ac:dyDescent="0.3">
      <c r="C46" s="85"/>
      <c r="D46" s="322" t="s">
        <v>25</v>
      </c>
      <c r="E46" s="322"/>
      <c r="F46" s="101">
        <v>114962.92</v>
      </c>
      <c r="I46" s="323"/>
      <c r="J46" s="323"/>
      <c r="K46" s="324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305">
        <f>-C4</f>
        <v>-170511.25</v>
      </c>
      <c r="L47" s="306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307"/>
      <c r="E49" s="307"/>
      <c r="F49" s="67"/>
      <c r="I49" s="308" t="s">
        <v>28</v>
      </c>
      <c r="J49" s="309"/>
      <c r="K49" s="310">
        <f>K44+K47</f>
        <v>45819.299999999843</v>
      </c>
      <c r="L49" s="311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G1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sortState ref="A17:F27">
    <sortCondition ref="B17:B27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8" workbookViewId="0">
      <selection activeCell="H52" sqref="H5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29" t="s">
        <v>170</v>
      </c>
      <c r="D1" s="329"/>
      <c r="E1" s="329"/>
      <c r="F1" s="329"/>
      <c r="G1" s="329"/>
      <c r="H1" s="329"/>
      <c r="I1" s="329"/>
      <c r="J1" s="329"/>
      <c r="K1" s="32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330" t="s">
        <v>3</v>
      </c>
      <c r="F4" s="331"/>
      <c r="I4" s="332" t="s">
        <v>4</v>
      </c>
      <c r="J4" s="333"/>
      <c r="K4" s="333"/>
      <c r="L4" s="333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26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11472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65042.49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>
        <v>4100.5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12898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/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6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1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1" t="s">
        <v>209</v>
      </c>
      <c r="L17" s="19">
        <v>2500</v>
      </c>
      <c r="M17" s="33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59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59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83130.28</v>
      </c>
      <c r="D30" s="17" t="s">
        <v>241</v>
      </c>
      <c r="E30" s="18">
        <v>42455</v>
      </c>
      <c r="F30" s="19">
        <v>83983.87</v>
      </c>
      <c r="G30" s="20"/>
      <c r="H30" s="24">
        <v>42455</v>
      </c>
      <c r="I30" s="45">
        <v>400</v>
      </c>
      <c r="J30" s="52"/>
      <c r="K30" s="54"/>
      <c r="L30" s="56">
        <v>0</v>
      </c>
      <c r="M30" s="33">
        <v>451</v>
      </c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37400.6</v>
      </c>
      <c r="D31" s="17" t="s">
        <v>246</v>
      </c>
      <c r="E31" s="18">
        <v>42456</v>
      </c>
      <c r="F31" s="19">
        <v>47120.24</v>
      </c>
      <c r="G31" s="20"/>
      <c r="H31" s="24">
        <v>42456</v>
      </c>
      <c r="I31" s="45">
        <v>120.5</v>
      </c>
      <c r="J31" s="35"/>
      <c r="K31" s="57"/>
      <c r="L31" s="334">
        <v>0</v>
      </c>
      <c r="M31" s="33">
        <v>797</v>
      </c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44337</v>
      </c>
      <c r="D32" s="17" t="s">
        <v>247</v>
      </c>
      <c r="E32" s="18">
        <v>42457</v>
      </c>
      <c r="F32" s="19">
        <v>45090.91</v>
      </c>
      <c r="G32" s="20"/>
      <c r="H32" s="24">
        <v>42457</v>
      </c>
      <c r="I32" s="45">
        <v>84</v>
      </c>
      <c r="J32" s="26"/>
      <c r="K32" s="53"/>
      <c r="L32" s="335"/>
      <c r="M32" s="33">
        <v>670</v>
      </c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18364.919999999998</v>
      </c>
      <c r="D33" s="259" t="s">
        <v>248</v>
      </c>
      <c r="E33" s="18">
        <v>42458</v>
      </c>
      <c r="F33" s="19">
        <v>41806.47</v>
      </c>
      <c r="G33" s="20"/>
      <c r="H33" s="24">
        <v>42458</v>
      </c>
      <c r="I33" s="45">
        <v>542</v>
      </c>
      <c r="J33" s="26"/>
      <c r="K33" s="58"/>
      <c r="L33" s="336">
        <v>0</v>
      </c>
      <c r="M33" s="33">
        <v>22899.5</v>
      </c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39649</v>
      </c>
      <c r="D34" s="17" t="s">
        <v>249</v>
      </c>
      <c r="E34" s="18">
        <v>42459</v>
      </c>
      <c r="F34" s="19">
        <v>40514.629999999997</v>
      </c>
      <c r="G34" s="20"/>
      <c r="H34" s="24">
        <v>42459</v>
      </c>
      <c r="I34" s="45">
        <v>546.77</v>
      </c>
      <c r="J34" s="26"/>
      <c r="K34" s="59"/>
      <c r="L34" s="337"/>
      <c r="M34" s="33">
        <v>319</v>
      </c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>
        <v>38390.97</v>
      </c>
      <c r="G35" s="20"/>
      <c r="H35" s="24">
        <v>42460</v>
      </c>
      <c r="I35" s="45">
        <v>100</v>
      </c>
      <c r="J35" s="26"/>
      <c r="K35" s="60"/>
      <c r="L35" s="61">
        <v>0</v>
      </c>
      <c r="M35" s="33">
        <v>26819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259645.5</v>
      </c>
    </row>
    <row r="38" spans="1:17" x14ac:dyDescent="0.25">
      <c r="B38" s="82" t="s">
        <v>16</v>
      </c>
      <c r="C38" s="83">
        <f>SUM(C5:C37)</f>
        <v>1082822.8799999999</v>
      </c>
      <c r="E38" s="227" t="s">
        <v>16</v>
      </c>
      <c r="F38" s="85">
        <f>SUM(F5:F37)</f>
        <v>1384934.0599999996</v>
      </c>
      <c r="H38" s="5" t="s">
        <v>16</v>
      </c>
      <c r="I38" s="86">
        <f>SUM(I5:I37)</f>
        <v>8954.1200000000008</v>
      </c>
      <c r="J38" s="86"/>
      <c r="K38" s="87" t="s">
        <v>16</v>
      </c>
      <c r="L38" s="88">
        <f>SUM(L5:L37)</f>
        <v>104099.74</v>
      </c>
    </row>
    <row r="40" spans="1:17" ht="15.75" x14ac:dyDescent="0.25">
      <c r="A40" s="89"/>
      <c r="B40" s="90"/>
      <c r="C40" s="26"/>
      <c r="D40" s="91"/>
      <c r="E40" s="92"/>
      <c r="F40" s="67"/>
      <c r="H40" s="325" t="s">
        <v>17</v>
      </c>
      <c r="I40" s="326"/>
      <c r="J40" s="229"/>
      <c r="K40" s="327">
        <f>I38+L38</f>
        <v>113053.86</v>
      </c>
      <c r="L40" s="328"/>
    </row>
    <row r="41" spans="1:17" ht="15.75" x14ac:dyDescent="0.25">
      <c r="B41" s="94"/>
      <c r="C41" s="67"/>
      <c r="D41" s="312" t="s">
        <v>18</v>
      </c>
      <c r="E41" s="312"/>
      <c r="F41" s="95">
        <f>F38-K40</f>
        <v>1271880.1999999995</v>
      </c>
      <c r="I41" s="96"/>
      <c r="J41" s="96"/>
    </row>
    <row r="42" spans="1:17" ht="15.75" x14ac:dyDescent="0.25">
      <c r="D42" s="313" t="s">
        <v>193</v>
      </c>
      <c r="E42" s="313"/>
      <c r="F42" s="95">
        <v>-1359460.23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-87580.030000000494</v>
      </c>
      <c r="I44" s="314" t="s">
        <v>22</v>
      </c>
      <c r="J44" s="315"/>
      <c r="K44" s="318">
        <f>F48+L46</f>
        <v>159841.28999999951</v>
      </c>
      <c r="L44" s="319"/>
    </row>
    <row r="45" spans="1:17" ht="15.75" thickBot="1" x14ac:dyDescent="0.3">
      <c r="D45" s="100" t="s">
        <v>23</v>
      </c>
      <c r="E45" s="89" t="s">
        <v>24</v>
      </c>
      <c r="F45" s="86">
        <v>31991.9</v>
      </c>
      <c r="I45" s="316"/>
      <c r="J45" s="317"/>
      <c r="K45" s="320"/>
      <c r="L45" s="321"/>
    </row>
    <row r="46" spans="1:17" ht="17.25" thickTop="1" thickBot="1" x14ac:dyDescent="0.3">
      <c r="C46" s="85"/>
      <c r="D46" s="322" t="s">
        <v>25</v>
      </c>
      <c r="E46" s="322"/>
      <c r="F46" s="101">
        <v>215429.42</v>
      </c>
      <c r="I46" s="323"/>
      <c r="J46" s="323"/>
      <c r="K46" s="324"/>
      <c r="L46" s="102"/>
    </row>
    <row r="47" spans="1:17" ht="19.5" thickBot="1" x14ac:dyDescent="0.35">
      <c r="C47" s="85"/>
      <c r="D47" s="227"/>
      <c r="E47" s="227"/>
      <c r="F47" s="103"/>
      <c r="H47" s="104"/>
      <c r="I47" s="228" t="s">
        <v>26</v>
      </c>
      <c r="J47" s="228"/>
      <c r="K47" s="305">
        <f>-C4</f>
        <v>-114962.92</v>
      </c>
      <c r="L47" s="306"/>
    </row>
    <row r="48" spans="1:17" ht="17.25" thickTop="1" thickBot="1" x14ac:dyDescent="0.3">
      <c r="E48" s="106" t="s">
        <v>27</v>
      </c>
      <c r="F48" s="107">
        <f>F44+F45+F46</f>
        <v>159841.28999999951</v>
      </c>
    </row>
    <row r="49" spans="2:14" ht="19.5" thickBot="1" x14ac:dyDescent="0.35">
      <c r="B49"/>
      <c r="C49"/>
      <c r="D49" s="307"/>
      <c r="E49" s="307"/>
      <c r="F49" s="67"/>
      <c r="I49" s="308" t="s">
        <v>28</v>
      </c>
      <c r="J49" s="309"/>
      <c r="K49" s="310">
        <f>K44+K47</f>
        <v>44878.369999999515</v>
      </c>
      <c r="L49" s="311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8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91">
        <v>42478</v>
      </c>
      <c r="E20" s="36">
        <v>138210.68</v>
      </c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91">
        <v>42478</v>
      </c>
      <c r="E21" s="36">
        <v>40510.6</v>
      </c>
      <c r="F21" s="127">
        <f t="shared" si="0"/>
        <v>0</v>
      </c>
      <c r="K21" s="146" t="s">
        <v>46</v>
      </c>
      <c r="L21" s="147"/>
      <c r="M21" s="148"/>
      <c r="N21" s="231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91">
        <v>42478</v>
      </c>
      <c r="E22" s="36">
        <v>22400.6</v>
      </c>
      <c r="F22" s="127">
        <f t="shared" si="0"/>
        <v>0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91">
        <v>42478</v>
      </c>
      <c r="E23" s="36">
        <v>3285</v>
      </c>
      <c r="F23" s="127">
        <f t="shared" si="0"/>
        <v>0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91">
        <v>42478</v>
      </c>
      <c r="E24" s="36">
        <v>56627</v>
      </c>
      <c r="F24" s="127">
        <f t="shared" si="0"/>
        <v>0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91">
        <v>42478</v>
      </c>
      <c r="E25" s="192">
        <v>3210</v>
      </c>
      <c r="F25" s="127">
        <f t="shared" si="0"/>
        <v>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91">
        <v>42478</v>
      </c>
      <c r="E26" s="192">
        <v>8003.04</v>
      </c>
      <c r="F26" s="127">
        <f>C26-E26</f>
        <v>0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91">
        <v>42478</v>
      </c>
      <c r="E27" s="192">
        <v>13509.92</v>
      </c>
      <c r="F27" s="127">
        <f>C27-E27</f>
        <v>0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91">
        <v>42478</v>
      </c>
      <c r="E28" s="192">
        <v>125517</v>
      </c>
      <c r="F28" s="127">
        <f>C28-E28</f>
        <v>0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91">
        <v>42478</v>
      </c>
      <c r="E29" s="192">
        <v>3400.19</v>
      </c>
      <c r="F29" s="127">
        <f>C29-E29</f>
        <v>0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91">
        <v>42478</v>
      </c>
      <c r="E30" s="36">
        <v>25757.200000000001</v>
      </c>
      <c r="F30" s="136">
        <f>C30-E30</f>
        <v>0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>
        <v>42460</v>
      </c>
      <c r="B31" s="128" t="s">
        <v>225</v>
      </c>
      <c r="C31" s="26">
        <v>51539.6</v>
      </c>
      <c r="D31" s="191">
        <v>42478</v>
      </c>
      <c r="E31" s="192">
        <v>51539.6</v>
      </c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>
        <v>42459</v>
      </c>
      <c r="B32" s="128" t="s">
        <v>228</v>
      </c>
      <c r="C32" s="26">
        <v>2356</v>
      </c>
      <c r="D32" s="191">
        <v>42478</v>
      </c>
      <c r="E32" s="192">
        <v>2356</v>
      </c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2" t="s">
        <v>91</v>
      </c>
      <c r="M35" s="233" t="s">
        <v>52</v>
      </c>
      <c r="N35" s="234">
        <v>680</v>
      </c>
      <c r="O35" s="235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6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1359460.2299999997</v>
      </c>
      <c r="D37" s="145"/>
      <c r="E37" s="30">
        <f>SUM(E3:E36)</f>
        <v>1359460.2299999997</v>
      </c>
      <c r="F37" s="30">
        <f>SUM(F3:F36)</f>
        <v>0</v>
      </c>
      <c r="I37" s="241">
        <f>SUM(I24:I36)</f>
        <v>468175.4</v>
      </c>
      <c r="J37" s="165"/>
      <c r="K37" s="166">
        <v>0</v>
      </c>
      <c r="L37" s="165"/>
      <c r="M37" s="240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6">
        <v>0</v>
      </c>
      <c r="L38" s="160"/>
      <c r="M38" s="237" t="s">
        <v>52</v>
      </c>
      <c r="N38" s="238">
        <v>12478</v>
      </c>
      <c r="O38" s="239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2"/>
      <c r="K39" s="243">
        <v>0</v>
      </c>
      <c r="L39" s="243"/>
      <c r="M39" s="243" t="s">
        <v>52</v>
      </c>
      <c r="N39" s="243">
        <v>1061.5</v>
      </c>
      <c r="O39" s="244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19"/>
      <c r="N40" s="220">
        <f>SUM(N24:N39)</f>
        <v>468175.1</v>
      </c>
      <c r="O40" s="218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19"/>
      <c r="N41" s="220"/>
      <c r="O41" s="218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1"/>
      <c r="L43" s="222"/>
      <c r="M43" s="223"/>
      <c r="N43" s="224"/>
      <c r="O43" s="225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0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2"/>
      <c r="K56" s="243">
        <v>0</v>
      </c>
      <c r="L56" s="243"/>
      <c r="M56" s="243" t="s">
        <v>52</v>
      </c>
      <c r="N56" s="243">
        <v>2</v>
      </c>
      <c r="O56" s="244"/>
    </row>
    <row r="57" spans="1:17" ht="15.75" x14ac:dyDescent="0.25">
      <c r="I57" s="3"/>
      <c r="J57" s="196"/>
      <c r="K57" s="26">
        <f>SUM(K47:K56)</f>
        <v>279792.61</v>
      </c>
      <c r="L57" s="43"/>
      <c r="M57" s="219"/>
      <c r="N57" s="220">
        <f>SUM(N47:N56)</f>
        <v>279792.5</v>
      </c>
      <c r="O57" s="218"/>
    </row>
    <row r="58" spans="1:17" x14ac:dyDescent="0.25">
      <c r="I58" s="3"/>
    </row>
  </sheetData>
  <sortState ref="J4:K16">
    <sortCondition ref="J4:J16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8" workbookViewId="0">
      <selection activeCell="K54" sqref="K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29" t="s">
        <v>242</v>
      </c>
      <c r="D1" s="329"/>
      <c r="E1" s="329"/>
      <c r="F1" s="329"/>
      <c r="G1" s="329"/>
      <c r="H1" s="329"/>
      <c r="I1" s="329"/>
      <c r="J1" s="329"/>
      <c r="K1" s="32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330" t="s">
        <v>3</v>
      </c>
      <c r="F4" s="331"/>
      <c r="I4" s="332" t="s">
        <v>4</v>
      </c>
      <c r="J4" s="333"/>
      <c r="K4" s="333"/>
      <c r="L4" s="333"/>
      <c r="M4" s="13" t="s">
        <v>5</v>
      </c>
    </row>
    <row r="5" spans="1:19" ht="15.75" thickTop="1" x14ac:dyDescent="0.25">
      <c r="A5" s="14"/>
      <c r="B5" s="15">
        <v>42461</v>
      </c>
      <c r="C5" s="16">
        <v>76629</v>
      </c>
      <c r="D5" s="17" t="s">
        <v>250</v>
      </c>
      <c r="E5" s="18">
        <v>42461</v>
      </c>
      <c r="F5" s="19">
        <v>76026.37</v>
      </c>
      <c r="G5" s="20"/>
      <c r="H5" s="186">
        <v>42461</v>
      </c>
      <c r="I5" s="187">
        <f>320+350</f>
        <v>670</v>
      </c>
      <c r="J5" s="176"/>
      <c r="K5" s="188"/>
      <c r="L5" s="189"/>
      <c r="M5" s="190">
        <v>435.5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42462</v>
      </c>
      <c r="C6" s="16">
        <v>66145.89</v>
      </c>
      <c r="D6" s="22" t="s">
        <v>251</v>
      </c>
      <c r="E6" s="18">
        <v>42462</v>
      </c>
      <c r="F6" s="19">
        <v>64854.05</v>
      </c>
      <c r="G6" s="23"/>
      <c r="H6" s="24">
        <v>42462</v>
      </c>
      <c r="I6" s="25">
        <v>228</v>
      </c>
      <c r="J6" s="26"/>
      <c r="K6" s="27" t="s">
        <v>7</v>
      </c>
      <c r="L6" s="28">
        <v>538</v>
      </c>
      <c r="M6" s="33">
        <v>921</v>
      </c>
      <c r="N6" s="30"/>
      <c r="O6" s="20"/>
      <c r="P6" s="20"/>
      <c r="Q6" s="20"/>
    </row>
    <row r="7" spans="1:19" x14ac:dyDescent="0.25">
      <c r="A7" s="14"/>
      <c r="B7" s="15">
        <v>42463</v>
      </c>
      <c r="C7" s="16">
        <v>44313.599999999999</v>
      </c>
      <c r="D7" s="17" t="s">
        <v>252</v>
      </c>
      <c r="E7" s="18">
        <v>42463</v>
      </c>
      <c r="F7" s="19">
        <v>47087.42</v>
      </c>
      <c r="G7" s="20"/>
      <c r="H7" s="24">
        <v>42463</v>
      </c>
      <c r="I7" s="25">
        <v>300</v>
      </c>
      <c r="J7" s="26"/>
      <c r="K7" s="31" t="s">
        <v>8</v>
      </c>
      <c r="L7" s="28">
        <v>0</v>
      </c>
      <c r="M7" s="33">
        <v>452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42464</v>
      </c>
      <c r="C8" s="16">
        <v>18696</v>
      </c>
      <c r="D8" s="17" t="s">
        <v>253</v>
      </c>
      <c r="E8" s="18">
        <v>42464</v>
      </c>
      <c r="F8" s="19">
        <v>20158.02</v>
      </c>
      <c r="G8" s="20"/>
      <c r="H8" s="24">
        <v>42464</v>
      </c>
      <c r="I8" s="25">
        <v>128</v>
      </c>
      <c r="J8" s="26"/>
      <c r="K8" s="27" t="s">
        <v>10</v>
      </c>
      <c r="L8" s="32">
        <v>28750</v>
      </c>
      <c r="M8" s="33">
        <v>258.5</v>
      </c>
      <c r="N8" s="21"/>
      <c r="O8" s="20"/>
      <c r="P8" s="20"/>
      <c r="Q8" s="20"/>
    </row>
    <row r="9" spans="1:19" x14ac:dyDescent="0.25">
      <c r="A9" s="14"/>
      <c r="B9" s="15">
        <v>42465</v>
      </c>
      <c r="C9" s="16">
        <v>27000</v>
      </c>
      <c r="D9" s="17" t="s">
        <v>254</v>
      </c>
      <c r="E9" s="18">
        <v>42465</v>
      </c>
      <c r="F9" s="19">
        <v>26981.96</v>
      </c>
      <c r="G9" s="20"/>
      <c r="H9" s="24">
        <v>42465</v>
      </c>
      <c r="I9" s="25">
        <v>370</v>
      </c>
      <c r="J9" s="35"/>
      <c r="K9" s="27" t="s">
        <v>198</v>
      </c>
      <c r="L9" s="28">
        <v>11150</v>
      </c>
      <c r="M9" s="33">
        <v>450</v>
      </c>
      <c r="N9" s="21"/>
      <c r="O9" s="37"/>
      <c r="P9" s="20"/>
      <c r="Q9" s="20"/>
    </row>
    <row r="10" spans="1:19" x14ac:dyDescent="0.25">
      <c r="A10" s="14"/>
      <c r="B10" s="15">
        <v>42466</v>
      </c>
      <c r="C10" s="16">
        <v>26500</v>
      </c>
      <c r="D10" s="22" t="s">
        <v>255</v>
      </c>
      <c r="E10" s="18">
        <v>42466</v>
      </c>
      <c r="F10" s="19">
        <v>27996.43</v>
      </c>
      <c r="G10" s="20"/>
      <c r="H10" s="24">
        <v>42466</v>
      </c>
      <c r="I10" s="25">
        <v>840</v>
      </c>
      <c r="J10" s="35"/>
      <c r="K10" s="27" t="s">
        <v>243</v>
      </c>
      <c r="L10" s="19">
        <v>10750</v>
      </c>
      <c r="M10" s="33">
        <v>656.5</v>
      </c>
      <c r="N10" s="21"/>
      <c r="O10" s="20"/>
      <c r="P10" s="20"/>
      <c r="Q10" s="20"/>
    </row>
    <row r="11" spans="1:19" x14ac:dyDescent="0.25">
      <c r="A11" s="14"/>
      <c r="B11" s="15">
        <v>42467</v>
      </c>
      <c r="C11" s="16">
        <v>600</v>
      </c>
      <c r="D11" s="34" t="s">
        <v>115</v>
      </c>
      <c r="E11" s="18">
        <v>42467</v>
      </c>
      <c r="F11" s="19">
        <v>24079.07</v>
      </c>
      <c r="G11" s="20"/>
      <c r="H11" s="24">
        <v>42467</v>
      </c>
      <c r="I11" s="25">
        <v>7</v>
      </c>
      <c r="J11" s="35"/>
      <c r="K11" s="27" t="s">
        <v>244</v>
      </c>
      <c r="L11" s="19">
        <v>9950</v>
      </c>
      <c r="M11" s="33">
        <v>23472</v>
      </c>
      <c r="N11" s="36"/>
      <c r="O11" s="20"/>
      <c r="P11" s="20"/>
      <c r="Q11" s="20"/>
    </row>
    <row r="12" spans="1:19" x14ac:dyDescent="0.25">
      <c r="A12" s="14"/>
      <c r="B12" s="15">
        <v>42468</v>
      </c>
      <c r="C12" s="16">
        <v>64213.23</v>
      </c>
      <c r="D12" s="17" t="s">
        <v>259</v>
      </c>
      <c r="E12" s="18">
        <v>42468</v>
      </c>
      <c r="F12" s="19">
        <v>64719.27</v>
      </c>
      <c r="G12" s="20"/>
      <c r="H12" s="24">
        <v>42468</v>
      </c>
      <c r="I12" s="25">
        <v>320</v>
      </c>
      <c r="J12" s="35"/>
      <c r="K12" s="27" t="s">
        <v>245</v>
      </c>
      <c r="L12" s="19">
        <v>11350</v>
      </c>
      <c r="M12" s="33">
        <v>186</v>
      </c>
      <c r="N12" s="21"/>
      <c r="O12" s="37"/>
      <c r="P12" s="38"/>
      <c r="Q12" s="20"/>
    </row>
    <row r="13" spans="1:19" x14ac:dyDescent="0.25">
      <c r="A13" s="14"/>
      <c r="B13" s="15">
        <v>42469</v>
      </c>
      <c r="C13" s="16">
        <v>57539.65</v>
      </c>
      <c r="D13" s="34" t="s">
        <v>260</v>
      </c>
      <c r="E13" s="18">
        <v>42469</v>
      </c>
      <c r="F13" s="19">
        <v>59673.78</v>
      </c>
      <c r="G13" s="20"/>
      <c r="H13" s="24">
        <v>42469</v>
      </c>
      <c r="I13" s="25">
        <v>613.5</v>
      </c>
      <c r="J13" s="35"/>
      <c r="K13" s="27" t="s">
        <v>287</v>
      </c>
      <c r="L13" s="19">
        <v>11686.5</v>
      </c>
      <c r="M13" s="33">
        <v>1520.5</v>
      </c>
      <c r="N13" s="21"/>
      <c r="O13" s="20"/>
      <c r="P13" s="20"/>
      <c r="Q13" s="20"/>
    </row>
    <row r="14" spans="1:19" x14ac:dyDescent="0.25">
      <c r="A14" s="14"/>
      <c r="B14" s="15">
        <v>42470</v>
      </c>
      <c r="C14" s="16">
        <v>35667</v>
      </c>
      <c r="D14" s="17" t="s">
        <v>262</v>
      </c>
      <c r="E14" s="18">
        <v>42470</v>
      </c>
      <c r="F14" s="19">
        <v>40277.31</v>
      </c>
      <c r="G14" s="20"/>
      <c r="H14" s="24">
        <v>42470</v>
      </c>
      <c r="I14" s="25">
        <v>400</v>
      </c>
      <c r="J14" s="35"/>
      <c r="K14" s="40" t="s">
        <v>264</v>
      </c>
      <c r="L14" s="19">
        <v>0</v>
      </c>
      <c r="M14" s="33">
        <f>646+500</f>
        <v>1146</v>
      </c>
      <c r="N14" s="21"/>
      <c r="O14" s="20"/>
      <c r="P14" s="20"/>
      <c r="Q14" s="20"/>
    </row>
    <row r="15" spans="1:19" ht="15.75" x14ac:dyDescent="0.25">
      <c r="A15" s="14"/>
      <c r="B15" s="15">
        <v>42471</v>
      </c>
      <c r="C15" s="16">
        <v>44446.9</v>
      </c>
      <c r="D15" s="17" t="s">
        <v>263</v>
      </c>
      <c r="E15" s="18">
        <v>42471</v>
      </c>
      <c r="F15" s="19">
        <v>35208.29</v>
      </c>
      <c r="G15" s="20"/>
      <c r="H15" s="24">
        <v>42471</v>
      </c>
      <c r="I15" s="25">
        <v>56</v>
      </c>
      <c r="J15" s="35"/>
      <c r="K15" s="226" t="s">
        <v>11</v>
      </c>
      <c r="L15" s="19">
        <v>0</v>
      </c>
      <c r="M15" s="33">
        <v>579.5</v>
      </c>
      <c r="N15" s="30"/>
      <c r="O15" s="20"/>
      <c r="P15" s="20"/>
      <c r="Q15" s="20"/>
    </row>
    <row r="16" spans="1:19" ht="15.75" x14ac:dyDescent="0.25">
      <c r="A16" s="14"/>
      <c r="B16" s="15">
        <v>42472</v>
      </c>
      <c r="C16" s="16">
        <v>31134.36</v>
      </c>
      <c r="D16" s="17" t="s">
        <v>269</v>
      </c>
      <c r="E16" s="18">
        <v>42472</v>
      </c>
      <c r="F16" s="19">
        <v>31610.3</v>
      </c>
      <c r="G16" s="20"/>
      <c r="H16" s="24">
        <v>42472</v>
      </c>
      <c r="I16" s="25">
        <v>161</v>
      </c>
      <c r="J16" s="35"/>
      <c r="K16" s="251"/>
      <c r="L16" s="42">
        <v>0</v>
      </c>
      <c r="M16" s="33">
        <v>315</v>
      </c>
      <c r="N16" s="30"/>
      <c r="O16" s="20"/>
      <c r="P16" s="20"/>
      <c r="Q16" s="20"/>
    </row>
    <row r="17" spans="1:18" x14ac:dyDescent="0.25">
      <c r="A17" s="14"/>
      <c r="B17" s="15">
        <v>42473</v>
      </c>
      <c r="C17" s="16">
        <v>28500</v>
      </c>
      <c r="D17" s="17" t="s">
        <v>271</v>
      </c>
      <c r="E17" s="18">
        <v>42473</v>
      </c>
      <c r="F17" s="19">
        <v>29196.03</v>
      </c>
      <c r="G17" s="20"/>
      <c r="H17" s="24">
        <v>42473</v>
      </c>
      <c r="I17" s="25">
        <v>60</v>
      </c>
      <c r="J17" s="35"/>
      <c r="K17" s="265"/>
      <c r="L17" s="19">
        <v>0</v>
      </c>
      <c r="M17" s="33">
        <v>98</v>
      </c>
      <c r="N17" s="30"/>
      <c r="O17" s="20"/>
      <c r="P17" s="20"/>
      <c r="Q17" s="20"/>
    </row>
    <row r="18" spans="1:18" x14ac:dyDescent="0.25">
      <c r="A18" s="14"/>
      <c r="B18" s="15">
        <v>42474</v>
      </c>
      <c r="C18" s="16">
        <v>627</v>
      </c>
      <c r="D18" s="17" t="s">
        <v>115</v>
      </c>
      <c r="E18" s="18">
        <v>42474</v>
      </c>
      <c r="F18" s="19">
        <v>29070.19</v>
      </c>
      <c r="G18" s="20"/>
      <c r="H18" s="24">
        <v>42474</v>
      </c>
      <c r="I18" s="25">
        <v>100</v>
      </c>
      <c r="J18" s="35"/>
      <c r="K18" s="41" t="s">
        <v>29</v>
      </c>
      <c r="L18" s="19">
        <v>0</v>
      </c>
      <c r="M18" s="33">
        <v>27543</v>
      </c>
      <c r="N18" s="21"/>
      <c r="O18" s="37"/>
      <c r="P18" s="20"/>
      <c r="Q18" s="20"/>
    </row>
    <row r="19" spans="1:18" x14ac:dyDescent="0.25">
      <c r="A19" s="14"/>
      <c r="B19" s="15">
        <v>42475</v>
      </c>
      <c r="C19" s="16">
        <v>75364.3</v>
      </c>
      <c r="D19" s="34" t="s">
        <v>272</v>
      </c>
      <c r="E19" s="18">
        <v>42475</v>
      </c>
      <c r="F19" s="19">
        <v>76183.520000000004</v>
      </c>
      <c r="G19" s="20"/>
      <c r="H19" s="24">
        <v>42475</v>
      </c>
      <c r="I19" s="25">
        <v>0</v>
      </c>
      <c r="J19" s="35"/>
      <c r="K19" s="283">
        <v>42474</v>
      </c>
      <c r="L19" s="44">
        <v>0</v>
      </c>
      <c r="M19" s="33">
        <v>1318.8</v>
      </c>
      <c r="N19" s="21"/>
      <c r="O19" s="20"/>
      <c r="P19" s="20"/>
      <c r="Q19" s="20"/>
    </row>
    <row r="20" spans="1:18" x14ac:dyDescent="0.25">
      <c r="A20" s="14"/>
      <c r="B20" s="15">
        <v>42476</v>
      </c>
      <c r="C20" s="16">
        <v>67483.64</v>
      </c>
      <c r="D20" s="22" t="s">
        <v>273</v>
      </c>
      <c r="E20" s="18">
        <v>42476</v>
      </c>
      <c r="F20" s="19">
        <v>68054.61</v>
      </c>
      <c r="G20" s="20"/>
      <c r="H20" s="24">
        <v>42476</v>
      </c>
      <c r="I20" s="45">
        <v>100</v>
      </c>
      <c r="J20" s="35"/>
      <c r="K20" s="46" t="s">
        <v>14</v>
      </c>
      <c r="L20" s="42">
        <v>0</v>
      </c>
      <c r="M20" s="33">
        <v>471</v>
      </c>
      <c r="N20" s="21"/>
      <c r="O20" s="20"/>
      <c r="P20" s="20"/>
      <c r="Q20" s="20"/>
    </row>
    <row r="21" spans="1:18" x14ac:dyDescent="0.25">
      <c r="A21" s="14"/>
      <c r="B21" s="15">
        <v>42477</v>
      </c>
      <c r="C21" s="16">
        <v>47374.5</v>
      </c>
      <c r="D21" s="17" t="s">
        <v>274</v>
      </c>
      <c r="E21" s="18">
        <v>42477</v>
      </c>
      <c r="F21" s="19">
        <v>53874.5</v>
      </c>
      <c r="G21" s="20"/>
      <c r="H21" s="24">
        <v>42477</v>
      </c>
      <c r="I21" s="45">
        <v>300</v>
      </c>
      <c r="J21" s="35"/>
      <c r="K21" s="47" t="s">
        <v>306</v>
      </c>
      <c r="L21" s="42">
        <v>2088</v>
      </c>
      <c r="M21" s="33">
        <v>350</v>
      </c>
      <c r="N21" s="21"/>
      <c r="O21" s="37"/>
      <c r="P21" s="37"/>
      <c r="Q21" s="37"/>
      <c r="R21" s="37"/>
    </row>
    <row r="22" spans="1:18" x14ac:dyDescent="0.25">
      <c r="A22" s="14"/>
      <c r="B22" s="15">
        <v>42478</v>
      </c>
      <c r="C22" s="16">
        <v>27500</v>
      </c>
      <c r="D22" s="17" t="s">
        <v>278</v>
      </c>
      <c r="E22" s="18">
        <v>42478</v>
      </c>
      <c r="F22" s="19">
        <v>27997.79</v>
      </c>
      <c r="G22" s="20"/>
      <c r="H22" s="24">
        <v>42478</v>
      </c>
      <c r="I22" s="45">
        <v>0</v>
      </c>
      <c r="J22" s="48"/>
      <c r="K22" s="284">
        <v>42489</v>
      </c>
      <c r="L22" s="42">
        <v>0</v>
      </c>
      <c r="M22" s="33">
        <v>498</v>
      </c>
      <c r="N22" s="30"/>
      <c r="O22" s="20"/>
      <c r="P22" s="20"/>
      <c r="Q22" s="20"/>
    </row>
    <row r="23" spans="1:18" x14ac:dyDescent="0.25">
      <c r="A23" s="14"/>
      <c r="B23" s="15">
        <v>42479</v>
      </c>
      <c r="C23" s="16">
        <v>28017.56</v>
      </c>
      <c r="D23" s="259" t="s">
        <v>279</v>
      </c>
      <c r="E23" s="18">
        <v>42479</v>
      </c>
      <c r="F23" s="19">
        <v>28997.58</v>
      </c>
      <c r="G23" s="20"/>
      <c r="H23" s="24">
        <v>42479</v>
      </c>
      <c r="I23" s="45">
        <f>352.5+542.72</f>
        <v>895.22</v>
      </c>
      <c r="J23" s="26"/>
      <c r="K23" s="50"/>
      <c r="L23" s="42">
        <v>0</v>
      </c>
      <c r="M23" s="33">
        <v>85</v>
      </c>
      <c r="N23" s="30"/>
      <c r="O23" s="20"/>
      <c r="P23" s="20"/>
      <c r="Q23" s="20"/>
    </row>
    <row r="24" spans="1:18" x14ac:dyDescent="0.25">
      <c r="A24" s="14"/>
      <c r="B24" s="15">
        <v>42480</v>
      </c>
      <c r="C24" s="16">
        <v>21320</v>
      </c>
      <c r="D24" s="17" t="s">
        <v>280</v>
      </c>
      <c r="E24" s="18">
        <v>42480</v>
      </c>
      <c r="F24" s="19">
        <v>21910.87</v>
      </c>
      <c r="G24" s="20"/>
      <c r="H24" s="24">
        <v>42480</v>
      </c>
      <c r="I24" s="45">
        <f>350+150</f>
        <v>500</v>
      </c>
      <c r="J24" s="35"/>
      <c r="K24" s="51" t="s">
        <v>270</v>
      </c>
      <c r="L24" s="42">
        <v>538</v>
      </c>
      <c r="M24" s="33">
        <v>91</v>
      </c>
      <c r="N24" s="30"/>
      <c r="O24" s="20"/>
      <c r="P24" s="20"/>
      <c r="Q24" s="20"/>
    </row>
    <row r="25" spans="1:18" x14ac:dyDescent="0.25">
      <c r="A25" s="14"/>
      <c r="B25" s="15">
        <v>42481</v>
      </c>
      <c r="C25" s="16">
        <v>1100.5</v>
      </c>
      <c r="D25" s="259" t="s">
        <v>282</v>
      </c>
      <c r="E25" s="18">
        <v>42481</v>
      </c>
      <c r="F25" s="19">
        <v>27134.02</v>
      </c>
      <c r="G25" s="20"/>
      <c r="H25" s="24">
        <v>42481</v>
      </c>
      <c r="I25" s="45">
        <v>0</v>
      </c>
      <c r="J25" s="26"/>
      <c r="K25" s="50">
        <v>42473</v>
      </c>
      <c r="L25" s="42">
        <v>0</v>
      </c>
      <c r="M25" s="33">
        <v>23034.5</v>
      </c>
      <c r="N25" s="21"/>
      <c r="O25" s="20"/>
      <c r="P25" s="20"/>
      <c r="Q25" s="20"/>
    </row>
    <row r="26" spans="1:18" x14ac:dyDescent="0.25">
      <c r="A26" s="14"/>
      <c r="B26" s="15">
        <v>42482</v>
      </c>
      <c r="C26" s="16">
        <v>58906.84</v>
      </c>
      <c r="D26" s="17" t="s">
        <v>283</v>
      </c>
      <c r="E26" s="18">
        <v>42482</v>
      </c>
      <c r="F26" s="19">
        <v>59766.47</v>
      </c>
      <c r="G26" s="20"/>
      <c r="H26" s="24">
        <v>42482</v>
      </c>
      <c r="I26" s="45">
        <v>0</v>
      </c>
      <c r="J26" s="52"/>
      <c r="K26" s="50"/>
      <c r="L26" s="42">
        <v>0</v>
      </c>
      <c r="M26" s="33">
        <v>860</v>
      </c>
      <c r="N26" s="21"/>
      <c r="O26" s="37"/>
      <c r="P26" s="38"/>
      <c r="Q26" s="20"/>
    </row>
    <row r="27" spans="1:18" x14ac:dyDescent="0.25">
      <c r="A27" s="14"/>
      <c r="B27" s="15">
        <v>42483</v>
      </c>
      <c r="C27" s="16">
        <v>51192.3</v>
      </c>
      <c r="D27" s="17" t="s">
        <v>284</v>
      </c>
      <c r="E27" s="18">
        <v>42483</v>
      </c>
      <c r="F27" s="19">
        <v>51477.85</v>
      </c>
      <c r="G27" s="20"/>
      <c r="H27" s="24">
        <v>42483</v>
      </c>
      <c r="I27" s="45">
        <v>0</v>
      </c>
      <c r="J27" s="26"/>
      <c r="K27" s="53" t="s">
        <v>281</v>
      </c>
      <c r="L27" s="42">
        <v>3000</v>
      </c>
      <c r="M27" s="33">
        <v>285.5</v>
      </c>
      <c r="N27" s="21"/>
      <c r="O27" s="20"/>
      <c r="P27" s="20"/>
      <c r="Q27" s="20"/>
    </row>
    <row r="28" spans="1:18" x14ac:dyDescent="0.25">
      <c r="A28" s="14"/>
      <c r="B28" s="15">
        <v>42484</v>
      </c>
      <c r="C28" s="16">
        <v>49000</v>
      </c>
      <c r="D28" s="17" t="s">
        <v>285</v>
      </c>
      <c r="E28" s="18">
        <v>42484</v>
      </c>
      <c r="F28" s="19">
        <v>57242.23</v>
      </c>
      <c r="G28" s="20"/>
      <c r="H28" s="24">
        <v>42484</v>
      </c>
      <c r="I28" s="45">
        <v>400</v>
      </c>
      <c r="J28" s="26"/>
      <c r="K28" s="54" t="s">
        <v>308</v>
      </c>
      <c r="L28" s="42">
        <v>3000</v>
      </c>
      <c r="M28" s="33">
        <v>592</v>
      </c>
      <c r="N28" s="30"/>
      <c r="O28" s="20"/>
      <c r="P28" s="20"/>
      <c r="Q28" s="20"/>
    </row>
    <row r="29" spans="1:18" x14ac:dyDescent="0.25">
      <c r="A29" s="14"/>
      <c r="B29" s="15">
        <v>42485</v>
      </c>
      <c r="C29" s="16">
        <v>28951.64</v>
      </c>
      <c r="D29" s="17" t="s">
        <v>288</v>
      </c>
      <c r="E29" s="18">
        <v>42485</v>
      </c>
      <c r="F29" s="19">
        <v>29280.62</v>
      </c>
      <c r="G29" s="20"/>
      <c r="H29" s="24">
        <v>42485</v>
      </c>
      <c r="I29" s="45">
        <v>0</v>
      </c>
      <c r="J29" s="26"/>
      <c r="K29" s="55"/>
      <c r="L29" s="56">
        <v>0</v>
      </c>
      <c r="M29" s="33">
        <v>329</v>
      </c>
      <c r="N29" s="30"/>
      <c r="O29" s="20"/>
      <c r="P29" s="20"/>
      <c r="Q29" s="20"/>
    </row>
    <row r="30" spans="1:18" ht="15.75" thickBot="1" x14ac:dyDescent="0.3">
      <c r="A30" s="14"/>
      <c r="B30" s="15">
        <v>42486</v>
      </c>
      <c r="C30" s="16">
        <v>43130.6</v>
      </c>
      <c r="D30" s="17" t="s">
        <v>304</v>
      </c>
      <c r="E30" s="18">
        <v>42486</v>
      </c>
      <c r="F30" s="19">
        <v>39862.19</v>
      </c>
      <c r="G30" s="20"/>
      <c r="H30" s="24">
        <v>42486</v>
      </c>
      <c r="I30" s="45">
        <v>100</v>
      </c>
      <c r="J30" s="52"/>
      <c r="K30" s="54"/>
      <c r="L30" s="56">
        <v>0</v>
      </c>
      <c r="M30" s="33">
        <v>631.59</v>
      </c>
      <c r="N30" s="30"/>
      <c r="O30" s="20"/>
      <c r="P30" s="20"/>
      <c r="Q30" s="20"/>
    </row>
    <row r="31" spans="1:18" x14ac:dyDescent="0.25">
      <c r="A31" s="14"/>
      <c r="B31" s="15">
        <v>42487</v>
      </c>
      <c r="C31" s="16">
        <v>35120</v>
      </c>
      <c r="D31" s="17" t="s">
        <v>305</v>
      </c>
      <c r="E31" s="18">
        <v>42487</v>
      </c>
      <c r="F31" s="19">
        <v>35604.1</v>
      </c>
      <c r="G31" s="20"/>
      <c r="H31" s="24">
        <v>42487</v>
      </c>
      <c r="I31" s="45">
        <v>130</v>
      </c>
      <c r="J31" s="35"/>
      <c r="K31" s="57"/>
      <c r="L31" s="334">
        <v>0</v>
      </c>
      <c r="M31" s="33">
        <v>354</v>
      </c>
      <c r="N31" s="21"/>
      <c r="O31" s="20"/>
      <c r="P31" s="20"/>
      <c r="Q31" s="20"/>
    </row>
    <row r="32" spans="1:18" ht="15.75" thickBot="1" x14ac:dyDescent="0.3">
      <c r="A32" s="14"/>
      <c r="B32" s="15">
        <v>42488</v>
      </c>
      <c r="C32" s="16">
        <v>6000</v>
      </c>
      <c r="D32" s="17" t="s">
        <v>285</v>
      </c>
      <c r="E32" s="18">
        <v>42488</v>
      </c>
      <c r="F32" s="19">
        <v>36321.480000000003</v>
      </c>
      <c r="G32" s="20"/>
      <c r="H32" s="24">
        <v>42488</v>
      </c>
      <c r="I32" s="45">
        <v>0</v>
      </c>
      <c r="J32" s="26"/>
      <c r="K32" s="53"/>
      <c r="L32" s="335"/>
      <c r="M32" s="33">
        <v>30321</v>
      </c>
      <c r="N32" s="30"/>
      <c r="O32" s="20"/>
      <c r="P32" s="20"/>
      <c r="Q32" s="20"/>
    </row>
    <row r="33" spans="1:17" x14ac:dyDescent="0.25">
      <c r="A33" s="14"/>
      <c r="B33" s="15">
        <v>42489</v>
      </c>
      <c r="C33" s="16">
        <v>67144</v>
      </c>
      <c r="D33" s="34" t="s">
        <v>307</v>
      </c>
      <c r="E33" s="18">
        <v>42489</v>
      </c>
      <c r="F33" s="19">
        <v>69571.350000000006</v>
      </c>
      <c r="G33" s="20"/>
      <c r="H33" s="24">
        <v>42489</v>
      </c>
      <c r="I33" s="45">
        <v>240.5</v>
      </c>
      <c r="J33" s="26"/>
      <c r="K33" s="58"/>
      <c r="L33" s="336">
        <v>0</v>
      </c>
      <c r="M33" s="33">
        <v>99</v>
      </c>
      <c r="N33" s="21"/>
      <c r="O33" s="20"/>
      <c r="P33" s="20"/>
      <c r="Q33" s="20"/>
    </row>
    <row r="34" spans="1:17" ht="15.75" thickBot="1" x14ac:dyDescent="0.3">
      <c r="A34" s="14"/>
      <c r="B34" s="15">
        <v>42490</v>
      </c>
      <c r="C34" s="16">
        <v>78709.210000000006</v>
      </c>
      <c r="D34" s="17" t="s">
        <v>309</v>
      </c>
      <c r="E34" s="18">
        <v>42490</v>
      </c>
      <c r="F34" s="19">
        <v>81440.850000000006</v>
      </c>
      <c r="G34" s="20"/>
      <c r="H34" s="24">
        <v>42490</v>
      </c>
      <c r="I34" s="45">
        <v>0</v>
      </c>
      <c r="J34" s="26"/>
      <c r="K34" s="59"/>
      <c r="L34" s="337"/>
      <c r="M34" s="33">
        <v>231.5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117585.39</v>
      </c>
    </row>
    <row r="38" spans="1:17" x14ac:dyDescent="0.25">
      <c r="B38" s="82" t="s">
        <v>16</v>
      </c>
      <c r="C38" s="83">
        <f>SUM(C5:C37)</f>
        <v>1208327.7200000002</v>
      </c>
      <c r="E38" s="263" t="s">
        <v>16</v>
      </c>
      <c r="F38" s="85">
        <f>SUM(F5:F37)</f>
        <v>1341658.5200000003</v>
      </c>
      <c r="H38" s="5" t="s">
        <v>16</v>
      </c>
      <c r="I38" s="86">
        <f>SUM(I5:I37)</f>
        <v>6919.22</v>
      </c>
      <c r="J38" s="86"/>
      <c r="K38" s="87" t="s">
        <v>16</v>
      </c>
      <c r="L38" s="88">
        <f>SUM(L5:L37)</f>
        <v>92800.5</v>
      </c>
    </row>
    <row r="40" spans="1:17" ht="15.75" x14ac:dyDescent="0.25">
      <c r="A40" s="89"/>
      <c r="B40" s="90"/>
      <c r="C40" s="26"/>
      <c r="D40" s="91"/>
      <c r="E40" s="92"/>
      <c r="F40" s="67"/>
      <c r="H40" s="325" t="s">
        <v>17</v>
      </c>
      <c r="I40" s="326"/>
      <c r="J40" s="262"/>
      <c r="K40" s="327">
        <f>I38+L38</f>
        <v>99719.72</v>
      </c>
      <c r="L40" s="328"/>
    </row>
    <row r="41" spans="1:17" ht="15.75" x14ac:dyDescent="0.25">
      <c r="B41" s="94"/>
      <c r="C41" s="67"/>
      <c r="D41" s="312" t="s">
        <v>18</v>
      </c>
      <c r="E41" s="312"/>
      <c r="F41" s="95">
        <f>F38-K40</f>
        <v>1241938.8000000003</v>
      </c>
      <c r="I41" s="96"/>
      <c r="J41" s="96"/>
    </row>
    <row r="42" spans="1:17" ht="15.75" x14ac:dyDescent="0.25">
      <c r="D42" s="313" t="s">
        <v>193</v>
      </c>
      <c r="E42" s="313"/>
      <c r="F42" s="95">
        <v>-1164331.73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77607.070000000298</v>
      </c>
      <c r="I44" s="314" t="s">
        <v>22</v>
      </c>
      <c r="J44" s="315"/>
      <c r="K44" s="318">
        <f>F48+L46</f>
        <v>285854.91000000027</v>
      </c>
      <c r="L44" s="319"/>
    </row>
    <row r="45" spans="1:17" ht="15.75" thickBot="1" x14ac:dyDescent="0.3">
      <c r="D45" s="100" t="s">
        <v>23</v>
      </c>
      <c r="E45" s="89" t="s">
        <v>24</v>
      </c>
      <c r="F45" s="86">
        <v>20964.310000000001</v>
      </c>
      <c r="I45" s="316"/>
      <c r="J45" s="317"/>
      <c r="K45" s="320"/>
      <c r="L45" s="321"/>
    </row>
    <row r="46" spans="1:17" ht="17.25" thickTop="1" thickBot="1" x14ac:dyDescent="0.3">
      <c r="C46" s="85"/>
      <c r="D46" s="322" t="s">
        <v>25</v>
      </c>
      <c r="E46" s="322"/>
      <c r="F46" s="101">
        <v>187283.53</v>
      </c>
      <c r="I46" s="323"/>
      <c r="J46" s="323"/>
      <c r="K46" s="324"/>
      <c r="L46" s="102"/>
    </row>
    <row r="47" spans="1:17" ht="19.5" thickBot="1" x14ac:dyDescent="0.35">
      <c r="C47" s="85"/>
      <c r="D47" s="263"/>
      <c r="E47" s="263"/>
      <c r="F47" s="103"/>
      <c r="H47" s="104"/>
      <c r="I47" s="264" t="s">
        <v>26</v>
      </c>
      <c r="J47" s="264"/>
      <c r="K47" s="305">
        <f>-C4</f>
        <v>-215429.42</v>
      </c>
      <c r="L47" s="306"/>
    </row>
    <row r="48" spans="1:17" ht="17.25" thickTop="1" thickBot="1" x14ac:dyDescent="0.3">
      <c r="E48" s="106" t="s">
        <v>27</v>
      </c>
      <c r="F48" s="107">
        <f>F44+F45+F46</f>
        <v>285854.91000000027</v>
      </c>
    </row>
    <row r="49" spans="2:14" ht="19.5" thickBot="1" x14ac:dyDescent="0.35">
      <c r="B49"/>
      <c r="C49"/>
      <c r="D49" s="307"/>
      <c r="E49" s="307"/>
      <c r="F49" s="67"/>
      <c r="I49" s="308" t="s">
        <v>28</v>
      </c>
      <c r="J49" s="309"/>
      <c r="K49" s="310">
        <f>K44+K47</f>
        <v>70425.490000000253</v>
      </c>
      <c r="L49" s="311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71"/>
  <sheetViews>
    <sheetView topLeftCell="A22" workbookViewId="0">
      <selection activeCell="F35" sqref="F35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2.5703125" bestFit="1" customWidth="1"/>
    <col min="12" max="12" width="18.7109375" customWidth="1"/>
    <col min="15" max="15" width="20.140625" bestFit="1" customWidth="1"/>
    <col min="16" max="16" width="12.140625" bestFit="1" customWidth="1"/>
  </cols>
  <sheetData>
    <row r="1" spans="1:16" ht="19.5" thickBot="1" x14ac:dyDescent="0.35">
      <c r="B1" s="109" t="s">
        <v>224</v>
      </c>
      <c r="C1" s="110"/>
      <c r="D1" s="111"/>
      <c r="L1" s="146" t="s">
        <v>46</v>
      </c>
      <c r="M1" s="147"/>
      <c r="N1" s="148"/>
      <c r="O1" s="231">
        <v>42478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42462</v>
      </c>
      <c r="B3" s="123" t="s">
        <v>226</v>
      </c>
      <c r="C3" s="21">
        <v>44696.6</v>
      </c>
      <c r="D3" s="117">
        <v>42478</v>
      </c>
      <c r="E3" s="21">
        <v>44696.6</v>
      </c>
      <c r="F3" s="118">
        <f t="shared" ref="F3:F46" si="0"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42464</v>
      </c>
      <c r="B4" s="123" t="s">
        <v>227</v>
      </c>
      <c r="C4" s="21">
        <v>41610.629999999997</v>
      </c>
      <c r="D4" s="117">
        <v>42478</v>
      </c>
      <c r="E4" s="21">
        <v>41610.629999999997</v>
      </c>
      <c r="F4" s="122">
        <f t="shared" si="0"/>
        <v>0</v>
      </c>
      <c r="J4" s="3">
        <f>26000+25000+34000+12500+34710.68+6000</f>
        <v>138210.68</v>
      </c>
      <c r="K4" s="123" t="s">
        <v>201</v>
      </c>
      <c r="L4" s="21">
        <v>138210.68</v>
      </c>
      <c r="M4" s="156"/>
      <c r="N4" s="157">
        <v>3281257</v>
      </c>
      <c r="O4" s="158">
        <v>26000</v>
      </c>
      <c r="P4" s="159">
        <v>42451</v>
      </c>
    </row>
    <row r="5" spans="1:16" ht="15.75" x14ac:dyDescent="0.25">
      <c r="A5" s="119">
        <v>42461</v>
      </c>
      <c r="B5" s="123" t="s">
        <v>229</v>
      </c>
      <c r="C5" s="21">
        <v>11046</v>
      </c>
      <c r="D5" s="117">
        <v>42478</v>
      </c>
      <c r="E5" s="21">
        <v>11046</v>
      </c>
      <c r="F5" s="122">
        <f t="shared" si="0"/>
        <v>0</v>
      </c>
      <c r="J5" s="3">
        <v>40510.6</v>
      </c>
      <c r="K5" s="123" t="s">
        <v>215</v>
      </c>
      <c r="L5" s="21">
        <v>40510.6</v>
      </c>
      <c r="M5" s="160"/>
      <c r="N5" s="157">
        <v>3237375</v>
      </c>
      <c r="O5" s="158">
        <v>25000</v>
      </c>
      <c r="P5" s="159">
        <v>42452</v>
      </c>
    </row>
    <row r="6" spans="1:16" ht="15.75" x14ac:dyDescent="0.25">
      <c r="A6" s="119">
        <v>42466</v>
      </c>
      <c r="B6" s="123" t="s">
        <v>230</v>
      </c>
      <c r="C6" s="21">
        <v>43546.6</v>
      </c>
      <c r="D6" s="117">
        <v>42478</v>
      </c>
      <c r="E6" s="21">
        <v>43546.6</v>
      </c>
      <c r="F6" s="122">
        <f t="shared" si="0"/>
        <v>0</v>
      </c>
      <c r="J6" s="3">
        <f>4000+18400.6</f>
        <v>22400.6</v>
      </c>
      <c r="K6" s="123" t="s">
        <v>214</v>
      </c>
      <c r="L6" s="21">
        <v>22400.6</v>
      </c>
      <c r="M6" s="160"/>
      <c r="N6" s="157">
        <v>3281256</v>
      </c>
      <c r="O6" s="158">
        <v>34000</v>
      </c>
      <c r="P6" s="159">
        <v>42453</v>
      </c>
    </row>
    <row r="7" spans="1:16" ht="15.75" x14ac:dyDescent="0.25">
      <c r="A7" s="119">
        <v>42467</v>
      </c>
      <c r="B7" s="123" t="s">
        <v>231</v>
      </c>
      <c r="C7" s="21">
        <v>35667.4</v>
      </c>
      <c r="D7" s="117">
        <v>42478</v>
      </c>
      <c r="E7" s="21">
        <v>35667.4</v>
      </c>
      <c r="F7" s="122">
        <f t="shared" si="0"/>
        <v>0</v>
      </c>
      <c r="J7" s="3">
        <v>3285</v>
      </c>
      <c r="K7" s="123" t="s">
        <v>216</v>
      </c>
      <c r="L7" s="21">
        <v>3285</v>
      </c>
      <c r="M7" s="161"/>
      <c r="N7" s="157" t="s">
        <v>52</v>
      </c>
      <c r="O7" s="158">
        <v>12500</v>
      </c>
      <c r="P7" s="159">
        <v>42455</v>
      </c>
    </row>
    <row r="8" spans="1:16" ht="15.75" x14ac:dyDescent="0.25">
      <c r="A8" s="119">
        <v>42467</v>
      </c>
      <c r="B8" s="123" t="s">
        <v>232</v>
      </c>
      <c r="C8" s="26">
        <v>29899</v>
      </c>
      <c r="D8" s="117">
        <v>42478</v>
      </c>
      <c r="E8" s="26">
        <v>29899</v>
      </c>
      <c r="F8" s="122">
        <f t="shared" si="0"/>
        <v>0</v>
      </c>
      <c r="J8" s="3">
        <f>19000+37627</f>
        <v>56627</v>
      </c>
      <c r="K8" s="123" t="s">
        <v>217</v>
      </c>
      <c r="L8" s="21">
        <v>56627</v>
      </c>
      <c r="M8" s="160"/>
      <c r="N8" s="157" t="s">
        <v>52</v>
      </c>
      <c r="O8" s="162">
        <v>6965</v>
      </c>
      <c r="P8" s="163">
        <v>42451</v>
      </c>
    </row>
    <row r="9" spans="1:16" ht="15.75" x14ac:dyDescent="0.25">
      <c r="A9" s="119">
        <v>42468</v>
      </c>
      <c r="B9" s="123" t="s">
        <v>233</v>
      </c>
      <c r="C9" s="26">
        <v>30082.45</v>
      </c>
      <c r="D9" s="117">
        <v>42478</v>
      </c>
      <c r="E9" s="26">
        <v>30082.45</v>
      </c>
      <c r="F9" s="122">
        <f t="shared" si="0"/>
        <v>0</v>
      </c>
      <c r="J9" s="3">
        <v>3210</v>
      </c>
      <c r="K9" s="123" t="s">
        <v>218</v>
      </c>
      <c r="L9" s="26">
        <v>3210</v>
      </c>
      <c r="M9" s="160"/>
      <c r="N9" s="157" t="s">
        <v>52</v>
      </c>
      <c r="O9" s="162">
        <v>9454.4</v>
      </c>
      <c r="P9" s="163">
        <v>42455</v>
      </c>
    </row>
    <row r="10" spans="1:16" ht="15.75" x14ac:dyDescent="0.25">
      <c r="A10" s="124">
        <v>42468</v>
      </c>
      <c r="B10" s="123" t="s">
        <v>234</v>
      </c>
      <c r="C10" s="26">
        <v>6838.2</v>
      </c>
      <c r="D10" s="117">
        <v>42478</v>
      </c>
      <c r="E10" s="26">
        <v>6838.2</v>
      </c>
      <c r="F10" s="122">
        <f t="shared" si="0"/>
        <v>0</v>
      </c>
      <c r="J10" s="3">
        <f>3500+4503</f>
        <v>8003</v>
      </c>
      <c r="K10" s="123" t="s">
        <v>219</v>
      </c>
      <c r="L10" s="26">
        <v>8003.04</v>
      </c>
      <c r="M10" s="160"/>
      <c r="N10" s="157" t="s">
        <v>52</v>
      </c>
      <c r="O10" s="162">
        <v>66086</v>
      </c>
      <c r="P10" s="163">
        <v>42457</v>
      </c>
    </row>
    <row r="11" spans="1:16" ht="15.75" x14ac:dyDescent="0.25">
      <c r="A11" s="119">
        <v>42469</v>
      </c>
      <c r="B11" s="125" t="s">
        <v>235</v>
      </c>
      <c r="C11" s="26">
        <v>31947.200000000001</v>
      </c>
      <c r="D11" s="117">
        <v>42478</v>
      </c>
      <c r="E11" s="26">
        <v>31947.200000000001</v>
      </c>
      <c r="F11" s="127">
        <f t="shared" si="0"/>
        <v>0</v>
      </c>
      <c r="J11" s="3">
        <v>13509.92</v>
      </c>
      <c r="K11" s="123" t="s">
        <v>220</v>
      </c>
      <c r="L11" s="26">
        <v>13509.92</v>
      </c>
      <c r="M11" s="160"/>
      <c r="N11" s="157" t="s">
        <v>52</v>
      </c>
      <c r="O11" s="162">
        <v>37400</v>
      </c>
      <c r="P11" s="163">
        <v>42457</v>
      </c>
    </row>
    <row r="12" spans="1:16" ht="15.75" x14ac:dyDescent="0.25">
      <c r="A12" s="119">
        <v>42470</v>
      </c>
      <c r="B12" s="125" t="s">
        <v>236</v>
      </c>
      <c r="C12" s="26">
        <v>39181.360000000001</v>
      </c>
      <c r="D12" s="121" t="s">
        <v>289</v>
      </c>
      <c r="E12" s="26">
        <f>6497.99+32683.37</f>
        <v>39181.360000000001</v>
      </c>
      <c r="F12" s="127">
        <f t="shared" si="0"/>
        <v>0</v>
      </c>
      <c r="J12" s="3">
        <f>39000+76000+10517</f>
        <v>125517</v>
      </c>
      <c r="K12" s="123" t="s">
        <v>221</v>
      </c>
      <c r="L12" s="26">
        <v>125517</v>
      </c>
      <c r="M12" s="160"/>
      <c r="N12" s="157" t="s">
        <v>52</v>
      </c>
      <c r="O12" s="162">
        <v>44337</v>
      </c>
      <c r="P12" s="163">
        <v>42458</v>
      </c>
    </row>
    <row r="13" spans="1:16" ht="15.75" x14ac:dyDescent="0.25">
      <c r="A13" s="119">
        <v>42471</v>
      </c>
      <c r="B13" s="125" t="s">
        <v>237</v>
      </c>
      <c r="C13" s="26">
        <v>50865</v>
      </c>
      <c r="D13" s="117">
        <v>42486</v>
      </c>
      <c r="E13" s="26">
        <v>50865</v>
      </c>
      <c r="F13" s="127">
        <f t="shared" si="0"/>
        <v>0</v>
      </c>
      <c r="J13" s="3">
        <v>3400.19</v>
      </c>
      <c r="K13" s="123" t="s">
        <v>222</v>
      </c>
      <c r="L13" s="26">
        <v>3400.19</v>
      </c>
      <c r="M13" s="160"/>
      <c r="N13" s="157" t="s">
        <v>52</v>
      </c>
      <c r="O13" s="162">
        <v>18013</v>
      </c>
      <c r="P13" s="163">
        <v>42459</v>
      </c>
    </row>
    <row r="14" spans="1:16" ht="15.75" x14ac:dyDescent="0.25">
      <c r="A14" s="119">
        <v>42472</v>
      </c>
      <c r="B14" s="125" t="s">
        <v>238</v>
      </c>
      <c r="C14" s="26">
        <v>27759</v>
      </c>
      <c r="D14" s="117">
        <v>42486</v>
      </c>
      <c r="E14" s="26">
        <v>27759</v>
      </c>
      <c r="F14" s="127">
        <f t="shared" si="0"/>
        <v>0</v>
      </c>
      <c r="J14" s="3">
        <v>25757.200000000001</v>
      </c>
      <c r="K14" s="126" t="s">
        <v>223</v>
      </c>
      <c r="L14" s="21">
        <v>25757.200000000001</v>
      </c>
      <c r="M14" s="160"/>
      <c r="N14" s="157" t="s">
        <v>52</v>
      </c>
      <c r="O14" s="162">
        <v>39000</v>
      </c>
      <c r="P14" s="163">
        <v>42460</v>
      </c>
    </row>
    <row r="15" spans="1:16" ht="15.75" x14ac:dyDescent="0.25">
      <c r="A15" s="119">
        <v>42473</v>
      </c>
      <c r="B15" s="125" t="s">
        <v>239</v>
      </c>
      <c r="C15" s="26">
        <v>49488.84</v>
      </c>
      <c r="D15" s="117">
        <v>42486</v>
      </c>
      <c r="E15" s="26">
        <v>49488.84</v>
      </c>
      <c r="F15" s="127">
        <f t="shared" si="0"/>
        <v>0</v>
      </c>
      <c r="J15" s="3">
        <f>12000+39539.6</f>
        <v>51539.6</v>
      </c>
      <c r="K15" s="128" t="s">
        <v>225</v>
      </c>
      <c r="L15" s="26">
        <v>51539.6</v>
      </c>
      <c r="M15" s="232"/>
      <c r="N15" s="233">
        <v>3281252</v>
      </c>
      <c r="O15" s="234">
        <v>76000</v>
      </c>
      <c r="P15" s="235">
        <v>42461</v>
      </c>
    </row>
    <row r="16" spans="1:16" ht="15.75" x14ac:dyDescent="0.25">
      <c r="A16" s="124">
        <v>42474</v>
      </c>
      <c r="B16" s="123" t="s">
        <v>240</v>
      </c>
      <c r="C16" s="21">
        <v>6231.1</v>
      </c>
      <c r="D16" s="117">
        <v>42486</v>
      </c>
      <c r="E16" s="21">
        <v>6231.1</v>
      </c>
      <c r="F16" s="127">
        <f t="shared" si="0"/>
        <v>0</v>
      </c>
      <c r="J16" s="3">
        <v>2356</v>
      </c>
      <c r="K16" s="128" t="s">
        <v>228</v>
      </c>
      <c r="L16" s="26">
        <v>2356</v>
      </c>
      <c r="M16" s="164"/>
      <c r="N16" s="157">
        <v>3261761</v>
      </c>
      <c r="O16" s="158">
        <v>65076</v>
      </c>
      <c r="P16" s="159">
        <v>42464</v>
      </c>
    </row>
    <row r="17" spans="1:16" ht="15.75" x14ac:dyDescent="0.25">
      <c r="A17" s="124">
        <v>42476</v>
      </c>
      <c r="B17" s="123" t="s">
        <v>265</v>
      </c>
      <c r="C17" s="21">
        <v>46322</v>
      </c>
      <c r="D17" s="117">
        <v>42486</v>
      </c>
      <c r="E17" s="21">
        <v>46322</v>
      </c>
      <c r="F17" s="127">
        <f t="shared" si="0"/>
        <v>0</v>
      </c>
      <c r="J17" s="3">
        <f>4000+18696.6+22000</f>
        <v>44696.6</v>
      </c>
      <c r="K17" s="123" t="s">
        <v>226</v>
      </c>
      <c r="L17" s="21">
        <v>44696.6</v>
      </c>
      <c r="M17" s="164"/>
      <c r="N17" s="157">
        <v>3261959</v>
      </c>
      <c r="O17" s="158">
        <v>43540</v>
      </c>
      <c r="P17" s="159">
        <v>42464</v>
      </c>
    </row>
    <row r="18" spans="1:16" ht="15.75" x14ac:dyDescent="0.25">
      <c r="A18" s="124">
        <v>42476</v>
      </c>
      <c r="B18" s="123" t="s">
        <v>266</v>
      </c>
      <c r="C18" s="21">
        <v>28405.3</v>
      </c>
      <c r="D18" s="117">
        <v>42486</v>
      </c>
      <c r="E18" s="21">
        <v>28405.3</v>
      </c>
      <c r="F18" s="127">
        <f t="shared" si="0"/>
        <v>0</v>
      </c>
      <c r="J18" s="3">
        <f>5000+10110.63+26500</f>
        <v>41610.629999999997</v>
      </c>
      <c r="K18" s="123" t="s">
        <v>227</v>
      </c>
      <c r="L18" s="21">
        <v>41610.629999999997</v>
      </c>
      <c r="M18" s="164"/>
      <c r="N18" s="157" t="s">
        <v>52</v>
      </c>
      <c r="O18" s="158">
        <v>18696</v>
      </c>
      <c r="P18" s="159">
        <v>42465</v>
      </c>
    </row>
    <row r="19" spans="1:16" ht="15.75" x14ac:dyDescent="0.25">
      <c r="A19" s="124">
        <v>42475</v>
      </c>
      <c r="B19" s="123" t="s">
        <v>267</v>
      </c>
      <c r="C19" s="21">
        <v>46146.7</v>
      </c>
      <c r="D19" s="117">
        <v>42486</v>
      </c>
      <c r="E19" s="21">
        <v>46146.7</v>
      </c>
      <c r="F19" s="127">
        <f t="shared" si="0"/>
        <v>0</v>
      </c>
      <c r="J19" s="3">
        <v>11046</v>
      </c>
      <c r="K19" s="123" t="s">
        <v>229</v>
      </c>
      <c r="L19" s="21">
        <v>11046</v>
      </c>
      <c r="M19" s="164"/>
      <c r="N19" s="157" t="s">
        <v>52</v>
      </c>
      <c r="O19" s="158">
        <v>27000</v>
      </c>
      <c r="P19" s="159">
        <v>42467</v>
      </c>
    </row>
    <row r="20" spans="1:16" ht="15.75" x14ac:dyDescent="0.25">
      <c r="A20" s="124">
        <v>42475</v>
      </c>
      <c r="B20" s="123" t="s">
        <v>268</v>
      </c>
      <c r="C20" s="21">
        <v>4614</v>
      </c>
      <c r="D20" s="117">
        <v>42486</v>
      </c>
      <c r="E20" s="21">
        <v>4614</v>
      </c>
      <c r="F20" s="127">
        <f t="shared" si="0"/>
        <v>0</v>
      </c>
      <c r="J20" s="3">
        <v>43546.6</v>
      </c>
      <c r="K20" s="123" t="s">
        <v>230</v>
      </c>
      <c r="L20" s="21">
        <v>43546.6</v>
      </c>
      <c r="M20" s="164"/>
      <c r="N20" s="157" t="s">
        <v>52</v>
      </c>
      <c r="O20" s="158">
        <v>26500</v>
      </c>
      <c r="P20" s="159">
        <v>42467</v>
      </c>
    </row>
    <row r="21" spans="1:16" ht="15.75" x14ac:dyDescent="0.25">
      <c r="A21" s="124">
        <v>42477</v>
      </c>
      <c r="B21" s="123" t="s">
        <v>275</v>
      </c>
      <c r="C21" s="21">
        <v>105331.84</v>
      </c>
      <c r="D21" s="117">
        <v>42486</v>
      </c>
      <c r="E21" s="21">
        <v>105331.84</v>
      </c>
      <c r="F21" s="127">
        <f t="shared" si="0"/>
        <v>0</v>
      </c>
      <c r="J21" s="3">
        <v>35667.4</v>
      </c>
      <c r="K21" s="123" t="s">
        <v>231</v>
      </c>
      <c r="L21" s="21">
        <v>35667.4</v>
      </c>
      <c r="M21" s="164"/>
      <c r="N21" s="157">
        <v>3261769</v>
      </c>
      <c r="O21" s="158">
        <v>63657</v>
      </c>
      <c r="P21" s="159">
        <v>42468</v>
      </c>
    </row>
    <row r="22" spans="1:16" ht="15.75" x14ac:dyDescent="0.25">
      <c r="A22" s="124">
        <v>42479</v>
      </c>
      <c r="B22" s="123" t="s">
        <v>276</v>
      </c>
      <c r="C22" s="21">
        <v>23456.1</v>
      </c>
      <c r="D22" s="117">
        <v>42486</v>
      </c>
      <c r="E22" s="21">
        <v>23456.1</v>
      </c>
      <c r="F22" s="127">
        <f t="shared" si="0"/>
        <v>0</v>
      </c>
      <c r="J22" s="3">
        <f>10000+19899</f>
        <v>29899</v>
      </c>
      <c r="K22" s="123" t="s">
        <v>232</v>
      </c>
      <c r="L22" s="26">
        <v>29899</v>
      </c>
      <c r="M22" s="164"/>
      <c r="N22" s="157">
        <v>3281246</v>
      </c>
      <c r="O22" s="158">
        <v>56820</v>
      </c>
      <c r="P22" s="159">
        <v>42469</v>
      </c>
    </row>
    <row r="23" spans="1:16" ht="15.75" x14ac:dyDescent="0.25">
      <c r="A23" s="124">
        <v>42481</v>
      </c>
      <c r="B23" s="123" t="s">
        <v>277</v>
      </c>
      <c r="C23" s="21">
        <v>110736.2</v>
      </c>
      <c r="D23" s="129" t="s">
        <v>331</v>
      </c>
      <c r="E23" s="36">
        <f>86734.256+24001.94</f>
        <v>110736.196</v>
      </c>
      <c r="F23" s="127">
        <f t="shared" si="0"/>
        <v>4.0000000008149073E-3</v>
      </c>
      <c r="J23" s="3">
        <v>30082.45</v>
      </c>
      <c r="K23" s="123" t="s">
        <v>233</v>
      </c>
      <c r="L23" s="26">
        <v>30082.45</v>
      </c>
      <c r="M23" s="164"/>
      <c r="N23" s="157">
        <v>3281244</v>
      </c>
      <c r="O23" s="158">
        <v>35667</v>
      </c>
      <c r="P23" s="159">
        <v>42470</v>
      </c>
    </row>
    <row r="24" spans="1:16" ht="15.75" x14ac:dyDescent="0.25">
      <c r="A24" s="124">
        <v>42483</v>
      </c>
      <c r="B24" s="123" t="s">
        <v>290</v>
      </c>
      <c r="C24" s="285">
        <v>117622.84</v>
      </c>
      <c r="D24" s="191">
        <v>42503</v>
      </c>
      <c r="E24" s="36">
        <v>117622.84</v>
      </c>
      <c r="F24" s="127">
        <f t="shared" si="0"/>
        <v>0</v>
      </c>
      <c r="J24" s="3">
        <v>6838.2</v>
      </c>
      <c r="K24" s="123" t="s">
        <v>234</v>
      </c>
      <c r="L24" s="26">
        <v>6838.2</v>
      </c>
      <c r="M24" s="164"/>
      <c r="N24" s="157">
        <v>3281245</v>
      </c>
      <c r="O24" s="158">
        <v>23546</v>
      </c>
      <c r="P24" s="159">
        <v>42471</v>
      </c>
    </row>
    <row r="25" spans="1:16" ht="15.75" x14ac:dyDescent="0.25">
      <c r="A25" s="124">
        <v>42483</v>
      </c>
      <c r="B25" s="123" t="s">
        <v>291</v>
      </c>
      <c r="C25" s="285">
        <v>1680</v>
      </c>
      <c r="D25" s="191">
        <v>42503</v>
      </c>
      <c r="E25" s="36">
        <v>1680</v>
      </c>
      <c r="F25" s="127">
        <f t="shared" si="0"/>
        <v>0</v>
      </c>
      <c r="J25" s="3">
        <f>11045.9+20901</f>
        <v>31946.9</v>
      </c>
      <c r="K25" s="125" t="s">
        <v>235</v>
      </c>
      <c r="L25" s="26">
        <v>31947.200000000001</v>
      </c>
      <c r="M25" s="164"/>
      <c r="N25" s="157" t="s">
        <v>52</v>
      </c>
      <c r="O25" s="158">
        <v>6693.5</v>
      </c>
      <c r="P25" s="159">
        <v>42461</v>
      </c>
    </row>
    <row r="26" spans="1:16" ht="15.75" x14ac:dyDescent="0.25">
      <c r="A26" s="124">
        <v>42485</v>
      </c>
      <c r="B26" s="123" t="s">
        <v>292</v>
      </c>
      <c r="C26" s="285">
        <v>20827.599999999999</v>
      </c>
      <c r="D26" s="191">
        <v>42503</v>
      </c>
      <c r="E26" s="36">
        <v>20827.599999999999</v>
      </c>
      <c r="F26" s="127">
        <f t="shared" si="0"/>
        <v>0</v>
      </c>
      <c r="J26" s="3">
        <f>12500-6000</f>
        <v>6500</v>
      </c>
      <c r="K26" s="125" t="s">
        <v>236</v>
      </c>
      <c r="L26" s="26">
        <v>6497.99</v>
      </c>
      <c r="M26" s="164" t="s">
        <v>60</v>
      </c>
      <c r="N26" s="157" t="s">
        <v>52</v>
      </c>
      <c r="O26" s="158">
        <v>11027</v>
      </c>
      <c r="P26" s="159">
        <v>42471</v>
      </c>
    </row>
    <row r="27" spans="1:16" ht="15.75" x14ac:dyDescent="0.25">
      <c r="A27" s="124">
        <v>42487</v>
      </c>
      <c r="B27" s="123" t="s">
        <v>293</v>
      </c>
      <c r="C27" s="21">
        <v>73389.75</v>
      </c>
      <c r="D27" s="191">
        <v>42503</v>
      </c>
      <c r="E27" s="36">
        <v>73389.75</v>
      </c>
      <c r="F27" s="127">
        <f t="shared" si="0"/>
        <v>0</v>
      </c>
      <c r="J27" s="241">
        <f>SUM(J4:J26)</f>
        <v>776160.57</v>
      </c>
      <c r="K27" s="165"/>
      <c r="L27" s="166"/>
      <c r="M27" s="165"/>
      <c r="N27" s="240" t="s">
        <v>52</v>
      </c>
      <c r="O27" s="215">
        <v>3181</v>
      </c>
      <c r="P27" s="163">
        <v>42459</v>
      </c>
    </row>
    <row r="28" spans="1:16" ht="15.75" x14ac:dyDescent="0.25">
      <c r="A28" s="124">
        <v>42489</v>
      </c>
      <c r="B28" s="123" t="s">
        <v>294</v>
      </c>
      <c r="C28" s="21">
        <v>23067.119999999999</v>
      </c>
      <c r="D28" s="191">
        <v>42503</v>
      </c>
      <c r="E28" s="36">
        <v>23067.119999999999</v>
      </c>
      <c r="F28" s="127">
        <f t="shared" si="0"/>
        <v>0</v>
      </c>
      <c r="K28" s="123"/>
      <c r="L28" s="236">
        <v>0</v>
      </c>
      <c r="M28" s="160"/>
      <c r="N28" s="237" t="s">
        <v>52</v>
      </c>
      <c r="O28" s="238"/>
      <c r="P28" s="239"/>
    </row>
    <row r="29" spans="1:16" ht="15.75" thickBot="1" x14ac:dyDescent="0.3">
      <c r="A29" s="124">
        <v>42489</v>
      </c>
      <c r="B29" s="123" t="s">
        <v>295</v>
      </c>
      <c r="C29" s="21">
        <v>95792.7</v>
      </c>
      <c r="D29" s="191">
        <v>42503</v>
      </c>
      <c r="E29" s="36">
        <v>95792.7</v>
      </c>
      <c r="F29" s="127">
        <f t="shared" si="0"/>
        <v>0</v>
      </c>
      <c r="K29" s="242"/>
      <c r="L29" s="243">
        <v>0</v>
      </c>
      <c r="M29" s="243"/>
      <c r="N29" s="243" t="s">
        <v>52</v>
      </c>
      <c r="O29" s="243"/>
      <c r="P29" s="244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K30" s="196"/>
      <c r="L30" s="26">
        <f>SUM(L4:L29)</f>
        <v>776158.89999999979</v>
      </c>
      <c r="M30" s="43"/>
      <c r="N30" s="219"/>
      <c r="O30" s="220">
        <f>SUM(O4:O29)</f>
        <v>776158.9</v>
      </c>
      <c r="P30" s="218"/>
    </row>
    <row r="31" spans="1:1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1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1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16" ht="15.75" thickBot="1" x14ac:dyDescent="0.3">
      <c r="A34" s="124"/>
      <c r="B34" s="123"/>
      <c r="C34" s="21">
        <v>14582.2</v>
      </c>
      <c r="D34" s="129"/>
      <c r="E34" s="36"/>
      <c r="F34" s="127">
        <v>0</v>
      </c>
    </row>
    <row r="35" spans="1:16" ht="19.5" thickBot="1" x14ac:dyDescent="0.35">
      <c r="A35" s="124"/>
      <c r="B35" s="123"/>
      <c r="C35" s="26"/>
      <c r="D35" s="130"/>
      <c r="E35" s="131"/>
      <c r="F35" s="127">
        <f t="shared" si="0"/>
        <v>0</v>
      </c>
      <c r="L35" s="146" t="s">
        <v>46</v>
      </c>
      <c r="M35" s="147"/>
      <c r="N35" s="148"/>
      <c r="O35" s="267">
        <v>42486</v>
      </c>
      <c r="P35" s="150"/>
    </row>
    <row r="36" spans="1:16" ht="15.75" x14ac:dyDescent="0.25">
      <c r="A36" s="132"/>
      <c r="B36" s="123"/>
      <c r="C36" s="26"/>
      <c r="D36" s="130"/>
      <c r="E36" s="131"/>
      <c r="F36" s="127">
        <f>C36-E36</f>
        <v>0</v>
      </c>
      <c r="K36" s="151"/>
      <c r="L36" s="152"/>
      <c r="M36" s="151"/>
      <c r="N36" s="153"/>
      <c r="O36" s="152"/>
      <c r="P36" s="154"/>
    </row>
    <row r="37" spans="1:16" ht="15.75" x14ac:dyDescent="0.25">
      <c r="A37" s="124"/>
      <c r="B37" s="123"/>
      <c r="C37" s="26"/>
      <c r="D37" s="133"/>
      <c r="E37" s="134"/>
      <c r="F37" s="127">
        <f>C37-E37</f>
        <v>0</v>
      </c>
      <c r="K37" s="155" t="s">
        <v>47</v>
      </c>
      <c r="L37" s="152" t="s">
        <v>48</v>
      </c>
      <c r="M37" s="151"/>
      <c r="N37" s="153" t="s">
        <v>49</v>
      </c>
      <c r="O37" s="152" t="s">
        <v>50</v>
      </c>
      <c r="P37" s="154"/>
    </row>
    <row r="38" spans="1:16" ht="15.75" x14ac:dyDescent="0.25">
      <c r="A38" s="124"/>
      <c r="B38" s="123"/>
      <c r="C38" s="26"/>
      <c r="D38" s="133"/>
      <c r="E38" s="134"/>
      <c r="F38" s="127">
        <f>C38-E38</f>
        <v>0</v>
      </c>
      <c r="J38" s="3">
        <v>26681.360000000001</v>
      </c>
      <c r="K38" s="125" t="s">
        <v>236</v>
      </c>
      <c r="L38" s="26">
        <v>32683.37</v>
      </c>
      <c r="M38" s="156" t="s">
        <v>51</v>
      </c>
      <c r="N38" s="157">
        <v>3281243</v>
      </c>
      <c r="O38" s="158">
        <v>30181</v>
      </c>
      <c r="P38" s="159">
        <v>42472</v>
      </c>
    </row>
    <row r="39" spans="1:16" ht="15.75" x14ac:dyDescent="0.25">
      <c r="A39" s="124"/>
      <c r="B39" s="123"/>
      <c r="C39" s="26"/>
      <c r="D39" s="121"/>
      <c r="E39" s="21"/>
      <c r="F39" s="127">
        <f>C39-E39</f>
        <v>0</v>
      </c>
      <c r="J39" s="3">
        <f>3500+28500+18865</f>
        <v>50865</v>
      </c>
      <c r="K39" s="125" t="s">
        <v>237</v>
      </c>
      <c r="L39" s="26">
        <v>50865</v>
      </c>
      <c r="M39" s="160"/>
      <c r="N39" s="157">
        <v>3281242</v>
      </c>
      <c r="O39" s="158">
        <v>28500</v>
      </c>
      <c r="P39" s="159">
        <v>42473</v>
      </c>
    </row>
    <row r="40" spans="1:16" ht="15.75" x14ac:dyDescent="0.25">
      <c r="A40" s="135"/>
      <c r="B40" s="126"/>
      <c r="C40" s="21"/>
      <c r="D40" s="133"/>
      <c r="E40" s="134"/>
      <c r="F40" s="136">
        <f>C40-E40</f>
        <v>0</v>
      </c>
      <c r="J40" s="3">
        <v>27759</v>
      </c>
      <c r="K40" s="125" t="s">
        <v>238</v>
      </c>
      <c r="L40" s="26">
        <v>27759</v>
      </c>
      <c r="M40" s="160"/>
      <c r="N40" s="157" t="s">
        <v>52</v>
      </c>
      <c r="O40" s="158">
        <v>15796</v>
      </c>
      <c r="P40" s="159">
        <v>42476</v>
      </c>
    </row>
    <row r="41" spans="1:16" ht="15.75" x14ac:dyDescent="0.25">
      <c r="A41" s="137"/>
      <c r="B41" s="128"/>
      <c r="C41" s="26"/>
      <c r="D41" s="138"/>
      <c r="E41" s="26"/>
      <c r="F41" s="136">
        <f t="shared" si="0"/>
        <v>0</v>
      </c>
      <c r="J41" s="3">
        <f>6713.2+15796+26979.64</f>
        <v>49488.84</v>
      </c>
      <c r="K41" s="125" t="s">
        <v>239</v>
      </c>
      <c r="L41" s="26">
        <v>49488.84</v>
      </c>
      <c r="M41" s="161"/>
      <c r="N41" s="157" t="s">
        <v>52</v>
      </c>
      <c r="O41" s="158">
        <v>6713</v>
      </c>
      <c r="P41" s="159">
        <v>42474</v>
      </c>
    </row>
    <row r="42" spans="1:16" ht="15.75" x14ac:dyDescent="0.25">
      <c r="A42" s="137"/>
      <c r="B42" s="128"/>
      <c r="C42" s="26"/>
      <c r="D42" s="138"/>
      <c r="E42" s="26"/>
      <c r="F42" s="136">
        <f t="shared" si="0"/>
        <v>0</v>
      </c>
      <c r="J42" s="3">
        <v>6231.1</v>
      </c>
      <c r="K42" s="123" t="s">
        <v>240</v>
      </c>
      <c r="L42" s="21">
        <v>6231.1</v>
      </c>
      <c r="M42" s="160"/>
      <c r="N42" s="157" t="s">
        <v>52</v>
      </c>
      <c r="O42" s="162">
        <v>6231</v>
      </c>
      <c r="P42" s="163">
        <v>42476</v>
      </c>
    </row>
    <row r="43" spans="1:16" ht="15.75" x14ac:dyDescent="0.25">
      <c r="A43" s="119"/>
      <c r="B43" s="139"/>
      <c r="C43" s="26"/>
      <c r="D43" s="138"/>
      <c r="E43" s="26"/>
      <c r="F43" s="136">
        <f t="shared" si="0"/>
        <v>0</v>
      </c>
      <c r="J43" s="3">
        <f>27500+6322+12500</f>
        <v>46322</v>
      </c>
      <c r="K43" s="123" t="s">
        <v>265</v>
      </c>
      <c r="L43" s="21">
        <v>46322</v>
      </c>
      <c r="M43" s="160"/>
      <c r="N43" s="157" t="s">
        <v>52</v>
      </c>
      <c r="O43" s="162">
        <v>27759</v>
      </c>
      <c r="P43" s="163">
        <v>42476</v>
      </c>
    </row>
    <row r="44" spans="1:16" ht="15.75" x14ac:dyDescent="0.25">
      <c r="A44" s="119"/>
      <c r="B44" s="140"/>
      <c r="C44" s="26"/>
      <c r="D44" s="43"/>
      <c r="E44" s="26"/>
      <c r="F44" s="136">
        <f t="shared" si="0"/>
        <v>0</v>
      </c>
      <c r="J44" s="3">
        <v>28405.3</v>
      </c>
      <c r="K44" s="123" t="s">
        <v>266</v>
      </c>
      <c r="L44" s="21">
        <v>28405.3</v>
      </c>
      <c r="M44" s="160"/>
      <c r="N44" s="157" t="s">
        <v>52</v>
      </c>
      <c r="O44" s="162">
        <v>18865</v>
      </c>
      <c r="P44" s="163">
        <v>42476</v>
      </c>
    </row>
    <row r="45" spans="1:16" ht="15.75" x14ac:dyDescent="0.25">
      <c r="A45" s="119"/>
      <c r="B45" s="140"/>
      <c r="C45" s="26"/>
      <c r="D45" s="43"/>
      <c r="E45" s="26"/>
      <c r="F45" s="136">
        <f t="shared" si="0"/>
        <v>0</v>
      </c>
      <c r="J45" s="3">
        <f>33500+12646.7</f>
        <v>46146.7</v>
      </c>
      <c r="K45" s="123" t="s">
        <v>267</v>
      </c>
      <c r="L45" s="21">
        <v>46146.7</v>
      </c>
      <c r="M45" s="160"/>
      <c r="N45" s="157">
        <v>3281238</v>
      </c>
      <c r="O45" s="162">
        <v>47374.5</v>
      </c>
      <c r="P45" s="163">
        <v>42477</v>
      </c>
    </row>
    <row r="46" spans="1:16" ht="16.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  <c r="J46" s="3">
        <v>4614</v>
      </c>
      <c r="K46" s="123" t="s">
        <v>268</v>
      </c>
      <c r="L46" s="21">
        <v>4614</v>
      </c>
      <c r="M46" s="160"/>
      <c r="N46" s="157">
        <v>3281239</v>
      </c>
      <c r="O46" s="162">
        <v>65094</v>
      </c>
      <c r="P46" s="163">
        <v>42478</v>
      </c>
    </row>
    <row r="47" spans="1:16" ht="16.5" thickTop="1" x14ac:dyDescent="0.25">
      <c r="B47" s="37"/>
      <c r="C47" s="21">
        <f>SUM(C3:C46)</f>
        <v>1160833.7299999997</v>
      </c>
      <c r="D47" s="145"/>
      <c r="E47" s="30">
        <f>SUM(E3:E46)</f>
        <v>1146251.5259999998</v>
      </c>
      <c r="F47" s="30">
        <f>SUM(F3:F46)</f>
        <v>4.0000000008149073E-3</v>
      </c>
      <c r="J47" s="3">
        <f>15000+20000+58332+12000</f>
        <v>105332</v>
      </c>
      <c r="K47" s="123" t="s">
        <v>275</v>
      </c>
      <c r="L47" s="21">
        <v>105331.84</v>
      </c>
      <c r="M47" s="160"/>
      <c r="N47" s="157" t="s">
        <v>52</v>
      </c>
      <c r="O47" s="162">
        <v>27500</v>
      </c>
      <c r="P47" s="163">
        <v>42479</v>
      </c>
    </row>
    <row r="48" spans="1:16" ht="15.75" x14ac:dyDescent="0.25">
      <c r="A48" s="20"/>
      <c r="J48" s="3">
        <v>23456.1</v>
      </c>
      <c r="K48" s="123" t="s">
        <v>276</v>
      </c>
      <c r="L48" s="21">
        <v>23456.1</v>
      </c>
      <c r="M48" s="160"/>
      <c r="N48" s="157" t="s">
        <v>52</v>
      </c>
      <c r="O48" s="162">
        <v>27500</v>
      </c>
      <c r="P48" s="163">
        <v>42481</v>
      </c>
    </row>
    <row r="49" spans="1:16" ht="15.75" x14ac:dyDescent="0.25">
      <c r="A49" s="20"/>
      <c r="C49" s="20"/>
      <c r="E49" s="20"/>
      <c r="F49" s="20"/>
      <c r="J49" s="3">
        <f>15736.2+49000+28000</f>
        <v>92736.2</v>
      </c>
      <c r="K49" s="123" t="s">
        <v>277</v>
      </c>
      <c r="L49" s="21">
        <v>86734.25</v>
      </c>
      <c r="M49" s="232" t="s">
        <v>60</v>
      </c>
      <c r="N49" s="233" t="s">
        <v>52</v>
      </c>
      <c r="O49" s="234">
        <v>20000</v>
      </c>
      <c r="P49" s="235">
        <v>42481</v>
      </c>
    </row>
    <row r="50" spans="1:16" ht="15.75" x14ac:dyDescent="0.25">
      <c r="A50" s="20"/>
      <c r="C50" s="20"/>
      <c r="E50" s="20"/>
      <c r="F50" s="20"/>
      <c r="J50" s="3">
        <v>0</v>
      </c>
      <c r="K50" s="128"/>
      <c r="L50" s="26">
        <v>0</v>
      </c>
      <c r="M50" s="164"/>
      <c r="N50" s="157" t="s">
        <v>52</v>
      </c>
      <c r="O50" s="158">
        <v>58332</v>
      </c>
      <c r="P50" s="159">
        <v>42485</v>
      </c>
    </row>
    <row r="51" spans="1:16" ht="15.75" x14ac:dyDescent="0.25">
      <c r="A51" s="268">
        <v>42461</v>
      </c>
      <c r="B51" s="20" t="s">
        <v>115</v>
      </c>
      <c r="C51" s="30">
        <v>629</v>
      </c>
      <c r="E51" s="20"/>
      <c r="F51" s="20"/>
      <c r="J51" s="3">
        <v>0</v>
      </c>
      <c r="K51" s="123"/>
      <c r="L51" s="21">
        <v>0</v>
      </c>
      <c r="M51" s="164"/>
      <c r="N51" s="157" t="s">
        <v>52</v>
      </c>
      <c r="O51" s="158">
        <v>51192</v>
      </c>
      <c r="P51" s="159">
        <v>42485</v>
      </c>
    </row>
    <row r="52" spans="1:16" ht="15.75" x14ac:dyDescent="0.25">
      <c r="A52" s="268">
        <v>42462</v>
      </c>
      <c r="B52" s="20" t="s">
        <v>256</v>
      </c>
      <c r="C52" s="30">
        <f>720+349.5</f>
        <v>1069.5</v>
      </c>
      <c r="E52" s="20"/>
      <c r="F52" s="20"/>
      <c r="J52" s="3">
        <v>0</v>
      </c>
      <c r="K52" s="123"/>
      <c r="L52" s="21">
        <v>0</v>
      </c>
      <c r="M52" s="164"/>
      <c r="N52" s="157" t="s">
        <v>52</v>
      </c>
      <c r="O52" s="158">
        <v>49000</v>
      </c>
      <c r="P52" s="159">
        <v>42485</v>
      </c>
    </row>
    <row r="53" spans="1:16" ht="15.75" x14ac:dyDescent="0.25">
      <c r="A53" s="268">
        <v>42463</v>
      </c>
      <c r="B53" s="20" t="s">
        <v>257</v>
      </c>
      <c r="C53" s="30">
        <v>774</v>
      </c>
      <c r="E53" s="20"/>
      <c r="F53" s="20"/>
      <c r="G53"/>
      <c r="J53" s="3">
        <v>0</v>
      </c>
      <c r="K53" s="123"/>
      <c r="L53" s="21">
        <v>0</v>
      </c>
      <c r="M53" s="164"/>
      <c r="N53" s="157" t="s">
        <v>52</v>
      </c>
      <c r="O53" s="158">
        <v>28000</v>
      </c>
      <c r="P53" s="159">
        <v>42486</v>
      </c>
    </row>
    <row r="54" spans="1:16" ht="15.75" x14ac:dyDescent="0.25">
      <c r="A54" s="268">
        <v>42464</v>
      </c>
      <c r="B54" s="20" t="s">
        <v>258</v>
      </c>
      <c r="C54" s="30">
        <f>699.5+375.5</f>
        <v>1075</v>
      </c>
      <c r="E54" s="20"/>
      <c r="F54" s="20"/>
      <c r="G54"/>
      <c r="J54" s="3">
        <v>0</v>
      </c>
      <c r="K54" s="123"/>
      <c r="L54" s="21">
        <v>0</v>
      </c>
      <c r="M54" s="164"/>
      <c r="N54" s="157"/>
      <c r="O54" s="158">
        <v>0</v>
      </c>
      <c r="P54" s="159"/>
    </row>
    <row r="55" spans="1:16" ht="16.5" thickBot="1" x14ac:dyDescent="0.3">
      <c r="A55" s="269">
        <v>42467</v>
      </c>
      <c r="B55" s="20" t="s">
        <v>115</v>
      </c>
      <c r="C55" s="30">
        <v>600</v>
      </c>
      <c r="J55" s="3">
        <f>SUM(J38:J54)</f>
        <v>508037.6</v>
      </c>
      <c r="K55" s="202"/>
      <c r="L55" s="142">
        <v>0</v>
      </c>
      <c r="M55" s="277"/>
      <c r="N55" s="204"/>
      <c r="O55" s="278">
        <v>0</v>
      </c>
      <c r="P55" s="279"/>
    </row>
    <row r="56" spans="1:16" ht="16.5" thickTop="1" x14ac:dyDescent="0.25">
      <c r="A56" s="269">
        <v>42468</v>
      </c>
      <c r="B56" s="20" t="s">
        <v>115</v>
      </c>
      <c r="C56" s="30">
        <v>556</v>
      </c>
      <c r="J56" s="3"/>
      <c r="K56" s="196"/>
      <c r="L56" s="26">
        <f>SUM(L38:L55)</f>
        <v>508037.5</v>
      </c>
      <c r="M56" s="43"/>
      <c r="N56" s="198"/>
      <c r="O56" s="270">
        <f>SUM(O38:O55)</f>
        <v>508037.5</v>
      </c>
      <c r="P56" s="271"/>
    </row>
    <row r="57" spans="1:16" ht="15.75" x14ac:dyDescent="0.25">
      <c r="A57" s="269">
        <v>42469</v>
      </c>
      <c r="B57" s="20" t="s">
        <v>261</v>
      </c>
      <c r="C57" s="30">
        <v>720</v>
      </c>
      <c r="J57" s="3"/>
      <c r="K57" s="196"/>
      <c r="L57" s="26"/>
      <c r="M57" s="43"/>
      <c r="N57" s="198"/>
      <c r="O57" s="270"/>
      <c r="P57" s="271"/>
    </row>
    <row r="58" spans="1:16" ht="15.75" x14ac:dyDescent="0.25">
      <c r="A58" s="269">
        <v>42472</v>
      </c>
      <c r="B58" s="20" t="s">
        <v>258</v>
      </c>
      <c r="C58" s="30">
        <v>953</v>
      </c>
      <c r="J58" s="3"/>
      <c r="K58" s="196"/>
      <c r="L58" s="26"/>
      <c r="M58" s="43"/>
      <c r="N58" s="198"/>
      <c r="O58" s="270"/>
      <c r="P58" s="271"/>
    </row>
    <row r="59" spans="1:16" ht="15.75" x14ac:dyDescent="0.25">
      <c r="A59" s="269">
        <v>42474</v>
      </c>
      <c r="B59" s="20" t="s">
        <v>115</v>
      </c>
      <c r="C59" s="30">
        <v>627</v>
      </c>
      <c r="J59" s="3"/>
      <c r="K59" s="272"/>
      <c r="L59" s="26"/>
      <c r="M59" s="43"/>
      <c r="N59" s="198"/>
      <c r="O59" s="270"/>
      <c r="P59" s="271"/>
    </row>
    <row r="60" spans="1:16" ht="15.75" x14ac:dyDescent="0.25">
      <c r="A60" s="269">
        <v>42476</v>
      </c>
      <c r="B60" s="20" t="s">
        <v>258</v>
      </c>
      <c r="C60" s="30">
        <v>980</v>
      </c>
      <c r="J60" s="3"/>
      <c r="K60" s="272"/>
      <c r="L60" s="26"/>
      <c r="M60" s="43"/>
      <c r="N60" s="198"/>
      <c r="O60" s="270"/>
      <c r="P60" s="271"/>
    </row>
    <row r="61" spans="1:16" ht="15.75" x14ac:dyDescent="0.25">
      <c r="A61" s="269">
        <v>42479</v>
      </c>
      <c r="B61" s="20" t="s">
        <v>115</v>
      </c>
      <c r="C61" s="30">
        <v>517.55999999999995</v>
      </c>
      <c r="J61" s="241"/>
      <c r="K61" s="92"/>
      <c r="L61" s="95"/>
      <c r="M61" s="92"/>
      <c r="N61" s="273"/>
      <c r="O61" s="274"/>
      <c r="P61" s="200"/>
    </row>
    <row r="62" spans="1:16" ht="15.75" x14ac:dyDescent="0.25">
      <c r="A62" s="269">
        <v>42480</v>
      </c>
      <c r="B62" s="20" t="s">
        <v>286</v>
      </c>
      <c r="C62" s="30">
        <v>1320</v>
      </c>
      <c r="K62" s="196"/>
      <c r="L62" s="26"/>
      <c r="M62" s="197"/>
      <c r="N62" s="219"/>
      <c r="O62" s="275"/>
      <c r="P62" s="276"/>
    </row>
    <row r="63" spans="1:16" x14ac:dyDescent="0.25">
      <c r="A63" s="269">
        <v>42481</v>
      </c>
      <c r="B63" s="20" t="s">
        <v>258</v>
      </c>
      <c r="C63" s="30">
        <v>1100.5</v>
      </c>
      <c r="K63" s="196"/>
      <c r="L63" s="26"/>
      <c r="M63" s="26"/>
      <c r="N63" s="26"/>
      <c r="O63" s="26"/>
      <c r="P63" s="218"/>
    </row>
    <row r="64" spans="1:16" ht="15.75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  <c r="K64" s="196"/>
      <c r="L64" s="26"/>
      <c r="M64" s="43"/>
      <c r="N64" s="219"/>
      <c r="O64" s="220"/>
      <c r="P64" s="218"/>
    </row>
    <row r="65" spans="1:3" x14ac:dyDescent="0.25">
      <c r="A65" s="269">
        <v>42485</v>
      </c>
      <c r="B65" s="20" t="s">
        <v>258</v>
      </c>
      <c r="C65" s="30">
        <v>951.64300000000003</v>
      </c>
    </row>
    <row r="66" spans="1:3" x14ac:dyDescent="0.25">
      <c r="A66" s="269">
        <v>42486</v>
      </c>
      <c r="B66" s="20" t="s">
        <v>310</v>
      </c>
      <c r="C66" s="30">
        <v>0</v>
      </c>
    </row>
    <row r="67" spans="1:3" x14ac:dyDescent="0.25">
      <c r="A67" s="269">
        <v>42487</v>
      </c>
      <c r="B67" s="20" t="s">
        <v>115</v>
      </c>
      <c r="C67" s="30">
        <v>620</v>
      </c>
    </row>
    <row r="68" spans="1:3" x14ac:dyDescent="0.25">
      <c r="A68" s="269">
        <v>42488</v>
      </c>
      <c r="B68" s="20" t="s">
        <v>310</v>
      </c>
      <c r="C68" s="30">
        <v>0</v>
      </c>
    </row>
    <row r="69" spans="1:3" x14ac:dyDescent="0.25">
      <c r="A69" s="269">
        <v>42489</v>
      </c>
      <c r="B69" s="20" t="s">
        <v>115</v>
      </c>
      <c r="C69" s="30">
        <v>644</v>
      </c>
    </row>
    <row r="70" spans="1:3" x14ac:dyDescent="0.25">
      <c r="A70" s="269">
        <v>42490</v>
      </c>
      <c r="B70" s="20" t="s">
        <v>115</v>
      </c>
      <c r="C70" s="30">
        <v>870</v>
      </c>
    </row>
    <row r="71" spans="1:3" x14ac:dyDescent="0.25">
      <c r="C71" s="30">
        <f>SUM(C51:C70)</f>
        <v>14582.203</v>
      </c>
    </row>
  </sheetData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57"/>
  <sheetViews>
    <sheetView topLeftCell="A31" workbookViewId="0">
      <selection activeCell="E53" sqref="E5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29" t="s">
        <v>296</v>
      </c>
      <c r="D1" s="329"/>
      <c r="E1" s="329"/>
      <c r="F1" s="329"/>
      <c r="G1" s="329"/>
      <c r="H1" s="329"/>
      <c r="I1" s="329"/>
      <c r="J1" s="329"/>
      <c r="K1" s="329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187283.53</v>
      </c>
      <c r="D4" s="12"/>
      <c r="E4" s="330" t="s">
        <v>3</v>
      </c>
      <c r="F4" s="331"/>
      <c r="I4" s="332" t="s">
        <v>4</v>
      </c>
      <c r="J4" s="333"/>
      <c r="K4" s="333"/>
      <c r="L4" s="333"/>
      <c r="M4" s="13" t="s">
        <v>5</v>
      </c>
    </row>
    <row r="5" spans="1:19" ht="15.75" thickTop="1" x14ac:dyDescent="0.25">
      <c r="A5" s="14"/>
      <c r="B5" s="15">
        <v>42491</v>
      </c>
      <c r="C5" s="16">
        <v>36649.5</v>
      </c>
      <c r="D5" s="17" t="s">
        <v>311</v>
      </c>
      <c r="E5" s="18">
        <v>42491</v>
      </c>
      <c r="F5" s="19">
        <v>40694.81</v>
      </c>
      <c r="G5" s="20"/>
      <c r="H5" s="186">
        <v>42491</v>
      </c>
      <c r="I5" s="187">
        <v>1353.82</v>
      </c>
      <c r="J5" s="176"/>
      <c r="K5" s="188"/>
      <c r="L5" s="189"/>
      <c r="M5" s="190">
        <v>23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42492</v>
      </c>
      <c r="C6" s="16">
        <v>38792.699999999997</v>
      </c>
      <c r="D6" s="22" t="s">
        <v>317</v>
      </c>
      <c r="E6" s="18">
        <v>42492</v>
      </c>
      <c r="F6" s="19">
        <v>39757.599999999999</v>
      </c>
      <c r="G6" s="23"/>
      <c r="H6" s="24">
        <v>42492</v>
      </c>
      <c r="I6" s="25">
        <v>156</v>
      </c>
      <c r="J6" s="26"/>
      <c r="K6" s="27" t="s">
        <v>7</v>
      </c>
      <c r="L6" s="28">
        <v>0</v>
      </c>
      <c r="M6" s="33">
        <v>809</v>
      </c>
      <c r="N6" s="30"/>
      <c r="O6" s="20"/>
      <c r="P6" s="20"/>
      <c r="Q6" s="20"/>
    </row>
    <row r="7" spans="1:19" x14ac:dyDescent="0.25">
      <c r="A7" s="14"/>
      <c r="B7" s="15">
        <v>42493</v>
      </c>
      <c r="C7" s="16">
        <v>40371</v>
      </c>
      <c r="D7" s="17" t="s">
        <v>318</v>
      </c>
      <c r="E7" s="18">
        <v>42493</v>
      </c>
      <c r="F7" s="19">
        <v>38149.440000000002</v>
      </c>
      <c r="G7" s="20"/>
      <c r="H7" s="24">
        <v>42493</v>
      </c>
      <c r="I7" s="25">
        <v>0</v>
      </c>
      <c r="J7" s="26"/>
      <c r="K7" s="31" t="s">
        <v>389</v>
      </c>
      <c r="L7" s="28">
        <v>14472</v>
      </c>
      <c r="M7" s="33">
        <v>136.5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42494</v>
      </c>
      <c r="C8" s="16">
        <v>24232</v>
      </c>
      <c r="D8" s="17" t="s">
        <v>319</v>
      </c>
      <c r="E8" s="18">
        <v>42494</v>
      </c>
      <c r="F8" s="19">
        <v>25815.599999999999</v>
      </c>
      <c r="G8" s="20"/>
      <c r="H8" s="24">
        <v>42494</v>
      </c>
      <c r="I8" s="25">
        <v>0</v>
      </c>
      <c r="J8" s="26"/>
      <c r="K8" s="27" t="s">
        <v>10</v>
      </c>
      <c r="L8" s="32">
        <v>28750</v>
      </c>
      <c r="M8" s="33">
        <v>1483.5</v>
      </c>
      <c r="N8" s="21"/>
      <c r="O8" s="20"/>
      <c r="P8" s="20"/>
      <c r="Q8" s="20"/>
    </row>
    <row r="9" spans="1:19" x14ac:dyDescent="0.25">
      <c r="A9" s="14"/>
      <c r="B9" s="15">
        <v>42495</v>
      </c>
      <c r="C9" s="16">
        <v>0</v>
      </c>
      <c r="D9" s="17"/>
      <c r="E9" s="18">
        <v>42495</v>
      </c>
      <c r="F9" s="19">
        <v>31349.91</v>
      </c>
      <c r="G9" s="20"/>
      <c r="H9" s="24">
        <v>42495</v>
      </c>
      <c r="I9" s="25">
        <v>120</v>
      </c>
      <c r="J9" s="35"/>
      <c r="K9" s="27" t="s">
        <v>312</v>
      </c>
      <c r="L9" s="19">
        <v>11686.5</v>
      </c>
      <c r="M9" s="33">
        <v>31230</v>
      </c>
      <c r="N9" s="21"/>
      <c r="O9" s="37"/>
      <c r="P9" s="20"/>
      <c r="Q9" s="20"/>
    </row>
    <row r="10" spans="1:19" x14ac:dyDescent="0.25">
      <c r="A10" s="14"/>
      <c r="B10" s="15">
        <v>42496</v>
      </c>
      <c r="C10" s="16">
        <v>111139.9</v>
      </c>
      <c r="D10" s="22" t="s">
        <v>322</v>
      </c>
      <c r="E10" s="18">
        <v>42496</v>
      </c>
      <c r="F10" s="19">
        <v>107642.64</v>
      </c>
      <c r="G10" s="20"/>
      <c r="H10" s="24">
        <v>42496</v>
      </c>
      <c r="I10" s="25">
        <v>100</v>
      </c>
      <c r="J10" s="35"/>
      <c r="K10" s="27" t="s">
        <v>313</v>
      </c>
      <c r="L10" s="19">
        <v>11150</v>
      </c>
      <c r="M10" s="33">
        <v>253</v>
      </c>
      <c r="N10" s="21"/>
      <c r="O10" s="20"/>
      <c r="P10" s="20"/>
      <c r="Q10" s="20"/>
    </row>
    <row r="11" spans="1:19" x14ac:dyDescent="0.25">
      <c r="A11" s="14"/>
      <c r="B11" s="15">
        <v>42497</v>
      </c>
      <c r="C11" s="16">
        <v>56175.41</v>
      </c>
      <c r="D11" s="34" t="s">
        <v>324</v>
      </c>
      <c r="E11" s="18">
        <v>42497</v>
      </c>
      <c r="F11" s="19">
        <v>60934.29</v>
      </c>
      <c r="G11" s="20"/>
      <c r="H11" s="24">
        <v>42497</v>
      </c>
      <c r="I11" s="25">
        <v>0</v>
      </c>
      <c r="J11" s="35"/>
      <c r="K11" s="27" t="s">
        <v>314</v>
      </c>
      <c r="L11" s="19">
        <v>11150</v>
      </c>
      <c r="M11" s="33">
        <v>17.5</v>
      </c>
      <c r="N11" s="36"/>
      <c r="O11" s="20"/>
      <c r="P11" s="20"/>
      <c r="Q11" s="20"/>
    </row>
    <row r="12" spans="1:19" x14ac:dyDescent="0.25">
      <c r="A12" s="14"/>
      <c r="B12" s="15">
        <v>42498</v>
      </c>
      <c r="C12" s="16">
        <v>33127</v>
      </c>
      <c r="D12" s="17" t="s">
        <v>327</v>
      </c>
      <c r="E12" s="18">
        <v>42498</v>
      </c>
      <c r="F12" s="19">
        <v>40880.910000000003</v>
      </c>
      <c r="G12" s="20"/>
      <c r="H12" s="24">
        <v>42498</v>
      </c>
      <c r="I12" s="25">
        <v>400</v>
      </c>
      <c r="J12" s="35"/>
      <c r="K12" s="27" t="s">
        <v>315</v>
      </c>
      <c r="L12" s="19">
        <v>11150</v>
      </c>
      <c r="M12" s="33">
        <v>303</v>
      </c>
      <c r="N12" s="21"/>
      <c r="O12" s="37"/>
      <c r="P12" s="38"/>
      <c r="Q12" s="20"/>
    </row>
    <row r="13" spans="1:19" x14ac:dyDescent="0.25">
      <c r="A13" s="14"/>
      <c r="B13" s="15">
        <v>42499</v>
      </c>
      <c r="C13" s="16">
        <v>26669.53</v>
      </c>
      <c r="D13" s="34" t="s">
        <v>328</v>
      </c>
      <c r="E13" s="18">
        <v>42499</v>
      </c>
      <c r="F13" s="19">
        <v>26772.52</v>
      </c>
      <c r="G13" s="20"/>
      <c r="H13" s="24">
        <v>42499</v>
      </c>
      <c r="I13" s="25">
        <v>0</v>
      </c>
      <c r="J13" s="35"/>
      <c r="K13" s="27"/>
      <c r="L13" s="19"/>
      <c r="M13" s="33">
        <v>648</v>
      </c>
      <c r="N13" s="21"/>
      <c r="O13" s="20"/>
      <c r="P13" s="20"/>
      <c r="Q13" s="20"/>
    </row>
    <row r="14" spans="1:19" x14ac:dyDescent="0.25">
      <c r="A14" s="14"/>
      <c r="B14" s="15">
        <v>42500</v>
      </c>
      <c r="C14" s="16">
        <v>50446</v>
      </c>
      <c r="D14" s="17" t="s">
        <v>330</v>
      </c>
      <c r="E14" s="18">
        <v>42500</v>
      </c>
      <c r="F14" s="19">
        <v>51134.03</v>
      </c>
      <c r="G14" s="20"/>
      <c r="H14" s="24">
        <v>42500</v>
      </c>
      <c r="I14" s="25">
        <v>0</v>
      </c>
      <c r="J14" s="35"/>
      <c r="K14" s="40" t="s">
        <v>264</v>
      </c>
      <c r="L14" s="19">
        <v>0</v>
      </c>
      <c r="M14" s="33">
        <v>238</v>
      </c>
      <c r="N14" s="21"/>
      <c r="O14" s="20"/>
      <c r="P14" s="20"/>
      <c r="Q14" s="20"/>
    </row>
    <row r="15" spans="1:19" ht="15.75" x14ac:dyDescent="0.25">
      <c r="A15" s="14"/>
      <c r="B15" s="15">
        <v>42501</v>
      </c>
      <c r="C15" s="16">
        <v>37510</v>
      </c>
      <c r="D15" s="17" t="s">
        <v>336</v>
      </c>
      <c r="E15" s="18">
        <v>42501</v>
      </c>
      <c r="F15" s="19">
        <v>41119.760000000002</v>
      </c>
      <c r="G15" s="20"/>
      <c r="H15" s="24">
        <v>42501</v>
      </c>
      <c r="I15" s="25">
        <v>197.5</v>
      </c>
      <c r="J15" s="35"/>
      <c r="K15" s="226" t="s">
        <v>11</v>
      </c>
      <c r="L15" s="19">
        <v>0</v>
      </c>
      <c r="M15" s="33">
        <v>0</v>
      </c>
      <c r="N15" s="30"/>
      <c r="O15" s="20"/>
      <c r="P15" s="20"/>
      <c r="Q15" s="20"/>
    </row>
    <row r="16" spans="1:19" ht="15.75" x14ac:dyDescent="0.25">
      <c r="A16" s="14"/>
      <c r="B16" s="15">
        <v>42502</v>
      </c>
      <c r="C16" s="16">
        <v>420</v>
      </c>
      <c r="D16" s="17" t="s">
        <v>337</v>
      </c>
      <c r="E16" s="18">
        <v>42502</v>
      </c>
      <c r="F16" s="19">
        <v>34093.839999999997</v>
      </c>
      <c r="G16" s="20"/>
      <c r="H16" s="24">
        <v>42502</v>
      </c>
      <c r="I16" s="25">
        <v>570</v>
      </c>
      <c r="J16" s="35"/>
      <c r="K16" s="251"/>
      <c r="L16" s="42">
        <v>0</v>
      </c>
      <c r="M16" s="33">
        <v>32304</v>
      </c>
      <c r="N16" s="30"/>
      <c r="O16" s="20"/>
      <c r="P16" s="20"/>
      <c r="Q16" s="20"/>
    </row>
    <row r="17" spans="1:18" x14ac:dyDescent="0.25">
      <c r="A17" s="14"/>
      <c r="B17" s="15">
        <v>42503</v>
      </c>
      <c r="C17" s="16">
        <v>58394</v>
      </c>
      <c r="D17" s="17" t="s">
        <v>339</v>
      </c>
      <c r="E17" s="18">
        <v>42503</v>
      </c>
      <c r="F17" s="19">
        <v>63844.72</v>
      </c>
      <c r="G17" s="20"/>
      <c r="H17" s="24">
        <v>42503</v>
      </c>
      <c r="I17" s="25">
        <v>56</v>
      </c>
      <c r="J17" s="35"/>
      <c r="K17" s="265" t="s">
        <v>335</v>
      </c>
      <c r="L17" s="19">
        <v>3412.5</v>
      </c>
      <c r="M17" s="33">
        <v>395</v>
      </c>
      <c r="N17" s="30"/>
      <c r="O17" s="20"/>
      <c r="P17" s="20"/>
      <c r="Q17" s="20"/>
    </row>
    <row r="18" spans="1:18" x14ac:dyDescent="0.25">
      <c r="A18" s="14"/>
      <c r="B18" s="15">
        <v>42504</v>
      </c>
      <c r="C18" s="16">
        <v>58532.62</v>
      </c>
      <c r="D18" s="17" t="s">
        <v>340</v>
      </c>
      <c r="E18" s="18">
        <v>42504</v>
      </c>
      <c r="F18" s="19">
        <v>59279.47</v>
      </c>
      <c r="G18" s="20"/>
      <c r="H18" s="24">
        <v>42504</v>
      </c>
      <c r="I18" s="25">
        <v>717.85</v>
      </c>
      <c r="J18" s="35"/>
      <c r="K18" s="283">
        <v>42501</v>
      </c>
      <c r="L18" s="19">
        <v>0</v>
      </c>
      <c r="M18" s="33">
        <v>28</v>
      </c>
      <c r="N18" s="21"/>
      <c r="O18" s="37"/>
      <c r="P18" s="20"/>
      <c r="Q18" s="20"/>
    </row>
    <row r="19" spans="1:18" x14ac:dyDescent="0.25">
      <c r="A19" s="14"/>
      <c r="B19" s="15">
        <v>42505</v>
      </c>
      <c r="C19" s="16">
        <v>57845.75</v>
      </c>
      <c r="D19" s="17" t="s">
        <v>341</v>
      </c>
      <c r="E19" s="18">
        <v>42505</v>
      </c>
      <c r="F19" s="19">
        <v>65655.78</v>
      </c>
      <c r="G19" s="20"/>
      <c r="H19" s="24">
        <v>42505</v>
      </c>
      <c r="I19" s="25">
        <v>300</v>
      </c>
      <c r="J19" s="35"/>
      <c r="K19" s="43"/>
      <c r="L19" s="44">
        <v>0</v>
      </c>
      <c r="M19" s="33">
        <v>460</v>
      </c>
      <c r="N19" s="21"/>
      <c r="O19" s="20"/>
      <c r="P19" s="20"/>
      <c r="Q19" s="20"/>
    </row>
    <row r="20" spans="1:18" x14ac:dyDescent="0.25">
      <c r="A20" s="14"/>
      <c r="B20" s="15">
        <v>42506</v>
      </c>
      <c r="C20" s="16">
        <v>30753.599999999999</v>
      </c>
      <c r="D20" s="22" t="s">
        <v>342</v>
      </c>
      <c r="E20" s="18">
        <v>42506</v>
      </c>
      <c r="F20" s="19">
        <v>30885.39</v>
      </c>
      <c r="G20" s="20"/>
      <c r="H20" s="24">
        <v>42506</v>
      </c>
      <c r="I20" s="45">
        <v>100</v>
      </c>
      <c r="J20" s="35"/>
      <c r="K20" s="46" t="s">
        <v>14</v>
      </c>
      <c r="L20" s="42">
        <v>0</v>
      </c>
      <c r="M20" s="33">
        <v>32</v>
      </c>
      <c r="N20" s="21"/>
      <c r="O20" s="20"/>
      <c r="P20" s="20"/>
      <c r="Q20" s="20"/>
    </row>
    <row r="21" spans="1:18" x14ac:dyDescent="0.25">
      <c r="A21" s="14"/>
      <c r="B21" s="15">
        <v>42507</v>
      </c>
      <c r="C21" s="16">
        <v>29420</v>
      </c>
      <c r="D21" s="17" t="s">
        <v>346</v>
      </c>
      <c r="E21" s="18">
        <v>42507</v>
      </c>
      <c r="F21" s="19">
        <v>29400.15</v>
      </c>
      <c r="G21" s="20"/>
      <c r="H21" s="24">
        <v>42507</v>
      </c>
      <c r="I21" s="45">
        <v>0</v>
      </c>
      <c r="J21" s="35"/>
      <c r="K21" s="47" t="s">
        <v>15</v>
      </c>
      <c r="L21" s="42">
        <v>0</v>
      </c>
      <c r="M21" s="33">
        <v>281</v>
      </c>
      <c r="N21" s="21"/>
      <c r="O21" s="37"/>
      <c r="P21" s="37"/>
      <c r="Q21" s="37"/>
      <c r="R21" s="37"/>
    </row>
    <row r="22" spans="1:18" x14ac:dyDescent="0.25">
      <c r="A22" s="14"/>
      <c r="B22" s="15">
        <v>42508</v>
      </c>
      <c r="C22" s="16">
        <v>32319.5</v>
      </c>
      <c r="D22" s="17" t="s">
        <v>388</v>
      </c>
      <c r="E22" s="18">
        <v>42508</v>
      </c>
      <c r="F22" s="19">
        <v>31913.78</v>
      </c>
      <c r="G22" s="20"/>
      <c r="H22" s="24">
        <v>42508</v>
      </c>
      <c r="I22" s="45">
        <v>0</v>
      </c>
      <c r="J22" s="48"/>
      <c r="K22" s="49" t="s">
        <v>29</v>
      </c>
      <c r="L22" s="42">
        <v>800</v>
      </c>
      <c r="M22" s="33">
        <v>194.5</v>
      </c>
      <c r="N22" s="30"/>
      <c r="O22" s="20"/>
      <c r="P22" s="20"/>
      <c r="Q22" s="20"/>
    </row>
    <row r="23" spans="1:18" x14ac:dyDescent="0.25">
      <c r="A23" s="14"/>
      <c r="B23" s="15">
        <v>42509</v>
      </c>
      <c r="C23" s="16">
        <v>30005</v>
      </c>
      <c r="D23" s="259" t="s">
        <v>347</v>
      </c>
      <c r="E23" s="18">
        <v>42509</v>
      </c>
      <c r="F23" s="19">
        <v>30003.83</v>
      </c>
      <c r="G23" s="20"/>
      <c r="H23" s="24">
        <v>42509</v>
      </c>
      <c r="I23" s="45">
        <v>0</v>
      </c>
      <c r="J23" s="26"/>
      <c r="K23" s="50">
        <v>42502</v>
      </c>
      <c r="L23" s="42">
        <v>0</v>
      </c>
      <c r="M23" s="33">
        <v>0</v>
      </c>
      <c r="N23" s="30"/>
      <c r="O23" s="20"/>
      <c r="P23" s="20"/>
      <c r="Q23" s="20"/>
    </row>
    <row r="24" spans="1:18" x14ac:dyDescent="0.25">
      <c r="A24" s="14"/>
      <c r="B24" s="15">
        <v>42510</v>
      </c>
      <c r="C24" s="16">
        <v>61991.4</v>
      </c>
      <c r="D24" s="17" t="s">
        <v>355</v>
      </c>
      <c r="E24" s="18">
        <v>42510</v>
      </c>
      <c r="F24" s="19">
        <v>64201.47</v>
      </c>
      <c r="G24" s="20"/>
      <c r="H24" s="24">
        <v>42510</v>
      </c>
      <c r="I24" s="45">
        <v>100</v>
      </c>
      <c r="J24" s="35"/>
      <c r="K24" s="51" t="s">
        <v>270</v>
      </c>
      <c r="L24" s="42">
        <v>0</v>
      </c>
      <c r="M24" s="33">
        <v>110</v>
      </c>
      <c r="N24" s="30"/>
      <c r="O24" s="20"/>
      <c r="P24" s="20"/>
      <c r="Q24" s="20"/>
    </row>
    <row r="25" spans="1:18" x14ac:dyDescent="0.25">
      <c r="A25" s="14"/>
      <c r="B25" s="15">
        <v>42511</v>
      </c>
      <c r="C25" s="16">
        <v>56240</v>
      </c>
      <c r="D25" s="17" t="s">
        <v>356</v>
      </c>
      <c r="E25" s="18">
        <v>42511</v>
      </c>
      <c r="F25" s="19">
        <v>56967.15</v>
      </c>
      <c r="G25" s="20"/>
      <c r="H25" s="24">
        <v>42511</v>
      </c>
      <c r="I25" s="45">
        <v>572</v>
      </c>
      <c r="J25" s="26"/>
      <c r="K25" s="50"/>
      <c r="L25" s="42">
        <v>0</v>
      </c>
      <c r="M25" s="33">
        <v>155</v>
      </c>
      <c r="N25" s="21"/>
      <c r="O25" s="20"/>
      <c r="P25" s="20"/>
      <c r="Q25" s="20"/>
    </row>
    <row r="26" spans="1:18" x14ac:dyDescent="0.25">
      <c r="A26" s="14"/>
      <c r="B26" s="15">
        <v>42512</v>
      </c>
      <c r="C26" s="16">
        <v>40795</v>
      </c>
      <c r="D26" s="17" t="s">
        <v>355</v>
      </c>
      <c r="E26" s="18">
        <v>42512</v>
      </c>
      <c r="F26" s="19">
        <v>48675.93</v>
      </c>
      <c r="G26" s="20"/>
      <c r="H26" s="24">
        <v>42512</v>
      </c>
      <c r="I26" s="45">
        <v>400</v>
      </c>
      <c r="J26" s="52"/>
      <c r="K26" s="50"/>
      <c r="L26" s="42">
        <v>0</v>
      </c>
      <c r="M26" s="33">
        <v>431</v>
      </c>
      <c r="N26" s="21"/>
      <c r="O26" s="37"/>
      <c r="P26" s="38"/>
      <c r="Q26" s="20"/>
    </row>
    <row r="27" spans="1:18" x14ac:dyDescent="0.25">
      <c r="A27" s="14"/>
      <c r="B27" s="15">
        <v>42513</v>
      </c>
      <c r="C27" s="16">
        <v>29027.8</v>
      </c>
      <c r="D27" s="17" t="s">
        <v>358</v>
      </c>
      <c r="E27" s="18">
        <v>42513</v>
      </c>
      <c r="F27" s="19">
        <v>29330.9</v>
      </c>
      <c r="G27" s="20"/>
      <c r="H27" s="24">
        <v>42513</v>
      </c>
      <c r="I27" s="45">
        <v>0</v>
      </c>
      <c r="J27" s="26"/>
      <c r="K27" s="53" t="s">
        <v>323</v>
      </c>
      <c r="L27" s="42">
        <v>7000</v>
      </c>
      <c r="M27" s="33">
        <v>303</v>
      </c>
      <c r="N27" s="21"/>
      <c r="O27" s="20"/>
      <c r="P27" s="20"/>
      <c r="Q27" s="20"/>
    </row>
    <row r="28" spans="1:18" x14ac:dyDescent="0.25">
      <c r="A28" s="14"/>
      <c r="B28" s="15">
        <v>42514</v>
      </c>
      <c r="C28" s="16">
        <v>39192.6</v>
      </c>
      <c r="D28" s="17" t="s">
        <v>359</v>
      </c>
      <c r="E28" s="18">
        <v>42514</v>
      </c>
      <c r="F28" s="19">
        <v>41507.79</v>
      </c>
      <c r="G28" s="20"/>
      <c r="H28" s="24">
        <v>42514</v>
      </c>
      <c r="I28" s="45">
        <v>230</v>
      </c>
      <c r="J28" s="26"/>
      <c r="K28" s="54" t="s">
        <v>329</v>
      </c>
      <c r="L28" s="42">
        <v>1250</v>
      </c>
      <c r="M28" s="33">
        <v>85</v>
      </c>
      <c r="N28" s="30"/>
      <c r="O28" s="20"/>
      <c r="P28" s="20"/>
      <c r="Q28" s="20"/>
    </row>
    <row r="29" spans="1:18" x14ac:dyDescent="0.25">
      <c r="A29" s="14"/>
      <c r="B29" s="15">
        <v>42515</v>
      </c>
      <c r="C29" s="16">
        <v>29075</v>
      </c>
      <c r="D29" s="17" t="s">
        <v>361</v>
      </c>
      <c r="E29" s="18">
        <v>42515</v>
      </c>
      <c r="F29" s="19">
        <v>29143.72</v>
      </c>
      <c r="G29" s="20"/>
      <c r="H29" s="24">
        <v>42515</v>
      </c>
      <c r="I29" s="45">
        <v>56</v>
      </c>
      <c r="J29" s="26"/>
      <c r="K29" s="55" t="s">
        <v>338</v>
      </c>
      <c r="L29" s="42">
        <v>5000</v>
      </c>
      <c r="M29" s="33">
        <v>13</v>
      </c>
      <c r="N29" s="30"/>
      <c r="O29" s="20"/>
      <c r="P29" s="20"/>
      <c r="Q29" s="20"/>
    </row>
    <row r="30" spans="1:18" x14ac:dyDescent="0.25">
      <c r="A30" s="14"/>
      <c r="B30" s="15">
        <v>42516</v>
      </c>
      <c r="C30" s="16">
        <v>27795.42</v>
      </c>
      <c r="D30" s="17" t="s">
        <v>362</v>
      </c>
      <c r="E30" s="18">
        <v>42516</v>
      </c>
      <c r="F30" s="19">
        <v>29156.16</v>
      </c>
      <c r="G30" s="20"/>
      <c r="H30" s="24">
        <v>42516</v>
      </c>
      <c r="I30" s="45">
        <v>645.74</v>
      </c>
      <c r="J30" s="52"/>
      <c r="K30" s="54" t="s">
        <v>360</v>
      </c>
      <c r="L30" s="42">
        <v>2000</v>
      </c>
      <c r="M30" s="33">
        <v>715</v>
      </c>
      <c r="N30" s="30"/>
      <c r="O30" s="20"/>
      <c r="P30" s="20"/>
      <c r="Q30" s="20"/>
    </row>
    <row r="31" spans="1:18" x14ac:dyDescent="0.25">
      <c r="A31" s="14"/>
      <c r="B31" s="15">
        <v>42517</v>
      </c>
      <c r="C31" s="16">
        <v>85447.81</v>
      </c>
      <c r="D31" s="17" t="s">
        <v>380</v>
      </c>
      <c r="E31" s="18">
        <v>42517</v>
      </c>
      <c r="F31" s="19">
        <v>85464.56</v>
      </c>
      <c r="G31" s="20"/>
      <c r="H31" s="24">
        <v>42517</v>
      </c>
      <c r="I31" s="45">
        <v>0</v>
      </c>
      <c r="J31" s="35"/>
      <c r="K31" s="53" t="s">
        <v>354</v>
      </c>
      <c r="L31" s="297">
        <v>2000</v>
      </c>
      <c r="M31" s="291">
        <v>16.5</v>
      </c>
      <c r="N31" s="21"/>
      <c r="O31" s="20"/>
      <c r="P31" s="20"/>
      <c r="Q31" s="20"/>
    </row>
    <row r="32" spans="1:18" x14ac:dyDescent="0.25">
      <c r="A32" s="14"/>
      <c r="B32" s="15">
        <v>42518</v>
      </c>
      <c r="C32" s="16">
        <v>67687</v>
      </c>
      <c r="D32" s="17" t="s">
        <v>381</v>
      </c>
      <c r="E32" s="18">
        <v>42518</v>
      </c>
      <c r="F32" s="19">
        <v>67839.960000000006</v>
      </c>
      <c r="G32" s="20"/>
      <c r="H32" s="24">
        <v>42518</v>
      </c>
      <c r="I32" s="45">
        <v>100</v>
      </c>
      <c r="J32" s="26"/>
      <c r="K32" s="43"/>
      <c r="L32" s="292">
        <v>0</v>
      </c>
      <c r="M32" s="291">
        <v>53</v>
      </c>
      <c r="N32" s="30"/>
      <c r="O32" s="20"/>
      <c r="P32" s="20"/>
      <c r="Q32" s="20"/>
    </row>
    <row r="33" spans="1:17" ht="15" customHeight="1" x14ac:dyDescent="0.25">
      <c r="A33" s="14"/>
      <c r="B33" s="15">
        <v>42519</v>
      </c>
      <c r="C33" s="16">
        <v>33062</v>
      </c>
      <c r="D33" s="17" t="s">
        <v>382</v>
      </c>
      <c r="E33" s="18">
        <v>42519</v>
      </c>
      <c r="F33" s="19">
        <v>40843.93</v>
      </c>
      <c r="G33" s="20"/>
      <c r="H33" s="24">
        <v>42519</v>
      </c>
      <c r="I33" s="45">
        <v>700</v>
      </c>
      <c r="J33" s="26"/>
      <c r="K33" s="293"/>
      <c r="L33" s="296">
        <v>0</v>
      </c>
      <c r="M33" s="33">
        <v>32</v>
      </c>
      <c r="N33" s="21"/>
      <c r="O33" s="20"/>
      <c r="P33" s="20"/>
      <c r="Q33" s="20"/>
    </row>
    <row r="34" spans="1:17" ht="15" customHeight="1" x14ac:dyDescent="0.25">
      <c r="A34" s="14"/>
      <c r="B34" s="15">
        <v>42520</v>
      </c>
      <c r="C34" s="16">
        <v>46494.44</v>
      </c>
      <c r="D34" s="17" t="s">
        <v>383</v>
      </c>
      <c r="E34" s="18">
        <v>42520</v>
      </c>
      <c r="F34" s="19">
        <v>46799.44</v>
      </c>
      <c r="G34" s="20"/>
      <c r="H34" s="24">
        <v>42520</v>
      </c>
      <c r="I34" s="45">
        <v>100</v>
      </c>
      <c r="J34" s="26"/>
      <c r="K34" s="293"/>
      <c r="L34" s="296">
        <v>0</v>
      </c>
      <c r="M34" s="33">
        <v>205</v>
      </c>
      <c r="N34" s="21"/>
      <c r="O34" s="20"/>
    </row>
    <row r="35" spans="1:17" ht="15.75" thickBot="1" x14ac:dyDescent="0.3">
      <c r="A35" s="14"/>
      <c r="B35" s="15">
        <v>42521</v>
      </c>
      <c r="C35" s="16">
        <v>21084</v>
      </c>
      <c r="D35" s="17" t="s">
        <v>384</v>
      </c>
      <c r="E35" s="18">
        <v>42521</v>
      </c>
      <c r="F35" s="19">
        <v>35899.79</v>
      </c>
      <c r="G35" s="20"/>
      <c r="H35" s="24">
        <v>42521</v>
      </c>
      <c r="I35" s="45">
        <v>244.2</v>
      </c>
      <c r="J35" s="26"/>
      <c r="K35" s="60"/>
      <c r="L35" s="294">
        <v>0</v>
      </c>
      <c r="M35" s="33">
        <v>99.5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294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295"/>
      <c r="M37" s="81">
        <f>SUM(M5:M36)</f>
        <v>71054</v>
      </c>
    </row>
    <row r="38" spans="1:17" x14ac:dyDescent="0.25">
      <c r="B38" s="82" t="s">
        <v>16</v>
      </c>
      <c r="C38" s="83">
        <f>SUM(C5:C37)</f>
        <v>1290695.98</v>
      </c>
      <c r="E38" s="280" t="s">
        <v>16</v>
      </c>
      <c r="F38" s="85">
        <f>SUM(F5:F37)</f>
        <v>1425159.2699999998</v>
      </c>
      <c r="H38" s="5" t="s">
        <v>16</v>
      </c>
      <c r="I38" s="86">
        <f>SUM(I5:I37)</f>
        <v>7219.11</v>
      </c>
      <c r="J38" s="86"/>
      <c r="K38" s="87" t="s">
        <v>16</v>
      </c>
      <c r="L38" s="88">
        <f>SUM(L5:L37)</f>
        <v>109821</v>
      </c>
    </row>
    <row r="40" spans="1:17" ht="15.75" x14ac:dyDescent="0.25">
      <c r="A40" s="89"/>
      <c r="B40" s="90"/>
      <c r="C40" s="26"/>
      <c r="D40" s="91"/>
      <c r="E40" s="92"/>
      <c r="F40" s="67"/>
      <c r="H40" s="325" t="s">
        <v>17</v>
      </c>
      <c r="I40" s="326"/>
      <c r="J40" s="282"/>
      <c r="K40" s="327">
        <f>I38+L38</f>
        <v>117040.11</v>
      </c>
      <c r="L40" s="328"/>
    </row>
    <row r="41" spans="1:17" ht="15.75" x14ac:dyDescent="0.25">
      <c r="B41" s="94"/>
      <c r="C41" s="67"/>
      <c r="D41" s="312" t="s">
        <v>18</v>
      </c>
      <c r="E41" s="312"/>
      <c r="F41" s="95">
        <f>F38-K40</f>
        <v>1308119.1599999997</v>
      </c>
      <c r="I41" s="96"/>
      <c r="J41" s="96"/>
    </row>
    <row r="42" spans="1:17" ht="15.75" x14ac:dyDescent="0.25">
      <c r="D42" s="313" t="s">
        <v>193</v>
      </c>
      <c r="E42" s="313"/>
      <c r="F42" s="95">
        <v>-1394172.1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-86052.94000000041</v>
      </c>
      <c r="I44" s="314" t="s">
        <v>22</v>
      </c>
      <c r="J44" s="315"/>
      <c r="K44" s="318">
        <f>F48+L46</f>
        <v>169588.46999999956</v>
      </c>
      <c r="L44" s="319"/>
    </row>
    <row r="45" spans="1:17" ht="15.75" thickBot="1" x14ac:dyDescent="0.3">
      <c r="D45" s="100" t="s">
        <v>23</v>
      </c>
      <c r="E45" s="89" t="s">
        <v>24</v>
      </c>
      <c r="F45" s="86">
        <v>24176.33</v>
      </c>
      <c r="I45" s="316"/>
      <c r="J45" s="317"/>
      <c r="K45" s="320"/>
      <c r="L45" s="321"/>
    </row>
    <row r="46" spans="1:17" ht="17.25" thickTop="1" thickBot="1" x14ac:dyDescent="0.3">
      <c r="C46" s="85"/>
      <c r="D46" s="322" t="s">
        <v>25</v>
      </c>
      <c r="E46" s="322"/>
      <c r="F46" s="101">
        <v>231465.08</v>
      </c>
      <c r="I46" s="323"/>
      <c r="J46" s="323"/>
      <c r="K46" s="324"/>
      <c r="L46" s="102"/>
    </row>
    <row r="47" spans="1:17" ht="19.5" thickBot="1" x14ac:dyDescent="0.35">
      <c r="C47" s="85"/>
      <c r="D47" s="280"/>
      <c r="E47" s="280"/>
      <c r="F47" s="103"/>
      <c r="H47" s="104"/>
      <c r="I47" s="281" t="s">
        <v>26</v>
      </c>
      <c r="J47" s="281"/>
      <c r="K47" s="305">
        <f>-C4</f>
        <v>-187283.53</v>
      </c>
      <c r="L47" s="306"/>
    </row>
    <row r="48" spans="1:17" ht="17.25" thickTop="1" thickBot="1" x14ac:dyDescent="0.3">
      <c r="E48" s="106" t="s">
        <v>27</v>
      </c>
      <c r="F48" s="107">
        <f>F44+F45+F46</f>
        <v>169588.46999999956</v>
      </c>
    </row>
    <row r="49" spans="2:14" ht="19.5" thickBot="1" x14ac:dyDescent="0.35">
      <c r="B49"/>
      <c r="C49"/>
      <c r="D49" s="307"/>
      <c r="E49" s="307"/>
      <c r="F49" s="67"/>
      <c r="I49" s="308" t="s">
        <v>390</v>
      </c>
      <c r="J49" s="309"/>
      <c r="K49" s="310">
        <f>K44+K47</f>
        <v>-17695.060000000434</v>
      </c>
      <c r="L49" s="311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A B R I L  2016</vt:lpstr>
      <vt:lpstr>REMISIONES  ABRIL  2016</vt:lpstr>
      <vt:lpstr>M A Y O     2016</vt:lpstr>
      <vt:lpstr>REMISIONES MAYO 2016 </vt:lpstr>
      <vt:lpstr>J U N I O   2016</vt:lpstr>
      <vt:lpstr>REMISIONES J U N I O   2016</vt:lpstr>
      <vt:lpstr>Hoja5</vt:lpstr>
      <vt:lpstr>Hoja4</vt:lpstr>
      <vt:lpstr>Hoja2</vt:lpstr>
      <vt:lpstr>Hoja1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2016-06-15T14:47:49Z</cp:lastPrinted>
  <dcterms:created xsi:type="dcterms:W3CDTF">2016-01-05T21:47:31Z</dcterms:created>
  <dcterms:modified xsi:type="dcterms:W3CDTF">2016-06-21T17:38:05Z</dcterms:modified>
</cp:coreProperties>
</file>