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45" windowWidth="23715" windowHeight="9735" firstSheet="10" activeTab="13"/>
  </bookViews>
  <sheets>
    <sheet name="ENERO 2016" sheetId="1" r:id="rId1"/>
    <sheet name="REMISIONES ENERO 2016" sheetId="2" r:id="rId2"/>
    <sheet name="FEBRERO 2016" sheetId="3" r:id="rId3"/>
    <sheet name="Remisiones  Febrero 2016" sheetId="4" r:id="rId4"/>
    <sheet name="MARZO 2016" sheetId="5" r:id="rId5"/>
    <sheet name="REMISIONES MARZO 2016" sheetId="6" r:id="rId6"/>
    <sheet name="A B R I L  2016" sheetId="7" r:id="rId7"/>
    <sheet name="REMISIONES  ABRIL  2016" sheetId="17" r:id="rId8"/>
    <sheet name="M A Y O     2016" sheetId="16" r:id="rId9"/>
    <sheet name="REMISIONES MAYO 2016 " sheetId="22" r:id="rId10"/>
    <sheet name="J U N I O   2016" sheetId="21" r:id="rId11"/>
    <sheet name="REMISIONES J U N I O   2016" sheetId="20" r:id="rId12"/>
    <sheet name="J U L I O    2016" sheetId="19" r:id="rId13"/>
    <sheet name="REMISIONES JULIO  2016" sheetId="18" r:id="rId14"/>
    <sheet name="Hoja2" sheetId="15" r:id="rId15"/>
    <sheet name="Hoja1" sheetId="14" r:id="rId16"/>
    <sheet name="Hoja8" sheetId="8" r:id="rId17"/>
    <sheet name="PRESTAMOS" sheetId="9" r:id="rId18"/>
    <sheet name="Hoja10" sheetId="10" r:id="rId19"/>
    <sheet name="Hoja11" sheetId="11" r:id="rId20"/>
    <sheet name="Hoja12" sheetId="12" r:id="rId21"/>
    <sheet name="Hoja13" sheetId="13" r:id="rId22"/>
  </sheets>
  <calcPr calcId="144525"/>
</workbook>
</file>

<file path=xl/calcChain.xml><?xml version="1.0" encoding="utf-8"?>
<calcChain xmlns="http://schemas.openxmlformats.org/spreadsheetml/2006/main">
  <c r="F33" i="18" l="1"/>
  <c r="F32" i="18"/>
  <c r="F31" i="18" l="1"/>
  <c r="E18" i="18"/>
  <c r="E16" i="18"/>
  <c r="W11" i="18"/>
  <c r="W10" i="18"/>
  <c r="W9" i="18"/>
  <c r="W8" i="18"/>
  <c r="W7" i="18"/>
  <c r="W6" i="18" l="1"/>
  <c r="Y20" i="18"/>
  <c r="AB20" i="18"/>
  <c r="V6" i="18"/>
  <c r="V4" i="18"/>
  <c r="W20" i="18"/>
  <c r="F30" i="18" l="1"/>
  <c r="F29" i="18"/>
  <c r="F28" i="18"/>
  <c r="F27" i="18" l="1"/>
  <c r="E12" i="18" l="1"/>
  <c r="L38" i="18"/>
  <c r="L36" i="18"/>
  <c r="M36" i="18"/>
  <c r="M35" i="18"/>
  <c r="M30" i="18"/>
  <c r="M34" i="18"/>
  <c r="M33" i="18"/>
  <c r="M31" i="18" l="1"/>
  <c r="R43" i="18" l="1"/>
  <c r="O43" i="18"/>
  <c r="M42" i="18"/>
  <c r="E29" i="20" l="1"/>
  <c r="M15" i="18"/>
  <c r="M13" i="18"/>
  <c r="M12" i="18"/>
  <c r="M11" i="18"/>
  <c r="M10" i="18"/>
  <c r="M9" i="18"/>
  <c r="M8" i="18"/>
  <c r="M7" i="18"/>
  <c r="M6" i="18" l="1"/>
  <c r="M5" i="18" l="1"/>
  <c r="M4" i="18"/>
  <c r="I36" i="20" l="1"/>
  <c r="F17" i="18" l="1"/>
  <c r="F18" i="18"/>
  <c r="F19" i="18"/>
  <c r="F20" i="18"/>
  <c r="F21" i="18"/>
  <c r="F22" i="18"/>
  <c r="F23" i="18"/>
  <c r="F24" i="18"/>
  <c r="R23" i="18"/>
  <c r="O23" i="18"/>
  <c r="M22" i="18"/>
  <c r="C35" i="18" l="1"/>
  <c r="F34" i="18"/>
  <c r="F26" i="18"/>
  <c r="F25" i="18"/>
  <c r="F16" i="18"/>
  <c r="F15" i="18"/>
  <c r="F14" i="18"/>
  <c r="F13" i="18"/>
  <c r="F12" i="18"/>
  <c r="F11" i="18"/>
  <c r="F10" i="18"/>
  <c r="F9" i="18"/>
  <c r="F8" i="18"/>
  <c r="F7" i="18"/>
  <c r="F6" i="18"/>
  <c r="F5" i="18"/>
  <c r="E35" i="18"/>
  <c r="F3" i="18"/>
  <c r="K47" i="19"/>
  <c r="I38" i="19"/>
  <c r="F38" i="19"/>
  <c r="C38" i="19"/>
  <c r="M37" i="19"/>
  <c r="L38" i="19"/>
  <c r="F4" i="18" l="1"/>
  <c r="F35" i="18" s="1"/>
  <c r="K40" i="19"/>
  <c r="F41" i="19" s="1"/>
  <c r="F44" i="19" s="1"/>
  <c r="F48" i="19" s="1"/>
  <c r="K44" i="19" s="1"/>
  <c r="K49" i="19" s="1"/>
  <c r="E21" i="20"/>
  <c r="E20" i="20"/>
  <c r="T11" i="20"/>
  <c r="T10" i="20"/>
  <c r="T9" i="20"/>
  <c r="T6" i="20"/>
  <c r="T5" i="20"/>
  <c r="Y19" i="20"/>
  <c r="V19" i="20"/>
  <c r="T18" i="20"/>
  <c r="E6" i="20"/>
  <c r="K58" i="20"/>
  <c r="K55" i="20"/>
  <c r="K54" i="20"/>
  <c r="K52" i="20"/>
  <c r="K49" i="20"/>
  <c r="L6" i="21"/>
  <c r="M21" i="9"/>
  <c r="P63" i="20"/>
  <c r="M63" i="20"/>
  <c r="K62" i="20"/>
  <c r="E4" i="20"/>
  <c r="K32" i="20"/>
  <c r="K31" i="20"/>
  <c r="K29" i="20"/>
  <c r="K28" i="20"/>
  <c r="P41" i="20"/>
  <c r="M41" i="20"/>
  <c r="K40" i="20"/>
  <c r="K15" i="20"/>
  <c r="K13" i="20"/>
  <c r="K12" i="20"/>
  <c r="K10" i="20"/>
  <c r="K8" i="20"/>
  <c r="C40" i="22"/>
  <c r="I41" i="22"/>
  <c r="I38" i="22"/>
  <c r="I29" i="22"/>
  <c r="I26" i="22"/>
  <c r="K9" i="20"/>
  <c r="K6" i="20"/>
  <c r="K5" i="20"/>
  <c r="P19" i="20"/>
  <c r="M19" i="20"/>
  <c r="K18" i="20"/>
  <c r="C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E38" i="20"/>
  <c r="F5" i="20"/>
  <c r="F3" i="20"/>
  <c r="F4" i="20"/>
  <c r="K47" i="21"/>
  <c r="L38" i="21"/>
  <c r="I38" i="21"/>
  <c r="K40" i="21"/>
  <c r="F38" i="21"/>
  <c r="F41" i="21"/>
  <c r="F44" i="21"/>
  <c r="F48" i="21"/>
  <c r="K44" i="21"/>
  <c r="K49" i="21"/>
  <c r="C38" i="21"/>
  <c r="M37" i="21"/>
  <c r="F6" i="20"/>
  <c r="F38" i="20"/>
  <c r="E10" i="22"/>
  <c r="P63" i="22"/>
  <c r="K50" i="22"/>
  <c r="K51" i="22"/>
  <c r="K48" i="22"/>
  <c r="K52" i="22"/>
  <c r="K49" i="22"/>
  <c r="M63" i="22"/>
  <c r="K62" i="22"/>
  <c r="E6" i="22"/>
  <c r="K34" i="22"/>
  <c r="K32" i="22"/>
  <c r="K33" i="22"/>
  <c r="K31" i="22"/>
  <c r="P41" i="22"/>
  <c r="M41" i="22"/>
  <c r="K40" i="22"/>
  <c r="E23" i="17"/>
  <c r="K14" i="22"/>
  <c r="K15" i="22"/>
  <c r="K11" i="22"/>
  <c r="K10" i="22"/>
  <c r="K8" i="22"/>
  <c r="C71" i="17"/>
  <c r="K5" i="22"/>
  <c r="K4" i="22"/>
  <c r="K7" i="22"/>
  <c r="P24" i="22"/>
  <c r="M24" i="22"/>
  <c r="K23" i="22"/>
  <c r="C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E38" i="22"/>
  <c r="F11" i="22"/>
  <c r="F10" i="22"/>
  <c r="F9" i="22"/>
  <c r="F8" i="22"/>
  <c r="F7" i="22"/>
  <c r="F6" i="22"/>
  <c r="F5" i="22"/>
  <c r="F4" i="22"/>
  <c r="F3" i="22"/>
  <c r="K47" i="16"/>
  <c r="L38" i="16"/>
  <c r="F38" i="16"/>
  <c r="C38" i="16"/>
  <c r="M37" i="16"/>
  <c r="I38" i="16"/>
  <c r="K40" i="16"/>
  <c r="F12" i="22"/>
  <c r="F38" i="22"/>
  <c r="F41" i="16"/>
  <c r="F44" i="16"/>
  <c r="F48" i="16"/>
  <c r="K44" i="16"/>
  <c r="K49" i="16"/>
  <c r="E12" i="17"/>
  <c r="O56" i="17"/>
  <c r="L56" i="17"/>
  <c r="J55" i="17"/>
  <c r="J49" i="17"/>
  <c r="J47" i="17"/>
  <c r="F24" i="17"/>
  <c r="F25" i="17"/>
  <c r="F26" i="17"/>
  <c r="F27" i="17"/>
  <c r="F28" i="17"/>
  <c r="F29" i="17"/>
  <c r="F30" i="17"/>
  <c r="F31" i="17"/>
  <c r="I24" i="7"/>
  <c r="J43" i="17"/>
  <c r="J45" i="17"/>
  <c r="J41" i="17"/>
  <c r="I23" i="7"/>
  <c r="F23" i="17"/>
  <c r="F22" i="17"/>
  <c r="F21" i="17"/>
  <c r="J39" i="17"/>
  <c r="M14" i="7"/>
  <c r="F20" i="17"/>
  <c r="F19" i="17"/>
  <c r="F18" i="17"/>
  <c r="F17" i="17"/>
  <c r="J4" i="17"/>
  <c r="J26" i="17"/>
  <c r="J25" i="17"/>
  <c r="J22" i="17"/>
  <c r="J18" i="17"/>
  <c r="J17" i="17"/>
  <c r="J27" i="17"/>
  <c r="J15" i="17"/>
  <c r="J12" i="17"/>
  <c r="J10" i="17"/>
  <c r="J8" i="17"/>
  <c r="J6" i="17"/>
  <c r="O30" i="17"/>
  <c r="L30" i="17"/>
  <c r="C54" i="17"/>
  <c r="C52" i="17"/>
  <c r="I5" i="7"/>
  <c r="K47" i="7"/>
  <c r="K47" i="5"/>
  <c r="F41" i="5"/>
  <c r="C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3" i="17"/>
  <c r="F32" i="17"/>
  <c r="F16" i="17"/>
  <c r="F15" i="17"/>
  <c r="F14" i="17"/>
  <c r="F13" i="17"/>
  <c r="F12" i="17"/>
  <c r="F11" i="17"/>
  <c r="F10" i="17"/>
  <c r="F9" i="17"/>
  <c r="F8" i="17"/>
  <c r="F7" i="17"/>
  <c r="F6" i="17"/>
  <c r="F5" i="17"/>
  <c r="E47" i="17"/>
  <c r="F3" i="17"/>
  <c r="L38" i="7"/>
  <c r="I38" i="7"/>
  <c r="K40" i="7"/>
  <c r="C38" i="7"/>
  <c r="F38" i="7"/>
  <c r="F41" i="7"/>
  <c r="F44" i="7"/>
  <c r="F48" i="7"/>
  <c r="K44" i="7"/>
  <c r="K49" i="7"/>
  <c r="F4" i="17"/>
  <c r="F47" i="17"/>
  <c r="M37" i="7"/>
  <c r="E15" i="6"/>
  <c r="I52" i="6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2" i="9"/>
  <c r="M23" i="9"/>
  <c r="M24" i="9"/>
  <c r="M25" i="9"/>
  <c r="M26" i="9"/>
  <c r="M27" i="9"/>
  <c r="M28" i="9"/>
  <c r="M6" i="9"/>
  <c r="I50" i="6"/>
  <c r="I49" i="6"/>
  <c r="I48" i="6"/>
  <c r="I54" i="6"/>
  <c r="N57" i="6"/>
  <c r="K57" i="6"/>
  <c r="F24" i="5"/>
  <c r="C23" i="5"/>
  <c r="F23" i="5"/>
  <c r="C22" i="5"/>
  <c r="I22" i="5"/>
  <c r="F22" i="5"/>
  <c r="C21" i="5"/>
  <c r="I21" i="5"/>
  <c r="F21" i="5"/>
  <c r="M20" i="5"/>
  <c r="F20" i="5"/>
  <c r="E4" i="6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6" i="9"/>
  <c r="F5" i="9"/>
  <c r="M5" i="9"/>
  <c r="M9" i="5"/>
  <c r="K47" i="3"/>
  <c r="N40" i="6"/>
  <c r="K40" i="6"/>
  <c r="I32" i="6"/>
  <c r="I35" i="6"/>
  <c r="I29" i="6"/>
  <c r="I28" i="6"/>
  <c r="I26" i="6"/>
  <c r="I37" i="6"/>
  <c r="L38" i="5"/>
  <c r="F38" i="5"/>
  <c r="M37" i="5"/>
  <c r="I38" i="5"/>
  <c r="K40" i="5"/>
  <c r="C38" i="5"/>
  <c r="F44" i="5"/>
  <c r="F48" i="5"/>
  <c r="K44" i="5"/>
  <c r="K49" i="5"/>
  <c r="E20" i="4"/>
  <c r="N17" i="6"/>
  <c r="C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K17" i="6"/>
  <c r="F17" i="6"/>
  <c r="F16" i="6"/>
  <c r="F15" i="6"/>
  <c r="F14" i="6"/>
  <c r="F13" i="6"/>
  <c r="F12" i="6"/>
  <c r="E37" i="6"/>
  <c r="F10" i="6"/>
  <c r="F9" i="6"/>
  <c r="F8" i="6"/>
  <c r="F7" i="6"/>
  <c r="F6" i="6"/>
  <c r="F5" i="6"/>
  <c r="F4" i="6"/>
  <c r="F3" i="6"/>
  <c r="F11" i="6"/>
  <c r="F37" i="6"/>
  <c r="M33" i="3"/>
  <c r="M26" i="3"/>
  <c r="I17" i="3"/>
  <c r="M10" i="3"/>
  <c r="E15" i="4"/>
  <c r="N65" i="4"/>
  <c r="K65" i="4"/>
  <c r="E14" i="4"/>
  <c r="K50" i="4"/>
  <c r="N50" i="4"/>
  <c r="E11" i="4"/>
  <c r="N38" i="4"/>
  <c r="K38" i="4"/>
  <c r="M16" i="3"/>
  <c r="I5" i="3"/>
  <c r="C5" i="3"/>
  <c r="M29" i="1"/>
  <c r="E27" i="2"/>
  <c r="N25" i="4"/>
  <c r="K25" i="4"/>
  <c r="C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19" i="4"/>
  <c r="F18" i="4"/>
  <c r="F17" i="4"/>
  <c r="F27" i="4"/>
  <c r="F26" i="4"/>
  <c r="F25" i="4"/>
  <c r="F24" i="4"/>
  <c r="F23" i="4"/>
  <c r="F22" i="4"/>
  <c r="F21" i="4"/>
  <c r="F20" i="4"/>
  <c r="E45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M37" i="3"/>
  <c r="I38" i="3"/>
  <c r="C38" i="3"/>
  <c r="L38" i="3"/>
  <c r="F16" i="4"/>
  <c r="F45" i="4"/>
  <c r="K40" i="3"/>
  <c r="F41" i="3"/>
  <c r="F44" i="3"/>
  <c r="F48" i="3"/>
  <c r="K44" i="3"/>
  <c r="K49" i="3"/>
  <c r="E16" i="2"/>
  <c r="N46" i="2"/>
  <c r="K46" i="2"/>
  <c r="M25" i="1"/>
  <c r="I24" i="1"/>
  <c r="C11" i="1"/>
  <c r="F22" i="2"/>
  <c r="L9" i="1"/>
  <c r="F21" i="2"/>
  <c r="F20" i="2"/>
  <c r="F19" i="2"/>
  <c r="N25" i="2"/>
  <c r="K25" i="2"/>
  <c r="C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/>
  <c r="F38" i="1"/>
  <c r="F41" i="1"/>
  <c r="F44" i="1"/>
  <c r="F48" i="1"/>
  <c r="K44" i="1"/>
  <c r="K49" i="1"/>
  <c r="C38" i="1"/>
  <c r="M37" i="1"/>
  <c r="F6" i="2"/>
  <c r="F45" i="2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<sst xmlns="http://schemas.openxmlformats.org/spreadsheetml/2006/main" count="1425" uniqueCount="538">
  <si>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</si>
  <si>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</si>
  <si>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</si>
  <si>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</si>
  <si>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</si>
  <si>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</si>
  <si>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</si>
  <si>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</si>
  <si>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</si>
  <si>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</si>
  <si>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</si>
  <si>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</si>
  <si>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</si>
  <si>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</si>
  <si>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</si>
  <si>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</si>
  <si>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</si>
  <si>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</si>
  <si>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</si>
  <si>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</si>
  <si>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</si>
  <si>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</si>
  <si>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</si>
  <si>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</si>
  <si>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</si>
  <si>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</si>
  <si>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</si>
  <si>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</si>
  <si>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</si>
  <si>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</si>
  <si>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</si>
  <si>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</si>
  <si>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</si>
  <si>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</si>
  <si>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</si>
  <si>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</si>
  <si>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</si>
  <si>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</si>
  <si>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</si>
  <si>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</si>
  <si>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</si>
  <si>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</si>
  <si>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</si>
  <si>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</si>
  <si>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</si>
  <si>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</si>
  <si>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</si>
  <si>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</si>
  <si>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</si>
  <si>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</si>
  <si>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</si>
  <si>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</si>
  <si>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</si>
  <si>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</si>
  <si>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</si>
  <si>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</si>
  <si>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</si>
  <si>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</si>
  <si>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</si>
  <si>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</si>
  <si>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</si>
  <si>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</si>
  <si>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</si>
  <si>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</si>
  <si>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</si>
  <si>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</si>
  <si>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</si>
  <si>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</si>
  <si>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</si>
  <si>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</si>
  <si>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</si>
  <si>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</si>
  <si>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</si>
  <si>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</si>
  <si>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</si>
  <si>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</si>
  <si>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</si>
  <si>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</si>
  <si>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</si>
  <si>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</si>
  <si>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</si>
  <si>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</si>
  <si>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</si>
  <si>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</si>
  <si>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</si>
  <si>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</si>
  <si>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</si>
  <si>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</si>
  <si>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</si>
  <si>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</si>
  <si>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</si>
  <si>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</si>
  <si>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</si>
  <si>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</si>
  <si>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</si>
  <si>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</si>
  <si>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</si>
  <si>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</si>
  <si>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</si>
  <si>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</si>
  <si>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</si>
  <si>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</si>
  <si>
    <t xml:space="preserve">BALANCE       DE     F E B R E R O      2 0 1 6        11  S U R   </t>
  </si>
  <si>
    <t>REMISIONES  11 SUR    FEBRERO           2016</t>
  </si>
  <si>
    <t>03537 B</t>
  </si>
  <si>
    <t>03542 B</t>
  </si>
  <si>
    <t>03457 B</t>
  </si>
  <si>
    <t>03664 B</t>
  </si>
  <si>
    <t>04045 B</t>
  </si>
  <si>
    <t>04086 B</t>
  </si>
  <si>
    <t>04208 B</t>
  </si>
  <si>
    <t>resto</t>
  </si>
  <si>
    <t>03282 B</t>
  </si>
  <si>
    <t>04349 B</t>
  </si>
  <si>
    <t xml:space="preserve">27-Ene--11-Feb </t>
  </si>
  <si>
    <t>POLLO</t>
  </si>
  <si>
    <t>04564 B</t>
  </si>
  <si>
    <t>chorizo-maiz-</t>
  </si>
  <si>
    <t>NOMINA 05</t>
  </si>
  <si>
    <t>S</t>
  </si>
  <si>
    <t>pollo-chorizo</t>
  </si>
  <si>
    <t>salsa inglesa</t>
  </si>
  <si>
    <t xml:space="preserve">pollo  </t>
  </si>
  <si>
    <t>chorizo</t>
  </si>
  <si>
    <t>sobrante</t>
  </si>
  <si>
    <t>05071 B</t>
  </si>
  <si>
    <t>05217 B</t>
  </si>
  <si>
    <t xml:space="preserve">11-Feb --18-Feb </t>
  </si>
  <si>
    <t>05436 B</t>
  </si>
  <si>
    <t>05587 B</t>
  </si>
  <si>
    <t xml:space="preserve">18-Feb --20-Feb </t>
  </si>
  <si>
    <t>05705 B</t>
  </si>
  <si>
    <t>06011 B</t>
  </si>
  <si>
    <t xml:space="preserve">20-Feb --25-Feb </t>
  </si>
  <si>
    <t>Pollo-Maiz-</t>
  </si>
  <si>
    <t>MAXIMIANO SILVA GARCIA</t>
  </si>
  <si>
    <t>PRESTAMO</t>
  </si>
  <si>
    <t>PAGOS</t>
  </si>
  <si>
    <t>SALDO</t>
  </si>
  <si>
    <t>NOMINA 07</t>
  </si>
  <si>
    <t>NOMINA 06</t>
  </si>
  <si>
    <t>NOMINA 08</t>
  </si>
  <si>
    <t>NOMINA 09</t>
  </si>
  <si>
    <t>ELIAS 07-Feb</t>
  </si>
  <si>
    <t>SERGIO</t>
  </si>
  <si>
    <t>ELIAS 14-Feb</t>
  </si>
  <si>
    <t>pollo-maiz--arabe</t>
  </si>
  <si>
    <t>ELIAS 21 Feb</t>
  </si>
  <si>
    <t>pollo---arabe</t>
  </si>
  <si>
    <t>06164 B</t>
  </si>
  <si>
    <t>06320 B</t>
  </si>
  <si>
    <t>06435 B</t>
  </si>
  <si>
    <t>06626 B</t>
  </si>
  <si>
    <t>06677 B</t>
  </si>
  <si>
    <t>06684 B</t>
  </si>
  <si>
    <t>REMISIONES  11 SUR    M A R Z O           2016</t>
  </si>
  <si>
    <t>06906 B</t>
  </si>
  <si>
    <t>07040 B</t>
  </si>
  <si>
    <t>04669 B</t>
  </si>
  <si>
    <t>04670 B</t>
  </si>
  <si>
    <t>04883 B</t>
  </si>
  <si>
    <t>25-Feb --03-Mar</t>
  </si>
  <si>
    <t>07124 B</t>
  </si>
  <si>
    <t>07334 B</t>
  </si>
  <si>
    <t>07342 B</t>
  </si>
  <si>
    <t>07475 B</t>
  </si>
  <si>
    <t>07626 B</t>
  </si>
  <si>
    <t>07773 B</t>
  </si>
  <si>
    <t>07988 B</t>
  </si>
  <si>
    <t>08182 B</t>
  </si>
  <si>
    <t xml:space="preserve">BALANCE       DE     M A R Z O       2 0 1 6        11  S U R   </t>
  </si>
  <si>
    <t>08304 B</t>
  </si>
  <si>
    <t>08411 B</t>
  </si>
  <si>
    <t>08537 B</t>
  </si>
  <si>
    <t>x gasto de afilador tomado por 1,000.00</t>
  </si>
  <si>
    <t xml:space="preserve">ELIAS 12 Ene </t>
  </si>
  <si>
    <t>ELIAS</t>
  </si>
  <si>
    <t xml:space="preserve">Elias 24-Ene </t>
  </si>
  <si>
    <t xml:space="preserve">SERGIO 24-Ene </t>
  </si>
  <si>
    <t>Faltante Elias</t>
  </si>
  <si>
    <t xml:space="preserve">POLLO   </t>
  </si>
  <si>
    <t>pollo R-7040</t>
  </si>
  <si>
    <t>r-7124-7334</t>
  </si>
  <si>
    <t xml:space="preserve">PRESTAMO  </t>
  </si>
  <si>
    <t>R-7475-7334</t>
  </si>
  <si>
    <t>obrador</t>
  </si>
  <si>
    <t>R-7626</t>
  </si>
  <si>
    <t>R-7626-7988-8182</t>
  </si>
  <si>
    <t>NOMINA 10</t>
  </si>
  <si>
    <t>NOMINA 11</t>
  </si>
  <si>
    <t>NOMINA 12</t>
  </si>
  <si>
    <t>NOMINA 13</t>
  </si>
  <si>
    <t>R-8182</t>
  </si>
  <si>
    <t>PROVEEDOREES</t>
  </si>
  <si>
    <t>NO PAGO</t>
  </si>
  <si>
    <t>08813 B</t>
  </si>
  <si>
    <t>08891 B</t>
  </si>
  <si>
    <t xml:space="preserve">03-Mar --17-Mar </t>
  </si>
  <si>
    <t>NOMINA 14</t>
  </si>
  <si>
    <t>09072 B</t>
  </si>
  <si>
    <t>09299 B</t>
  </si>
  <si>
    <t>09486 B</t>
  </si>
  <si>
    <t>R-8182-8411-8537</t>
  </si>
  <si>
    <t>R-8537</t>
  </si>
  <si>
    <t>R-8304-8813</t>
  </si>
  <si>
    <t>R-8813-8891</t>
  </si>
  <si>
    <t>ELIAS 19-Mar</t>
  </si>
  <si>
    <t>R-8891-9072-9299</t>
  </si>
  <si>
    <t>R-9299</t>
  </si>
  <si>
    <t>SERGIO 21-Mar</t>
  </si>
  <si>
    <t>R-9486</t>
  </si>
  <si>
    <t>Mai--pollo  R-9486</t>
  </si>
  <si>
    <t>Vacaciones Rosy</t>
  </si>
  <si>
    <t>17-Mar --26-Mar</t>
  </si>
  <si>
    <t>09893 B</t>
  </si>
  <si>
    <t>09693 B</t>
  </si>
  <si>
    <t>09898 B</t>
  </si>
  <si>
    <t>10017B</t>
  </si>
  <si>
    <t>10063 B</t>
  </si>
  <si>
    <t>10148 B</t>
  </si>
  <si>
    <t>10309 B</t>
  </si>
  <si>
    <t>10456 B</t>
  </si>
  <si>
    <t>10534 B</t>
  </si>
  <si>
    <t>10637 B</t>
  </si>
  <si>
    <t>REMISIONES  11 SUR    A B R I L            2016</t>
  </si>
  <si>
    <t>10645 B</t>
  </si>
  <si>
    <t>10980 B</t>
  </si>
  <si>
    <t>11099 B</t>
  </si>
  <si>
    <t xml:space="preserve">10502 B </t>
  </si>
  <si>
    <t>10707 B</t>
  </si>
  <si>
    <t>11417 B</t>
  </si>
  <si>
    <t>11582 B</t>
  </si>
  <si>
    <t>11609 B</t>
  </si>
  <si>
    <t>11768 B</t>
  </si>
  <si>
    <t>11771 B</t>
  </si>
  <si>
    <t>11910 B</t>
  </si>
  <si>
    <t>12017 B</t>
  </si>
  <si>
    <t>12113 B</t>
  </si>
  <si>
    <t>12235 B</t>
  </si>
  <si>
    <t>12374 B</t>
  </si>
  <si>
    <t>12461 B</t>
  </si>
  <si>
    <t>R-9486-9693-9898-9893</t>
  </si>
  <si>
    <t xml:space="preserve">BALANCE       DE     A B R I L       2 0 1 6        11  S U R   </t>
  </si>
  <si>
    <t>NOMINA 15</t>
  </si>
  <si>
    <t>NOMINA 16</t>
  </si>
  <si>
    <t>NOMINA 17</t>
  </si>
  <si>
    <t>R-9893-10017</t>
  </si>
  <si>
    <t>R-10017-10063-10148</t>
  </si>
  <si>
    <t>R-10148-10309</t>
  </si>
  <si>
    <t xml:space="preserve"> POLLO R-10456</t>
  </si>
  <si>
    <t>POLLO--R-10456</t>
  </si>
  <si>
    <t>chorizo--R-10456-10637-10534-10502-10707-10645</t>
  </si>
  <si>
    <t>Pollo--R-10645-1080</t>
  </si>
  <si>
    <t>R-10980</t>
  </si>
  <si>
    <t>R-10980++11099</t>
  </si>
  <si>
    <t>R-11099</t>
  </si>
  <si>
    <t>MAIZ--CHORIZO</t>
  </si>
  <si>
    <t xml:space="preserve"> POLLO</t>
  </si>
  <si>
    <t>POLLO--CHORIZO</t>
  </si>
  <si>
    <t>POLLO R-11099--11417--11609</t>
  </si>
  <si>
    <t>Maiz--R-11609-11771-11768</t>
  </si>
  <si>
    <t xml:space="preserve">MAIZ  </t>
  </si>
  <si>
    <t>R-11582</t>
  </si>
  <si>
    <t>R-11910--12017</t>
  </si>
  <si>
    <t xml:space="preserve">Vacaciones </t>
  </si>
  <si>
    <t>12831 B</t>
  </si>
  <si>
    <t>12856 B</t>
  </si>
  <si>
    <t>12709 B</t>
  </si>
  <si>
    <t>12712 B</t>
  </si>
  <si>
    <t>POLLO-CHORIZO--R-12017-12113</t>
  </si>
  <si>
    <t>Extiguidor</t>
  </si>
  <si>
    <t>R-12113</t>
  </si>
  <si>
    <t>R-12113-12235-12461-12374</t>
  </si>
  <si>
    <t>R-12374-12712-12709</t>
  </si>
  <si>
    <t>R-12709-12856-+12831</t>
  </si>
  <si>
    <t>12951 B</t>
  </si>
  <si>
    <t>13136 B</t>
  </si>
  <si>
    <t>13377 B</t>
  </si>
  <si>
    <t>R-12831</t>
  </si>
  <si>
    <t>R-12831+12951</t>
  </si>
  <si>
    <t>R-12951-Mazi-Pollo</t>
  </si>
  <si>
    <t>Elias 21-Abril</t>
  </si>
  <si>
    <t xml:space="preserve">pollo-chorizo   </t>
  </si>
  <si>
    <t>pollo-R-12951</t>
  </si>
  <si>
    <t>R-12951-13136-13377</t>
  </si>
  <si>
    <t>R-13377</t>
  </si>
  <si>
    <t>MAIZ-CONDIMENTOS</t>
  </si>
  <si>
    <t>NOMINA  18</t>
  </si>
  <si>
    <t>POLLO-CHORIZO R-13377</t>
  </si>
  <si>
    <t xml:space="preserve">18-Abril--26-Abril </t>
  </si>
  <si>
    <t>13766 B</t>
  </si>
  <si>
    <t>13767 B</t>
  </si>
  <si>
    <t>13948 B</t>
  </si>
  <si>
    <t>14164 B</t>
  </si>
  <si>
    <t>14554 B</t>
  </si>
  <si>
    <t>14573 B</t>
  </si>
  <si>
    <t xml:space="preserve">BALANCE       DE     M A Y O      2 0 1 6        11  S U R   </t>
  </si>
  <si>
    <t>REMISIONES  11 SUR    M A Y O            2016</t>
  </si>
  <si>
    <t>14826 B</t>
  </si>
  <si>
    <t>15251 B</t>
  </si>
  <si>
    <t>15350 B</t>
  </si>
  <si>
    <t>15600 B</t>
  </si>
  <si>
    <t>15803 B</t>
  </si>
  <si>
    <t>15981 B</t>
  </si>
  <si>
    <t>R-1337713767-13948-13766-+</t>
  </si>
  <si>
    <t>R-13766--POLLO</t>
  </si>
  <si>
    <t xml:space="preserve">Verif Bascula </t>
  </si>
  <si>
    <t>Pollo--R-13766</t>
  </si>
  <si>
    <t xml:space="preserve">Elias 30-Abril </t>
  </si>
  <si>
    <t>pollo--R-13766-14554-14164</t>
  </si>
  <si>
    <t>X</t>
  </si>
  <si>
    <t>R-14164-14573-cebolla</t>
  </si>
  <si>
    <t>NOMINA 19</t>
  </si>
  <si>
    <t>NOMINA 20</t>
  </si>
  <si>
    <t>NOMINA 21</t>
  </si>
  <si>
    <t>NOMINA 22</t>
  </si>
  <si>
    <t xml:space="preserve">NOMINA </t>
  </si>
  <si>
    <t>R-14573</t>
  </si>
  <si>
    <t>chirizo --R-14573</t>
  </si>
  <si>
    <t>POLLO--R-14573-14970</t>
  </si>
  <si>
    <t>14970 B</t>
  </si>
  <si>
    <t>15094 B</t>
  </si>
  <si>
    <t>Chorizo--R-14826</t>
  </si>
  <si>
    <t>Elias 07-may</t>
  </si>
  <si>
    <t>maiz-condimentos R-14826-15094-+15350</t>
  </si>
  <si>
    <t>CEBOLLA</t>
  </si>
  <si>
    <t>MAIZ-Obrador</t>
  </si>
  <si>
    <t>R-15350-15251-pollo</t>
  </si>
  <si>
    <t>R-15251--Chorizo</t>
  </si>
  <si>
    <t xml:space="preserve">Elias 10-May </t>
  </si>
  <si>
    <t>pollo--R-15251</t>
  </si>
  <si>
    <t xml:space="preserve">26-Abril --13-Mayo </t>
  </si>
  <si>
    <t>16201 B</t>
  </si>
  <si>
    <t>16590 B</t>
  </si>
  <si>
    <t>16591 B</t>
  </si>
  <si>
    <t>Seguro Nissan</t>
  </si>
  <si>
    <t>Maiz --R-15251-15600</t>
  </si>
  <si>
    <t>arabe-chorizo</t>
  </si>
  <si>
    <t xml:space="preserve">ELIAS 13-May </t>
  </si>
  <si>
    <t>pollo-R-15600</t>
  </si>
  <si>
    <t>ARABE-pollo-R-15600-16201-15803</t>
  </si>
  <si>
    <t>R-15803-15600-15981-16591-</t>
  </si>
  <si>
    <t>pollo-chorizo--R-15981</t>
  </si>
  <si>
    <t>13-May --18-May</t>
  </si>
  <si>
    <t>16366 B</t>
  </si>
  <si>
    <t>16730 B</t>
  </si>
  <si>
    <t>R-15981-16730</t>
  </si>
  <si>
    <t>R-16366</t>
  </si>
  <si>
    <t>17056 B</t>
  </si>
  <si>
    <t>17448 B</t>
  </si>
  <si>
    <t>17627 B</t>
  </si>
  <si>
    <t>17645 B</t>
  </si>
  <si>
    <t>17752 B</t>
  </si>
  <si>
    <t>18027 B</t>
  </si>
  <si>
    <t>Pepe  20-May</t>
  </si>
  <si>
    <t>R-16590-pollo-arabe</t>
  </si>
  <si>
    <t>R-16590-MAIZ</t>
  </si>
  <si>
    <t xml:space="preserve">MAIZ   </t>
  </si>
  <si>
    <t>R-16590--17056-Chorizo</t>
  </si>
  <si>
    <t>R-17056-Pollo</t>
  </si>
  <si>
    <t xml:space="preserve">Elias  24 Mayo </t>
  </si>
  <si>
    <t>R-17056-Arabe</t>
  </si>
  <si>
    <t>R-17056-pollo</t>
  </si>
  <si>
    <t xml:space="preserve">18-May --28-May </t>
  </si>
  <si>
    <t>18032 B</t>
  </si>
  <si>
    <t>18052 B</t>
  </si>
  <si>
    <t>18182 B</t>
  </si>
  <si>
    <t>18328 B</t>
  </si>
  <si>
    <t>18457 B</t>
  </si>
  <si>
    <t>18539 B</t>
  </si>
  <si>
    <t>18592 B</t>
  </si>
  <si>
    <t xml:space="preserve">BALANCE       DE     J U N I O       2 0 1 6        11  S U R   </t>
  </si>
  <si>
    <t xml:space="preserve">ELIAS </t>
  </si>
  <si>
    <t xml:space="preserve">Elias  </t>
  </si>
  <si>
    <t xml:space="preserve">Pepe  </t>
  </si>
  <si>
    <t>REMISIONES  11 SUR    J U N I O             2016</t>
  </si>
  <si>
    <t>18922 B</t>
  </si>
  <si>
    <t>18882 B</t>
  </si>
  <si>
    <t>19116 B</t>
  </si>
  <si>
    <t>19248 B</t>
  </si>
  <si>
    <t>R-17448-17627-Condimentos</t>
  </si>
  <si>
    <t>R-17627-17645-pollo-maiz-chorizo</t>
  </si>
  <si>
    <t>R-17645-17752-18032</t>
  </si>
  <si>
    <t>R-18032-18027-Chorizo</t>
  </si>
  <si>
    <t>R-18027-pollo</t>
  </si>
  <si>
    <t>maiz</t>
  </si>
  <si>
    <t>arabe</t>
  </si>
  <si>
    <t>pollo-Maiz-Chorizo</t>
  </si>
  <si>
    <t>R-16730-16366</t>
  </si>
  <si>
    <t>LUZ  31-May</t>
  </si>
  <si>
    <t>PERDIDA</t>
  </si>
  <si>
    <t>R-18027-18052-18082</t>
  </si>
  <si>
    <t>ARABE</t>
  </si>
  <si>
    <t>R-18052-18328-pollo</t>
  </si>
  <si>
    <t>Elias 03-JUN</t>
  </si>
  <si>
    <t>R-18328-18457</t>
  </si>
  <si>
    <t>R-18457-18539-18592</t>
  </si>
  <si>
    <t>NOMINA 24</t>
  </si>
  <si>
    <t>NOMINA 25</t>
  </si>
  <si>
    <t>NOMINA 26</t>
  </si>
  <si>
    <t>NOMINA 27</t>
  </si>
  <si>
    <t>R-18592-18922--chorizo</t>
  </si>
  <si>
    <t>19290 B</t>
  </si>
  <si>
    <t>19369 B</t>
  </si>
  <si>
    <t>19484 B</t>
  </si>
  <si>
    <t>19778 B</t>
  </si>
  <si>
    <t>19779 B</t>
  </si>
  <si>
    <t>19972 B</t>
  </si>
  <si>
    <t>R-18922-18882-+19116</t>
  </si>
  <si>
    <t>R-19116-pollo</t>
  </si>
  <si>
    <t>R-19248</t>
  </si>
  <si>
    <t>Elias  10 JUN</t>
  </si>
  <si>
    <t>R-19248-+19290-19369-pollo-chorizo</t>
  </si>
  <si>
    <t>R-19369-19484-Maiz</t>
  </si>
  <si>
    <t>R-19484</t>
  </si>
  <si>
    <t>R-16484-19778-19779</t>
  </si>
  <si>
    <t>MAIZ</t>
  </si>
  <si>
    <t>JORGE MORENO HERNANDEZ</t>
  </si>
  <si>
    <t>paga  Rosa Bermudes  15-Jun 2016</t>
  </si>
  <si>
    <t xml:space="preserve">Abono </t>
  </si>
  <si>
    <t xml:space="preserve">08-Jun --15-Jun </t>
  </si>
  <si>
    <t>20179 B</t>
  </si>
  <si>
    <t>20058 B</t>
  </si>
  <si>
    <t>20414 B</t>
  </si>
  <si>
    <t>20668 B</t>
  </si>
  <si>
    <t>20670 B</t>
  </si>
  <si>
    <t>20671 B</t>
  </si>
  <si>
    <t>20329 B</t>
  </si>
  <si>
    <t>20762 B</t>
  </si>
  <si>
    <t>20932 B</t>
  </si>
  <si>
    <t>21069 B</t>
  </si>
  <si>
    <t>21070 B</t>
  </si>
  <si>
    <t>21071 B</t>
  </si>
  <si>
    <t>R-19972-pollo</t>
  </si>
  <si>
    <t>PRESTAMO SERGIO  14-Junio</t>
  </si>
  <si>
    <t>R-19972</t>
  </si>
  <si>
    <t>R-19972-maiz</t>
  </si>
  <si>
    <t>R-19972-20058-20179-20329- condimentos</t>
  </si>
  <si>
    <t>R-20329-20414-250671-20668--Chorizo</t>
  </si>
  <si>
    <t>R-20668-20670</t>
  </si>
  <si>
    <t>21300 B</t>
  </si>
  <si>
    <t>21515 B</t>
  </si>
  <si>
    <t>R-20670-20762</t>
  </si>
  <si>
    <t>R-20762-21070-20932 --chorizo</t>
  </si>
  <si>
    <t>R-20932-20932</t>
  </si>
  <si>
    <t xml:space="preserve">15-Jun --24-Jun </t>
  </si>
  <si>
    <t>21426 B</t>
  </si>
  <si>
    <t>21761 B</t>
  </si>
  <si>
    <t>21876 B</t>
  </si>
  <si>
    <t>21986 B</t>
  </si>
  <si>
    <t>22074 B</t>
  </si>
  <si>
    <t>21235 B</t>
  </si>
  <si>
    <t xml:space="preserve">24-Jun --30-Jun </t>
  </si>
  <si>
    <t>22189 B</t>
  </si>
  <si>
    <t>22399 B</t>
  </si>
  <si>
    <t>22474 B</t>
  </si>
  <si>
    <t>REMISIONES  11 SUR    J U L I O             2016</t>
  </si>
  <si>
    <t>22634 B</t>
  </si>
  <si>
    <t>22775 B</t>
  </si>
  <si>
    <t>22889 B</t>
  </si>
  <si>
    <t>pagara   Rosa Bermudes  15-Jun 2016</t>
  </si>
  <si>
    <t>22982 B</t>
  </si>
  <si>
    <t>23112 B</t>
  </si>
  <si>
    <t>23162 B</t>
  </si>
  <si>
    <t>23389 B</t>
  </si>
  <si>
    <t>23466 B</t>
  </si>
  <si>
    <t>23558 B</t>
  </si>
  <si>
    <t>23719 B</t>
  </si>
  <si>
    <t>23720 B</t>
  </si>
  <si>
    <t>23838 B</t>
  </si>
  <si>
    <t>23946 B</t>
  </si>
  <si>
    <t>R-20932-21069</t>
  </si>
  <si>
    <t>R-21069-21071-21235</t>
  </si>
  <si>
    <t>Pepe   24-JUNIO</t>
  </si>
  <si>
    <t>R-21235--21300</t>
  </si>
  <si>
    <t>R-21300-21426-21515</t>
  </si>
  <si>
    <t>R-21515</t>
  </si>
  <si>
    <t>R-21515-21876-21761</t>
  </si>
  <si>
    <t>ELIAS 29-JUN</t>
  </si>
  <si>
    <t>R-21761--pollo</t>
  </si>
  <si>
    <t>NOMINA 28</t>
  </si>
  <si>
    <t>NOMINA 29</t>
  </si>
  <si>
    <t>NOMINA 30</t>
  </si>
  <si>
    <t xml:space="preserve">BALANCE       DE     J U L I O       2 0 1 6        11  S U R   </t>
  </si>
  <si>
    <t>R-21761-21986-22189</t>
  </si>
  <si>
    <t>R-22189-22074</t>
  </si>
  <si>
    <t>R-22074-22399</t>
  </si>
  <si>
    <t>R-22399</t>
  </si>
  <si>
    <t>R-22399-22474</t>
  </si>
  <si>
    <t xml:space="preserve">SALSAS </t>
  </si>
  <si>
    <t>Elias  06-JUL</t>
  </si>
  <si>
    <t>R-22474-22634</t>
  </si>
  <si>
    <t>R-22634</t>
  </si>
  <si>
    <t>R-22634--22775</t>
  </si>
  <si>
    <t>R-22775--22889</t>
  </si>
  <si>
    <t>R-22982--22889</t>
  </si>
  <si>
    <t>R-22982--23112-23558--23389</t>
  </si>
  <si>
    <t>R-23389</t>
  </si>
  <si>
    <t>R-23719-23389</t>
  </si>
  <si>
    <t>MAIZ-POLLO</t>
  </si>
  <si>
    <t xml:space="preserve">30-Jun --15-Jul </t>
  </si>
  <si>
    <t>24622 B</t>
  </si>
  <si>
    <t>24388 B</t>
  </si>
  <si>
    <t>24552 B</t>
  </si>
  <si>
    <t>24704 B</t>
  </si>
  <si>
    <t>24770 B</t>
  </si>
  <si>
    <t>R-23719-23466</t>
  </si>
  <si>
    <t>Elias  15-JUL</t>
  </si>
  <si>
    <t>R-23466-23720</t>
  </si>
  <si>
    <t>R-23720-253838</t>
  </si>
  <si>
    <t>R-23838--23162</t>
  </si>
  <si>
    <t>R-23162-23946</t>
  </si>
  <si>
    <t>R-23946</t>
  </si>
  <si>
    <t>R-23946-23388</t>
  </si>
  <si>
    <t xml:space="preserve">15-JUL --22-Jul </t>
  </si>
  <si>
    <t>24875 B</t>
  </si>
  <si>
    <t>00153 C</t>
  </si>
  <si>
    <t>00254 C</t>
  </si>
  <si>
    <t>00398 C</t>
  </si>
  <si>
    <t>00498 C</t>
  </si>
  <si>
    <t>00499 C</t>
  </si>
  <si>
    <t>00590 C</t>
  </si>
  <si>
    <t>00756 C</t>
  </si>
  <si>
    <t>00948 C</t>
  </si>
  <si>
    <t>00952 C</t>
  </si>
  <si>
    <t>R-24388-24552-24622</t>
  </si>
  <si>
    <t>R-24622--24704</t>
  </si>
  <si>
    <t>R-24704</t>
  </si>
  <si>
    <t>R-24704--24770</t>
  </si>
  <si>
    <t>R-24770-24875</t>
  </si>
  <si>
    <t>R-24875-153</t>
  </si>
  <si>
    <t>R-153-chorizo-pollo</t>
  </si>
  <si>
    <t>R-153-254</t>
  </si>
  <si>
    <t>R-254</t>
  </si>
  <si>
    <t xml:space="preserve">22-Jul--30-Jul </t>
  </si>
  <si>
    <t>01143 C</t>
  </si>
  <si>
    <t>01268 C</t>
  </si>
  <si>
    <t>01372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</si>
</sst>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8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9F51B"/>
        <bgColor indexed="64"/>
      </patternFill>
    </fill>
    <fill>
      <patternFill patternType="solid">
        <fgColor theme="9" tint="-0.24997711111789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72">
    <xf numFmtId="0" fontId="0" fillId="0" borderId="0" xfId="0"/>
    <xf numFmtId="164" fontId="0" fillId="0" borderId="0" xfId="0" applyNumberFormat="1" applyAlignment="1">
      <alignment horizontal="center"/>
    </xf>
    <xf numFmtId="0" fontId="7" fillId="2" borderId="0" xfId="0" applyFont="1" applyFill="1"/>
    <xf numFmtId="44" fontId="4" fillId="0" borderId="0" xfId="1" applyFont="1"/>
    <xf numFmtId="0" fontId="0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8" fillId="0" borderId="1" xfId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12" fillId="3" borderId="0" xfId="1" applyFont="1" applyFill="1" applyAlignment="1">
      <alignment horizontal="center"/>
    </xf>
    <xf numFmtId="16" fontId="0" fillId="0" borderId="0" xfId="0" applyNumberFormat="1"/>
    <xf numFmtId="164" fontId="0" fillId="0" borderId="5" xfId="0" applyNumberFormat="1" applyFill="1" applyBorder="1" applyAlignment="1">
      <alignment horizontal="center"/>
    </xf>
    <xf numFmtId="44" fontId="6" fillId="0" borderId="6" xfId="1" applyFont="1" applyFill="1" applyBorder="1"/>
    <xf numFmtId="165" fontId="13" fillId="0" borderId="0" xfId="0" applyNumberFormat="1" applyFont="1" applyFill="1"/>
    <xf numFmtId="15" fontId="0" fillId="0" borderId="7" xfId="0" applyNumberFormat="1" applyFill="1" applyBorder="1"/>
    <xf numFmtId="44" fontId="6" fillId="0" borderId="8" xfId="1" applyFont="1" applyFill="1" applyBorder="1"/>
    <xf numFmtId="0" fontId="0" fillId="0" borderId="0" xfId="0" applyFill="1"/>
    <xf numFmtId="44" fontId="6" fillId="0" borderId="0" xfId="1" applyFont="1" applyFill="1"/>
    <xf numFmtId="165" fontId="10" fillId="0" borderId="0" xfId="0" applyNumberFormat="1" applyFont="1" applyFill="1"/>
    <xf numFmtId="165" fontId="0" fillId="0" borderId="0" xfId="0" applyNumberFormat="1" applyFill="1" applyBorder="1"/>
    <xf numFmtId="15" fontId="0" fillId="0" borderId="9" xfId="0" applyNumberFormat="1" applyFill="1" applyBorder="1"/>
    <xf numFmtId="44" fontId="6" fillId="0" borderId="10" xfId="1" applyFont="1" applyFill="1" applyBorder="1"/>
    <xf numFmtId="44" fontId="6" fillId="0" borderId="0" xfId="1" applyFont="1" applyFill="1" applyBorder="1"/>
    <xf numFmtId="0" fontId="0" fillId="0" borderId="0" xfId="0" applyFill="1" applyBorder="1"/>
    <xf numFmtId="165" fontId="6" fillId="0" borderId="8" xfId="0" applyNumberFormat="1" applyFont="1" applyFill="1" applyBorder="1"/>
    <xf numFmtId="44" fontId="4" fillId="0" borderId="11" xfId="1" applyFont="1" applyFill="1" applyBorder="1"/>
    <xf numFmtId="44" fontId="4" fillId="0" borderId="0" xfId="1" applyFont="1" applyFill="1"/>
    <xf numFmtId="0" fontId="6" fillId="4" borderId="0" xfId="0" applyFont="1" applyFill="1" applyBorder="1"/>
    <xf numFmtId="165" fontId="0" fillId="0" borderId="8" xfId="0" applyNumberFormat="1" applyFill="1" applyBorder="1"/>
    <xf numFmtId="44" fontId="6" fillId="0" borderId="11" xfId="1" applyFont="1" applyFill="1" applyBorder="1"/>
    <xf numFmtId="165" fontId="0" fillId="0" borderId="0" xfId="0" applyNumberFormat="1" applyFont="1" applyFill="1"/>
    <xf numFmtId="44" fontId="14" fillId="0" borderId="0" xfId="1" applyFont="1" applyFill="1" applyBorder="1"/>
    <xf numFmtId="44" fontId="11" fillId="0" borderId="0" xfId="1" applyFont="1" applyFill="1"/>
    <xf numFmtId="0" fontId="6" fillId="0" borderId="0" xfId="0" applyFont="1" applyFill="1"/>
    <xf numFmtId="0" fontId="11" fillId="0" borderId="0" xfId="0" applyFont="1" applyFill="1"/>
    <xf numFmtId="0" fontId="0" fillId="0" borderId="0" xfId="0" applyFont="1" applyFill="1" applyBorder="1"/>
    <xf numFmtId="0" fontId="15" fillId="0" borderId="0" xfId="0" applyFont="1" applyFill="1" applyBorder="1"/>
    <xf numFmtId="0" fontId="13" fillId="0" borderId="0" xfId="0" applyFont="1" applyFill="1" applyBorder="1"/>
    <xf numFmtId="44" fontId="6" fillId="0" borderId="8" xfId="1" applyFont="1" applyFill="1" applyBorder="1" applyAlignment="1">
      <alignment horizontal="right"/>
    </xf>
    <xf numFmtId="0" fontId="6" fillId="0" borderId="0" xfId="0" applyFont="1" applyFill="1" applyBorder="1"/>
    <xf numFmtId="44" fontId="6" fillId="0" borderId="0" xfId="1" applyFont="1" applyFill="1" applyBorder="1" applyAlignment="1">
      <alignment horizontal="right"/>
    </xf>
    <xf numFmtId="44" fontId="6" fillId="0" borderId="12" xfId="1" applyFont="1" applyFill="1" applyBorder="1"/>
    <xf numFmtId="16" fontId="14" fillId="0" borderId="0" xfId="0" applyNumberFormat="1" applyFont="1" applyFill="1" applyBorder="1"/>
    <xf numFmtId="16" fontId="16" fillId="0" borderId="9" xfId="0" applyNumberFormat="1" applyFont="1" applyFill="1" applyBorder="1"/>
    <xf numFmtId="44" fontId="14" fillId="0" borderId="9" xfId="1" applyFont="1" applyFill="1" applyBorder="1" applyAlignment="1"/>
    <xf numFmtId="44" fontId="14" fillId="0" borderId="0" xfId="1" applyFont="1" applyFill="1" applyBorder="1" applyAlignment="1">
      <alignment horizontal="left"/>
    </xf>
    <xf numFmtId="16" fontId="6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44" fontId="17" fillId="0" borderId="0" xfId="1" applyFont="1" applyFill="1" applyBorder="1"/>
    <xf numFmtId="0" fontId="6" fillId="0" borderId="9" xfId="0" applyFont="1" applyFill="1" applyBorder="1"/>
    <xf numFmtId="16" fontId="0" fillId="0" borderId="9" xfId="0" applyNumberFormat="1" applyFill="1" applyBorder="1"/>
    <xf numFmtId="0" fontId="0" fillId="0" borderId="9" xfId="0" applyFill="1" applyBorder="1"/>
    <xf numFmtId="44" fontId="6" fillId="0" borderId="8" xfId="1" applyFont="1" applyBorder="1" applyAlignment="1">
      <alignment horizontal="right"/>
    </xf>
    <xf numFmtId="0" fontId="17" fillId="0" borderId="9" xfId="0" applyFont="1" applyFill="1" applyBorder="1"/>
    <xf numFmtId="0" fontId="11" fillId="0" borderId="13" xfId="0" applyFont="1" applyFill="1" applyBorder="1"/>
    <xf numFmtId="0" fontId="11" fillId="0" borderId="14" xfId="0" applyFont="1" applyFill="1" applyBorder="1"/>
    <xf numFmtId="0" fontId="14" fillId="0" borderId="9" xfId="0" applyFont="1" applyFill="1" applyBorder="1"/>
    <xf numFmtId="165" fontId="6" fillId="0" borderId="8" xfId="0" applyNumberFormat="1" applyFont="1" applyBorder="1"/>
    <xf numFmtId="0" fontId="18" fillId="0" borderId="2" xfId="0" applyFont="1" applyBorder="1"/>
    <xf numFmtId="164" fontId="14" fillId="0" borderId="3" xfId="0" applyNumberFormat="1" applyFont="1" applyBorder="1" applyAlignment="1">
      <alignment horizontal="right"/>
    </xf>
    <xf numFmtId="44" fontId="6" fillId="0" borderId="6" xfId="1" applyFont="1" applyBorder="1"/>
    <xf numFmtId="0" fontId="19" fillId="0" borderId="15" xfId="0" applyFont="1" applyFill="1" applyBorder="1" applyAlignment="1">
      <alignment horizontal="center"/>
    </xf>
    <xf numFmtId="44" fontId="4" fillId="0" borderId="12" xfId="1" applyFont="1" applyFill="1" applyBorder="1"/>
    <xf numFmtId="44" fontId="4" fillId="0" borderId="0" xfId="1" applyFont="1" applyBorder="1"/>
    <xf numFmtId="0" fontId="0" fillId="0" borderId="9" xfId="0" applyBorder="1"/>
    <xf numFmtId="165" fontId="0" fillId="0" borderId="8" xfId="0" applyNumberFormat="1" applyBorder="1"/>
    <xf numFmtId="44" fontId="4" fillId="0" borderId="11" xfId="1" applyFont="1" applyBorder="1"/>
    <xf numFmtId="0" fontId="0" fillId="0" borderId="0" xfId="0" applyFont="1" applyAlignment="1"/>
    <xf numFmtId="0" fontId="16" fillId="0" borderId="0" xfId="0" applyFont="1"/>
    <xf numFmtId="164" fontId="19" fillId="0" borderId="16" xfId="0" applyNumberFormat="1" applyFont="1" applyBorder="1" applyAlignment="1">
      <alignment horizontal="center"/>
    </xf>
    <xf numFmtId="44" fontId="6" fillId="0" borderId="17" xfId="1" applyFont="1" applyBorder="1"/>
    <xf numFmtId="0" fontId="0" fillId="0" borderId="18" xfId="0" applyBorder="1"/>
    <xf numFmtId="44" fontId="4" fillId="0" borderId="19" xfId="1" applyFont="1" applyBorder="1"/>
    <xf numFmtId="0" fontId="19" fillId="0" borderId="20" xfId="0" applyFont="1" applyBorder="1" applyAlignment="1">
      <alignment horizontal="center"/>
    </xf>
    <xf numFmtId="44" fontId="4" fillId="0" borderId="21" xfId="1" applyFont="1" applyBorder="1"/>
    <xf numFmtId="0" fontId="0" fillId="0" borderId="22" xfId="0" applyBorder="1"/>
    <xf numFmtId="165" fontId="0" fillId="0" borderId="23" xfId="0" applyNumberFormat="1" applyBorder="1"/>
    <xf numFmtId="44" fontId="12" fillId="5" borderId="24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44" fontId="6" fillId="0" borderId="0" xfId="1" applyFont="1"/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164" fontId="17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20" fillId="0" borderId="25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6" fillId="0" borderId="0" xfId="1" applyFont="1" applyBorder="1"/>
    <xf numFmtId="44" fontId="20" fillId="0" borderId="0" xfId="1" applyFont="1" applyAlignment="1">
      <alignment horizontal="center" vertical="center" wrapText="1"/>
    </xf>
    <xf numFmtId="0" fontId="0" fillId="0" borderId="23" xfId="0" applyFont="1" applyBorder="1"/>
    <xf numFmtId="0" fontId="6" fillId="0" borderId="23" xfId="0" applyFont="1" applyBorder="1"/>
    <xf numFmtId="44" fontId="6" fillId="0" borderId="23" xfId="1" applyFont="1" applyBorder="1"/>
    <xf numFmtId="0" fontId="6" fillId="0" borderId="0" xfId="0" applyFont="1" applyAlignment="1">
      <alignment horizontal="right"/>
    </xf>
    <xf numFmtId="44" fontId="19" fillId="0" borderId="26" xfId="1" applyFont="1" applyBorder="1"/>
    <xf numFmtId="165" fontId="21" fillId="0" borderId="0" xfId="0" applyNumberFormat="1" applyFont="1"/>
    <xf numFmtId="44" fontId="19" fillId="0" borderId="0" xfId="1" applyFont="1" applyBorder="1"/>
    <xf numFmtId="0" fontId="0" fillId="0" borderId="23" xfId="0" applyBorder="1"/>
    <xf numFmtId="0" fontId="6" fillId="0" borderId="23" xfId="0" applyFont="1" applyBorder="1" applyAlignment="1">
      <alignment horizontal="center"/>
    </xf>
    <xf numFmtId="0" fontId="11" fillId="0" borderId="0" xfId="0" applyFont="1"/>
    <xf numFmtId="44" fontId="20" fillId="0" borderId="0" xfId="1" applyFont="1"/>
    <xf numFmtId="44" fontId="7" fillId="0" borderId="0" xfId="1" applyFont="1"/>
    <xf numFmtId="0" fontId="22" fillId="6" borderId="0" xfId="0" applyFont="1" applyFill="1"/>
    <xf numFmtId="44" fontId="4" fillId="6" borderId="0" xfId="1" applyFont="1" applyFill="1"/>
    <xf numFmtId="0" fontId="0" fillId="6" borderId="0" xfId="0" applyFill="1"/>
    <xf numFmtId="0" fontId="6" fillId="0" borderId="26" xfId="0" applyFont="1" applyFill="1" applyBorder="1"/>
    <xf numFmtId="0" fontId="0" fillId="0" borderId="26" xfId="0" applyFill="1" applyBorder="1"/>
    <xf numFmtId="44" fontId="4" fillId="0" borderId="26" xfId="1" applyFont="1" applyFill="1" applyBorder="1"/>
    <xf numFmtId="164" fontId="6" fillId="0" borderId="27" xfId="0" applyNumberFormat="1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44" fontId="3" fillId="0" borderId="28" xfId="1" applyFont="1" applyFill="1" applyBorder="1"/>
    <xf numFmtId="164" fontId="6" fillId="0" borderId="29" xfId="0" applyNumberFormat="1" applyFont="1" applyFill="1" applyBorder="1" applyAlignment="1">
      <alignment horizontal="center"/>
    </xf>
    <xf numFmtId="0" fontId="24" fillId="0" borderId="29" xfId="0" applyFont="1" applyFill="1" applyBorder="1" applyAlignment="1">
      <alignment horizontal="center"/>
    </xf>
    <xf numFmtId="164" fontId="17" fillId="0" borderId="0" xfId="0" applyNumberFormat="1" applyFont="1" applyFill="1" applyAlignment="1">
      <alignment horizontal="center"/>
    </xf>
    <xf numFmtId="44" fontId="3" fillId="0" borderId="30" xfId="1" applyFont="1" applyFill="1" applyBorder="1"/>
    <xf numFmtId="1" fontId="25" fillId="0" borderId="29" xfId="0" applyNumberFormat="1" applyFont="1" applyFill="1" applyBorder="1" applyAlignment="1">
      <alignment horizontal="center"/>
    </xf>
    <xf numFmtId="164" fontId="26" fillId="0" borderId="29" xfId="0" applyNumberFormat="1" applyFont="1" applyFill="1" applyBorder="1" applyAlignment="1">
      <alignment horizontal="center"/>
    </xf>
    <xf numFmtId="1" fontId="24" fillId="0" borderId="29" xfId="0" applyNumberFormat="1" applyFont="1" applyFill="1" applyBorder="1" applyAlignment="1">
      <alignment horizontal="center"/>
    </xf>
    <xf numFmtId="1" fontId="25" fillId="0" borderId="31" xfId="0" applyNumberFormat="1" applyFont="1" applyFill="1" applyBorder="1" applyAlignment="1">
      <alignment horizontal="center"/>
    </xf>
    <xf numFmtId="44" fontId="3" fillId="0" borderId="29" xfId="1" applyFont="1" applyFill="1" applyBorder="1"/>
    <xf numFmtId="0" fontId="25" fillId="0" borderId="32" xfId="0" applyFont="1" applyFill="1" applyBorder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44" fontId="28" fillId="0" borderId="0" xfId="1" applyFont="1" applyFill="1" applyBorder="1"/>
    <xf numFmtId="164" fontId="26" fillId="0" borderId="29" xfId="0" applyNumberFormat="1" applyFont="1" applyFill="1" applyBorder="1" applyAlignment="1">
      <alignment horizontal="left"/>
    </xf>
    <xf numFmtId="164" fontId="29" fillId="0" borderId="0" xfId="0" applyNumberFormat="1" applyFont="1" applyFill="1" applyBorder="1" applyAlignment="1">
      <alignment horizontal="center"/>
    </xf>
    <xf numFmtId="44" fontId="3" fillId="0" borderId="0" xfId="1" applyFont="1" applyFill="1" applyBorder="1"/>
    <xf numFmtId="164" fontId="26" fillId="0" borderId="31" xfId="0" applyNumberFormat="1" applyFont="1" applyFill="1" applyBorder="1" applyAlignment="1">
      <alignment horizontal="left"/>
    </xf>
    <xf numFmtId="44" fontId="3" fillId="0" borderId="31" xfId="1" applyFont="1" applyFill="1" applyBorder="1"/>
    <xf numFmtId="164" fontId="12" fillId="0" borderId="29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165" fontId="29" fillId="0" borderId="23" xfId="0" applyNumberFormat="1" applyFont="1" applyFill="1" applyBorder="1"/>
    <xf numFmtId="44" fontId="6" fillId="0" borderId="23" xfId="1" applyFont="1" applyFill="1" applyBorder="1"/>
    <xf numFmtId="164" fontId="29" fillId="0" borderId="23" xfId="0" applyNumberFormat="1" applyFont="1" applyFill="1" applyBorder="1" applyAlignment="1">
      <alignment horizontal="center"/>
    </xf>
    <xf numFmtId="44" fontId="3" fillId="0" borderId="23" xfId="1" applyFont="1" applyFill="1" applyBorder="1"/>
    <xf numFmtId="164" fontId="0" fillId="0" borderId="0" xfId="0" applyNumberFormat="1" applyFill="1" applyAlignment="1">
      <alignment horizontal="center"/>
    </xf>
    <xf numFmtId="44" fontId="22" fillId="0" borderId="0" xfId="1" applyFont="1"/>
    <xf numFmtId="0" fontId="22" fillId="0" borderId="0" xfId="0" applyFont="1"/>
    <xf numFmtId="0" fontId="22" fillId="0" borderId="0" xfId="0" applyFont="1" applyAlignment="1">
      <alignment horizontal="center"/>
    </xf>
    <xf numFmtId="164" fontId="6" fillId="7" borderId="33" xfId="1" applyNumberFormat="1" applyFont="1" applyFill="1" applyBorder="1" applyAlignment="1">
      <alignment horizontal="center"/>
    </xf>
    <xf numFmtId="164" fontId="6" fillId="0" borderId="0" xfId="0" applyNumberFormat="1" applyFont="1"/>
    <xf numFmtId="0" fontId="21" fillId="0" borderId="0" xfId="0" applyFont="1"/>
    <xf numFmtId="44" fontId="12" fillId="0" borderId="0" xfId="1" applyFont="1"/>
    <xf numFmtId="0" fontId="21" fillId="0" borderId="0" xfId="0" applyFont="1" applyAlignment="1">
      <alignment horizontal="center"/>
    </xf>
    <xf numFmtId="164" fontId="12" fillId="0" borderId="0" xfId="0" applyNumberFormat="1" applyFont="1"/>
    <xf numFmtId="0" fontId="12" fillId="0" borderId="0" xfId="0" applyFont="1"/>
    <xf numFmtId="44" fontId="12" fillId="0" borderId="29" xfId="1" applyFont="1" applyFill="1" applyBorder="1" applyAlignment="1">
      <alignment horizontal="left"/>
    </xf>
    <xf numFmtId="0" fontId="12" fillId="0" borderId="29" xfId="0" applyFont="1" applyBorder="1" applyAlignment="1">
      <alignment horizontal="center"/>
    </xf>
    <xf numFmtId="44" fontId="30" fillId="0" borderId="29" xfId="1" applyFont="1" applyBorder="1"/>
    <xf numFmtId="164" fontId="30" fillId="0" borderId="29" xfId="0" applyNumberFormat="1" applyFont="1" applyBorder="1"/>
    <xf numFmtId="44" fontId="6" fillId="0" borderId="29" xfId="1" applyFont="1" applyFill="1" applyBorder="1" applyAlignment="1">
      <alignment horizontal="center"/>
    </xf>
    <xf numFmtId="44" fontId="6" fillId="0" borderId="29" xfId="1" applyFont="1" applyFill="1" applyBorder="1" applyAlignment="1">
      <alignment horizontal="left"/>
    </xf>
    <xf numFmtId="44" fontId="31" fillId="0" borderId="29" xfId="1" applyFont="1" applyBorder="1"/>
    <xf numFmtId="164" fontId="31" fillId="0" borderId="29" xfId="0" applyNumberFormat="1" applyFont="1" applyBorder="1"/>
    <xf numFmtId="0" fontId="6" fillId="0" borderId="29" xfId="0" applyFont="1" applyFill="1" applyBorder="1"/>
    <xf numFmtId="0" fontId="0" fillId="0" borderId="29" xfId="0" applyBorder="1"/>
    <xf numFmtId="44" fontId="6" fillId="0" borderId="29" xfId="1" applyFont="1" applyBorder="1"/>
    <xf numFmtId="0" fontId="5" fillId="0" borderId="0" xfId="0" applyFont="1"/>
    <xf numFmtId="16" fontId="5" fillId="0" borderId="0" xfId="0" applyNumberFormat="1" applyFont="1"/>
    <xf numFmtId="44" fontId="6" fillId="3" borderId="6" xfId="1" applyFont="1" applyFill="1" applyBorder="1"/>
    <xf numFmtId="165" fontId="13" fillId="3" borderId="0" xfId="0" applyNumberFormat="1" applyFont="1" applyFill="1"/>
    <xf numFmtId="15" fontId="0" fillId="3" borderId="7" xfId="0" applyNumberFormat="1" applyFill="1" applyBorder="1"/>
    <xf numFmtId="44" fontId="6" fillId="3" borderId="8" xfId="1" applyFont="1" applyFill="1" applyBorder="1"/>
    <xf numFmtId="0" fontId="0" fillId="3" borderId="0" xfId="0" applyFill="1"/>
    <xf numFmtId="15" fontId="0" fillId="3" borderId="34" xfId="0" applyNumberFormat="1" applyFill="1" applyBorder="1"/>
    <xf numFmtId="44" fontId="6" fillId="3" borderId="35" xfId="1" applyFont="1" applyFill="1" applyBorder="1"/>
    <xf numFmtId="44" fontId="6" fillId="3" borderId="36" xfId="1" applyFont="1" applyFill="1" applyBorder="1"/>
    <xf numFmtId="0" fontId="0" fillId="3" borderId="36" xfId="0" applyFill="1" applyBorder="1"/>
    <xf numFmtId="0" fontId="0" fillId="3" borderId="37" xfId="0" applyFill="1" applyBorder="1"/>
    <xf numFmtId="44" fontId="4" fillId="3" borderId="38" xfId="1" applyFont="1" applyFill="1" applyBorder="1"/>
    <xf numFmtId="16" fontId="0" fillId="0" borderId="0" xfId="0" applyNumberFormat="1" applyFill="1" applyBorder="1"/>
    <xf numFmtId="164" fontId="6" fillId="8" borderId="33" xfId="1" applyNumberFormat="1" applyFont="1" applyFill="1" applyBorder="1" applyAlignment="1">
      <alignment horizontal="center"/>
    </xf>
    <xf numFmtId="16" fontId="12" fillId="0" borderId="2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5" fontId="0" fillId="0" borderId="34" xfId="0" applyNumberFormat="1" applyFill="1" applyBorder="1"/>
    <xf numFmtId="44" fontId="6" fillId="0" borderId="35" xfId="1" applyFont="1" applyFill="1" applyBorder="1"/>
    <xf numFmtId="0" fontId="0" fillId="0" borderId="36" xfId="0" applyFill="1" applyBorder="1"/>
    <xf numFmtId="0" fontId="0" fillId="0" borderId="37" xfId="0" applyFill="1" applyBorder="1"/>
    <xf numFmtId="44" fontId="4" fillId="0" borderId="38" xfId="1" applyFont="1" applyFill="1" applyBorder="1"/>
    <xf numFmtId="164" fontId="11" fillId="0" borderId="0" xfId="0" applyNumberFormat="1" applyFont="1" applyFill="1" applyAlignment="1">
      <alignment horizontal="center"/>
    </xf>
    <xf numFmtId="44" fontId="11" fillId="0" borderId="0" xfId="1" applyFont="1" applyFill="1" applyBorder="1"/>
    <xf numFmtId="166" fontId="20" fillId="0" borderId="39" xfId="0" applyNumberFormat="1" applyFont="1" applyBorder="1" applyAlignment="1"/>
    <xf numFmtId="166" fontId="20" fillId="0" borderId="8" xfId="0" applyNumberFormat="1" applyFont="1" applyBorder="1" applyAlignment="1"/>
    <xf numFmtId="164" fontId="6" fillId="4" borderId="33" xfId="1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44" fontId="31" fillId="0" borderId="0" xfId="1" applyFont="1" applyBorder="1"/>
    <xf numFmtId="164" fontId="31" fillId="0" borderId="0" xfId="0" applyNumberFormat="1" applyFont="1" applyBorder="1"/>
    <xf numFmtId="0" fontId="25" fillId="0" borderId="0" xfId="0" applyFont="1" applyFill="1" applyBorder="1" applyAlignment="1">
      <alignment horizontal="center"/>
    </xf>
    <xf numFmtId="1" fontId="25" fillId="0" borderId="40" xfId="0" applyNumberFormat="1" applyFont="1" applyFill="1" applyBorder="1" applyAlignment="1">
      <alignment horizontal="center"/>
    </xf>
    <xf numFmtId="44" fontId="6" fillId="0" borderId="40" xfId="1" applyFont="1" applyFill="1" applyBorder="1" applyAlignment="1">
      <alignment horizontal="center"/>
    </xf>
    <xf numFmtId="0" fontId="12" fillId="0" borderId="40" xfId="0" applyFont="1" applyBorder="1" applyAlignment="1">
      <alignment horizontal="center"/>
    </xf>
    <xf numFmtId="44" fontId="31" fillId="0" borderId="40" xfId="1" applyFont="1" applyBorder="1"/>
    <xf numFmtId="164" fontId="31" fillId="0" borderId="40" xfId="0" applyNumberFormat="1" applyFont="1" applyBorder="1"/>
    <xf numFmtId="164" fontId="6" fillId="5" borderId="33" xfId="1" applyNumberFormat="1" applyFont="1" applyFill="1" applyBorder="1" applyAlignment="1">
      <alignment horizontal="center"/>
    </xf>
    <xf numFmtId="44" fontId="6" fillId="9" borderId="0" xfId="1" applyFont="1" applyFill="1"/>
    <xf numFmtId="164" fontId="22" fillId="0" borderId="0" xfId="0" applyNumberFormat="1" applyFont="1"/>
    <xf numFmtId="44" fontId="6" fillId="10" borderId="8" xfId="1" applyFont="1" applyFill="1" applyBorder="1"/>
    <xf numFmtId="44" fontId="12" fillId="11" borderId="29" xfId="1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4" fontId="12" fillId="12" borderId="29" xfId="1" applyFont="1" applyFill="1" applyBorder="1"/>
    <xf numFmtId="44" fontId="4" fillId="0" borderId="29" xfId="1" applyFont="1" applyBorder="1"/>
    <xf numFmtId="44" fontId="12" fillId="0" borderId="29" xfId="1" applyFont="1" applyBorder="1"/>
    <xf numFmtId="0" fontId="22" fillId="2" borderId="29" xfId="0" applyFont="1" applyFill="1" applyBorder="1"/>
    <xf numFmtId="44" fontId="6" fillId="0" borderId="11" xfId="1" applyFont="1" applyBorder="1"/>
    <xf numFmtId="164" fontId="31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44" fontId="31" fillId="0" borderId="0" xfId="1" applyFont="1" applyFill="1" applyBorder="1"/>
    <xf numFmtId="44" fontId="22" fillId="0" borderId="0" xfId="1" applyFont="1" applyFill="1" applyBorder="1"/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6" fillId="9" borderId="11" xfId="1" applyFont="1" applyFill="1" applyBorder="1"/>
    <xf numFmtId="164" fontId="6" fillId="2" borderId="33" xfId="1" applyNumberFormat="1" applyFont="1" applyFill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0" fontId="12" fillId="0" borderId="31" xfId="0" applyFont="1" applyBorder="1" applyAlignment="1">
      <alignment horizontal="center"/>
    </xf>
    <xf numFmtId="44" fontId="31" fillId="0" borderId="31" xfId="1" applyFont="1" applyBorder="1"/>
    <xf numFmtId="164" fontId="31" fillId="0" borderId="31" xfId="0" applyNumberFormat="1" applyFont="1" applyBorder="1"/>
    <xf numFmtId="44" fontId="6" fillId="0" borderId="29" xfId="1" applyFont="1" applyFill="1" applyBorder="1"/>
    <xf numFmtId="0" fontId="12" fillId="0" borderId="29" xfId="0" applyFont="1" applyFill="1" applyBorder="1" applyAlignment="1">
      <alignment horizontal="center"/>
    </xf>
    <xf numFmtId="44" fontId="30" fillId="0" borderId="29" xfId="1" applyFont="1" applyFill="1" applyBorder="1"/>
    <xf numFmtId="164" fontId="30" fillId="0" borderId="29" xfId="0" applyNumberFormat="1" applyFont="1" applyFill="1" applyBorder="1"/>
    <xf numFmtId="0" fontId="12" fillId="0" borderId="29" xfId="0" applyFont="1" applyBorder="1"/>
    <xf numFmtId="44" fontId="0" fillId="0" borderId="0" xfId="0" applyNumberFormat="1"/>
    <xf numFmtId="1" fontId="25" fillId="0" borderId="41" xfId="0" applyNumberFormat="1" applyFont="1" applyFill="1" applyBorder="1" applyAlignment="1">
      <alignment horizontal="center"/>
    </xf>
    <xf numFmtId="44" fontId="6" fillId="0" borderId="41" xfId="1" applyFont="1" applyFill="1" applyBorder="1"/>
    <xf numFmtId="164" fontId="31" fillId="0" borderId="41" xfId="0" applyNumberFormat="1" applyFont="1" applyFill="1" applyBorder="1"/>
    <xf numFmtId="0" fontId="17" fillId="13" borderId="9" xfId="0" applyFont="1" applyFill="1" applyBorder="1"/>
    <xf numFmtId="44" fontId="6" fillId="13" borderId="13" xfId="1" applyFont="1" applyFill="1" applyBorder="1" applyAlignment="1"/>
    <xf numFmtId="0" fontId="6" fillId="13" borderId="9" xfId="0" applyFont="1" applyFill="1" applyBorder="1"/>
    <xf numFmtId="44" fontId="6" fillId="13" borderId="14" xfId="1" applyFont="1" applyFill="1" applyBorder="1" applyAlignment="1"/>
    <xf numFmtId="16" fontId="6" fillId="13" borderId="9" xfId="0" applyNumberFormat="1" applyFont="1" applyFill="1" applyBorder="1" applyAlignment="1">
      <alignment horizontal="center"/>
    </xf>
    <xf numFmtId="44" fontId="6" fillId="13" borderId="8" xfId="1" applyFont="1" applyFill="1" applyBorder="1" applyAlignment="1">
      <alignment horizontal="right"/>
    </xf>
    <xf numFmtId="16" fontId="21" fillId="0" borderId="0" xfId="0" applyNumberFormat="1" applyFont="1" applyFill="1" applyBorder="1"/>
    <xf numFmtId="164" fontId="6" fillId="2" borderId="29" xfId="0" applyNumberFormat="1" applyFont="1" applyFill="1" applyBorder="1"/>
    <xf numFmtId="164" fontId="6" fillId="0" borderId="29" xfId="0" applyNumberFormat="1" applyFont="1" applyBorder="1"/>
    <xf numFmtId="44" fontId="0" fillId="0" borderId="29" xfId="0" applyNumberFormat="1" applyBorder="1"/>
    <xf numFmtId="0" fontId="6" fillId="13" borderId="29" xfId="0" applyFont="1" applyFill="1" applyBorder="1"/>
    <xf numFmtId="0" fontId="0" fillId="13" borderId="29" xfId="0" applyFill="1" applyBorder="1"/>
    <xf numFmtId="164" fontId="6" fillId="0" borderId="29" xfId="0" applyNumberFormat="1" applyFont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165" fontId="15" fillId="0" borderId="0" xfId="0" applyNumberFormat="1" applyFont="1" applyFill="1"/>
    <xf numFmtId="164" fontId="6" fillId="14" borderId="33" xfId="1" applyNumberFormat="1" applyFont="1" applyFill="1" applyBorder="1" applyAlignment="1">
      <alignment horizontal="center"/>
    </xf>
    <xf numFmtId="16" fontId="16" fillId="13" borderId="0" xfId="0" applyNumberFormat="1" applyFont="1" applyFill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" fontId="16" fillId="0" borderId="0" xfId="0" applyNumberFormat="1" applyFont="1" applyFill="1" applyBorder="1"/>
    <xf numFmtId="44" fontId="6" fillId="0" borderId="36" xfId="1" applyFont="1" applyFill="1" applyBorder="1"/>
    <xf numFmtId="164" fontId="6" fillId="15" borderId="33" xfId="1" applyNumberFormat="1" applyFont="1" applyFill="1" applyBorder="1" applyAlignment="1">
      <alignment horizontal="center"/>
    </xf>
    <xf numFmtId="16" fontId="0" fillId="0" borderId="0" xfId="0" applyNumberFormat="1" applyFill="1"/>
    <xf numFmtId="16" fontId="6" fillId="0" borderId="0" xfId="0" applyNumberFormat="1" applyFont="1" applyFill="1"/>
    <xf numFmtId="44" fontId="30" fillId="0" borderId="0" xfId="1" applyFont="1" applyBorder="1"/>
    <xf numFmtId="164" fontId="30" fillId="0" borderId="0" xfId="0" applyNumberFormat="1" applyFont="1" applyBorder="1"/>
    <xf numFmtId="1" fontId="24" fillId="0" borderId="0" xfId="0" applyNumberFormat="1" applyFont="1" applyFill="1" applyBorder="1" applyAlignment="1">
      <alignment horizontal="center"/>
    </xf>
    <xf numFmtId="0" fontId="12" fillId="0" borderId="0" xfId="0" applyFont="1" applyBorder="1"/>
    <xf numFmtId="44" fontId="12" fillId="0" borderId="0" xfId="1" applyFont="1" applyBorder="1"/>
    <xf numFmtId="44" fontId="30" fillId="0" borderId="0" xfId="1" applyFont="1" applyFill="1" applyBorder="1"/>
    <xf numFmtId="164" fontId="30" fillId="0" borderId="0" xfId="0" applyNumberFormat="1" applyFont="1" applyFill="1" applyBorder="1"/>
    <xf numFmtId="0" fontId="6" fillId="0" borderId="40" xfId="0" applyFont="1" applyFill="1" applyBorder="1"/>
    <xf numFmtId="44" fontId="30" fillId="0" borderId="40" xfId="1" applyFont="1" applyBorder="1"/>
    <xf numFmtId="164" fontId="30" fillId="0" borderId="40" xfId="0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" fontId="6" fillId="0" borderId="0" xfId="0" applyNumberFormat="1" applyFont="1" applyFill="1" applyBorder="1"/>
    <xf numFmtId="16" fontId="6" fillId="0" borderId="0" xfId="1" applyNumberFormat="1" applyFont="1" applyFill="1" applyBorder="1" applyAlignment="1">
      <alignment horizontal="left"/>
    </xf>
    <xf numFmtId="44" fontId="6" fillId="12" borderId="0" xfId="1" applyFont="1" applyFill="1"/>
    <xf numFmtId="164" fontId="6" fillId="16" borderId="33" xfId="1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12" fillId="0" borderId="0" xfId="0" applyNumberFormat="1" applyFont="1"/>
    <xf numFmtId="44" fontId="6" fillId="0" borderId="42" xfId="1" applyFont="1" applyFill="1" applyBorder="1"/>
    <xf numFmtId="44" fontId="6" fillId="0" borderId="0" xfId="1" applyFont="1" applyBorder="1" applyAlignment="1"/>
    <xf numFmtId="0" fontId="11" fillId="0" borderId="0" xfId="0" applyFont="1" applyFill="1" applyBorder="1"/>
    <xf numFmtId="44" fontId="4" fillId="0" borderId="8" xfId="1" applyFont="1" applyBorder="1"/>
    <xf numFmtId="44" fontId="4" fillId="0" borderId="23" xfId="1" applyFont="1" applyBorder="1"/>
    <xf numFmtId="44" fontId="21" fillId="0" borderId="8" xfId="1" applyFont="1" applyBorder="1" applyAlignment="1"/>
    <xf numFmtId="44" fontId="6" fillId="0" borderId="0" xfId="1" applyFont="1" applyFill="1" applyBorder="1" applyAlignment="1"/>
    <xf numFmtId="16" fontId="6" fillId="0" borderId="9" xfId="0" applyNumberFormat="1" applyFont="1" applyFill="1" applyBorder="1"/>
    <xf numFmtId="164" fontId="6" fillId="17" borderId="29" xfId="0" applyNumberFormat="1" applyFont="1" applyFill="1" applyBorder="1" applyAlignment="1">
      <alignment horizontal="center"/>
    </xf>
    <xf numFmtId="0" fontId="11" fillId="17" borderId="29" xfId="0" applyFont="1" applyFill="1" applyBorder="1" applyAlignment="1">
      <alignment horizontal="center"/>
    </xf>
    <xf numFmtId="0" fontId="14" fillId="17" borderId="29" xfId="0" applyFont="1" applyFill="1" applyBorder="1" applyAlignment="1">
      <alignment horizontal="left" vertical="center" wrapText="1"/>
    </xf>
    <xf numFmtId="44" fontId="6" fillId="9" borderId="32" xfId="1" applyFont="1" applyFill="1" applyBorder="1" applyAlignment="1">
      <alignment horizontal="center"/>
    </xf>
    <xf numFmtId="44" fontId="6" fillId="0" borderId="43" xfId="1" applyFont="1" applyBorder="1" applyAlignment="1"/>
    <xf numFmtId="44" fontId="6" fillId="0" borderId="44" xfId="1" applyFont="1" applyBorder="1" applyAlignment="1"/>
    <xf numFmtId="165" fontId="6" fillId="6" borderId="8" xfId="0" applyNumberFormat="1" applyFont="1" applyFill="1" applyBorder="1"/>
    <xf numFmtId="164" fontId="6" fillId="6" borderId="33" xfId="1" applyNumberFormat="1" applyFont="1" applyFill="1" applyBorder="1" applyAlignment="1">
      <alignment horizontal="center"/>
    </xf>
    <xf numFmtId="44" fontId="31" fillId="12" borderId="29" xfId="1" applyFont="1" applyFill="1" applyBorder="1"/>
    <xf numFmtId="164" fontId="31" fillId="12" borderId="29" xfId="0" applyNumberFormat="1" applyFont="1" applyFill="1" applyBorder="1"/>
    <xf numFmtId="44" fontId="31" fillId="12" borderId="31" xfId="1" applyFont="1" applyFill="1" applyBorder="1"/>
    <xf numFmtId="164" fontId="31" fillId="12" borderId="31" xfId="0" applyNumberFormat="1" applyFont="1" applyFill="1" applyBorder="1"/>
    <xf numFmtId="44" fontId="30" fillId="12" borderId="29" xfId="1" applyFont="1" applyFill="1" applyBorder="1"/>
    <xf numFmtId="164" fontId="30" fillId="12" borderId="29" xfId="0" applyNumberFormat="1" applyFont="1" applyFill="1" applyBorder="1"/>
    <xf numFmtId="44" fontId="31" fillId="0" borderId="29" xfId="1" applyFont="1" applyFill="1" applyBorder="1"/>
    <xf numFmtId="44" fontId="3" fillId="3" borderId="29" xfId="1" applyFont="1" applyFill="1" applyBorder="1"/>
    <xf numFmtId="16" fontId="12" fillId="0" borderId="29" xfId="1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4" fontId="31" fillId="0" borderId="29" xfId="0" applyNumberFormat="1" applyFont="1" applyFill="1" applyBorder="1"/>
    <xf numFmtId="44" fontId="31" fillId="0" borderId="31" xfId="1" applyFont="1" applyFill="1" applyBorder="1"/>
    <xf numFmtId="164" fontId="31" fillId="0" borderId="31" xfId="0" applyNumberFormat="1" applyFont="1" applyFill="1" applyBorder="1"/>
    <xf numFmtId="44" fontId="12" fillId="0" borderId="29" xfId="1" applyFont="1" applyFill="1" applyBorder="1"/>
    <xf numFmtId="0" fontId="16" fillId="0" borderId="9" xfId="0" applyFont="1" applyFill="1" applyBorder="1"/>
    <xf numFmtId="44" fontId="0" fillId="0" borderId="0" xfId="1" applyFont="1"/>
    <xf numFmtId="44" fontId="0" fillId="0" borderId="0" xfId="1" applyFont="1" applyFill="1"/>
    <xf numFmtId="16" fontId="12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44" fontId="0" fillId="4" borderId="0" xfId="1" applyFont="1" applyFill="1"/>
    <xf numFmtId="44" fontId="6" fillId="3" borderId="0" xfId="1" applyFont="1" applyFill="1"/>
    <xf numFmtId="165" fontId="29" fillId="0" borderId="29" xfId="0" applyNumberFormat="1" applyFont="1" applyFill="1" applyBorder="1"/>
    <xf numFmtId="44" fontId="4" fillId="0" borderId="29" xfId="1" applyFont="1" applyFill="1" applyBorder="1"/>
    <xf numFmtId="164" fontId="6" fillId="0" borderId="29" xfId="0" applyNumberFormat="1" applyFont="1" applyFill="1" applyBorder="1"/>
    <xf numFmtId="164" fontId="0" fillId="0" borderId="29" xfId="0" applyNumberFormat="1" applyFill="1" applyBorder="1" applyAlignment="1">
      <alignment horizontal="center"/>
    </xf>
    <xf numFmtId="164" fontId="6" fillId="12" borderId="33" xfId="1" applyNumberFormat="1" applyFont="1" applyFill="1" applyBorder="1" applyAlignment="1">
      <alignment horizontal="center"/>
    </xf>
    <xf numFmtId="44" fontId="12" fillId="0" borderId="29" xfId="0" applyNumberFormat="1" applyFont="1" applyBorder="1"/>
    <xf numFmtId="44" fontId="22" fillId="0" borderId="2" xfId="1" applyFont="1" applyBorder="1" applyAlignment="1">
      <alignment horizontal="center"/>
    </xf>
    <xf numFmtId="44" fontId="22" fillId="0" borderId="24" xfId="1" applyFont="1" applyBorder="1" applyAlignment="1">
      <alignment horizontal="center"/>
    </xf>
    <xf numFmtId="0" fontId="16" fillId="0" borderId="0" xfId="0" applyFont="1" applyAlignment="1">
      <alignment horizontal="center"/>
    </xf>
    <xf numFmtId="44" fontId="22" fillId="2" borderId="2" xfId="1" applyFont="1" applyFill="1" applyBorder="1" applyAlignment="1">
      <alignment horizontal="center"/>
    </xf>
    <xf numFmtId="44" fontId="22" fillId="2" borderId="3" xfId="1" applyFont="1" applyFill="1" applyBorder="1" applyAlignment="1">
      <alignment horizontal="center"/>
    </xf>
    <xf numFmtId="165" fontId="22" fillId="2" borderId="3" xfId="1" applyNumberFormat="1" applyFont="1" applyFill="1" applyBorder="1" applyAlignment="1">
      <alignment horizontal="center"/>
    </xf>
    <xf numFmtId="44" fontId="22" fillId="2" borderId="24" xfId="1" applyFont="1" applyFill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12" fillId="12" borderId="49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165" fontId="33" fillId="0" borderId="36" xfId="0" applyNumberFormat="1" applyFont="1" applyBorder="1" applyAlignment="1">
      <alignment horizontal="center"/>
    </xf>
    <xf numFmtId="165" fontId="33" fillId="0" borderId="37" xfId="0" applyNumberFormat="1" applyFont="1" applyBorder="1" applyAlignment="1">
      <alignment horizontal="center"/>
    </xf>
    <xf numFmtId="165" fontId="33" fillId="0" borderId="23" xfId="0" applyNumberFormat="1" applyFont="1" applyBorder="1" applyAlignment="1">
      <alignment horizontal="center"/>
    </xf>
    <xf numFmtId="165" fontId="33" fillId="0" borderId="1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20" fillId="0" borderId="32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32" fillId="0" borderId="0" xfId="0" applyFont="1" applyFill="1" applyAlignment="1"/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44" fontId="6" fillId="0" borderId="13" xfId="1" applyFont="1" applyBorder="1" applyAlignment="1">
      <alignment horizontal="center"/>
    </xf>
    <xf numFmtId="44" fontId="6" fillId="0" borderId="14" xfId="1" applyFont="1" applyBorder="1" applyAlignment="1">
      <alignment horizontal="center"/>
    </xf>
    <xf numFmtId="166" fontId="20" fillId="0" borderId="39" xfId="0" applyNumberFormat="1" applyFont="1" applyBorder="1" applyAlignment="1">
      <alignment horizontal="center"/>
    </xf>
    <xf numFmtId="166" fontId="20" fillId="0" borderId="8" xfId="0" applyNumberFormat="1" applyFont="1" applyBorder="1" applyAlignment="1">
      <alignment horizontal="center"/>
    </xf>
    <xf numFmtId="0" fontId="17" fillId="6" borderId="9" xfId="0" applyFont="1" applyFill="1" applyBorder="1" applyAlignment="1">
      <alignment horizontal="center" wrapText="1"/>
    </xf>
    <xf numFmtId="0" fontId="14" fillId="16" borderId="0" xfId="0" applyFont="1" applyFill="1" applyAlignment="1">
      <alignment horizontal="center"/>
    </xf>
    <xf numFmtId="0" fontId="17" fillId="0" borderId="9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13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2.5703125" style="3" bestFit="1" customWidth="1"/>
  </cols>
  <sheetData>
    <row r="1" spans="1:19" ht="23.25" x14ac:dyDescent="0.35">
      <c r="C1" s="360" t="s">
        <v>30</v>
      </c>
      <c r="D1" s="360"/>
      <c r="E1" s="360"/>
      <c r="F1" s="360"/>
      <c r="G1" s="360"/>
      <c r="H1" s="360"/>
      <c r="I1" s="360"/>
      <c r="J1" s="360"/>
      <c r="K1" s="360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361" t="s">
        <v>3</v>
      </c>
      <c r="F4" s="362"/>
      <c r="I4" s="363" t="s">
        <v>4</v>
      </c>
      <c r="J4" s="364"/>
      <c r="K4" s="364"/>
      <c r="L4" s="364"/>
      <c r="M4" s="13" t="s">
        <v>5</v>
      </c>
    </row>
    <row r="5" spans="1:19" ht="15.75" thickTop="1" x14ac:dyDescent="0.25">
      <c r="A5" s="14"/>
      <c r="B5" s="15">
        <v>42370</v>
      </c>
      <c r="C5" s="169">
        <v>0</v>
      </c>
      <c r="D5" s="170"/>
      <c r="E5" s="171">
        <v>42370</v>
      </c>
      <c r="F5" s="172">
        <v>0</v>
      </c>
      <c r="G5" s="173"/>
      <c r="H5" s="174">
        <v>42370</v>
      </c>
      <c r="I5" s="175">
        <v>0</v>
      </c>
      <c r="J5" s="176"/>
      <c r="K5" s="177"/>
      <c r="L5" s="178"/>
      <c r="M5" s="179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11837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210">
        <v>10150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 t="s">
        <v>118</v>
      </c>
      <c r="L13" s="19">
        <v>10884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208">
        <v>900</v>
      </c>
      <c r="O15" s="20" t="s">
        <v>174</v>
      </c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9">
        <v>46587.38</v>
      </c>
      <c r="G16" s="20"/>
      <c r="H16" s="24">
        <v>42381</v>
      </c>
      <c r="I16" s="25">
        <v>0</v>
      </c>
      <c r="J16" s="35"/>
      <c r="K16" s="41" t="s">
        <v>81</v>
      </c>
      <c r="L16" s="42">
        <v>517.78</v>
      </c>
      <c r="M16" s="33">
        <v>43287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493</v>
      </c>
      <c r="D17" s="17" t="s">
        <v>115</v>
      </c>
      <c r="E17" s="18">
        <v>42382</v>
      </c>
      <c r="F17" s="19">
        <v>32415.18</v>
      </c>
      <c r="G17" s="20"/>
      <c r="H17" s="24">
        <v>42382</v>
      </c>
      <c r="I17" s="25">
        <v>56</v>
      </c>
      <c r="J17" s="35"/>
      <c r="K17" s="180">
        <v>42378</v>
      </c>
      <c r="L17" s="19">
        <v>0</v>
      </c>
      <c r="M17" s="230">
        <v>31867</v>
      </c>
      <c r="N17" s="208" t="s">
        <v>176</v>
      </c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800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>
        <v>42381</v>
      </c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 t="s">
        <v>175</v>
      </c>
      <c r="L25" s="42">
        <v>2500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 t="s">
        <v>177</v>
      </c>
      <c r="L26" s="42">
        <v>2500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>
        <v>596</v>
      </c>
      <c r="D27" s="17" t="s">
        <v>77</v>
      </c>
      <c r="E27" s="18">
        <v>42392</v>
      </c>
      <c r="F27" s="19">
        <v>73309.91</v>
      </c>
      <c r="G27" s="20"/>
      <c r="H27" s="24">
        <v>42392</v>
      </c>
      <c r="I27" s="45">
        <v>320</v>
      </c>
      <c r="J27" s="26"/>
      <c r="K27" s="53"/>
      <c r="L27" s="42">
        <v>0</v>
      </c>
      <c r="M27" s="29">
        <v>72194</v>
      </c>
      <c r="N27" s="21"/>
      <c r="O27" s="20"/>
      <c r="P27" s="20"/>
      <c r="Q27" s="20"/>
    </row>
    <row r="28" spans="1:18" x14ac:dyDescent="0.25">
      <c r="A28" s="14"/>
      <c r="B28" s="15">
        <v>42393</v>
      </c>
      <c r="C28" s="16">
        <v>120</v>
      </c>
      <c r="D28" s="17" t="s">
        <v>83</v>
      </c>
      <c r="E28" s="18">
        <v>42393</v>
      </c>
      <c r="F28" s="19">
        <v>53874.71</v>
      </c>
      <c r="G28" s="20"/>
      <c r="H28" s="24">
        <v>42393</v>
      </c>
      <c r="I28" s="45">
        <v>50</v>
      </c>
      <c r="J28" s="26"/>
      <c r="K28" s="54"/>
      <c r="L28" s="42">
        <v>0</v>
      </c>
      <c r="M28" s="29">
        <v>43854.71</v>
      </c>
      <c r="N28" s="208">
        <v>2505</v>
      </c>
      <c r="O28" s="20" t="s">
        <v>179</v>
      </c>
      <c r="P28" s="20"/>
      <c r="Q28" s="20"/>
    </row>
    <row r="29" spans="1:18" x14ac:dyDescent="0.25">
      <c r="A29" s="14"/>
      <c r="B29" s="15">
        <v>42394</v>
      </c>
      <c r="C29" s="16">
        <v>486</v>
      </c>
      <c r="D29" s="17" t="s">
        <v>115</v>
      </c>
      <c r="E29" s="18">
        <v>42394</v>
      </c>
      <c r="F29" s="19">
        <v>49869.66</v>
      </c>
      <c r="G29" s="20"/>
      <c r="H29" s="24">
        <v>42394</v>
      </c>
      <c r="I29" s="45">
        <v>0</v>
      </c>
      <c r="J29" s="26"/>
      <c r="K29" s="55"/>
      <c r="L29" s="56">
        <v>0</v>
      </c>
      <c r="M29" s="29">
        <f>20000+19000+10384</f>
        <v>49384</v>
      </c>
      <c r="N29" s="208">
        <v>20005</v>
      </c>
      <c r="O29" s="20"/>
      <c r="P29" s="20"/>
      <c r="Q29" s="20"/>
    </row>
    <row r="30" spans="1:18" ht="15.75" thickBot="1" x14ac:dyDescent="0.3">
      <c r="A30" s="14"/>
      <c r="B30" s="15">
        <v>42395</v>
      </c>
      <c r="C30" s="16">
        <v>0</v>
      </c>
      <c r="D30" s="17"/>
      <c r="E30" s="18">
        <v>42395</v>
      </c>
      <c r="F30" s="19">
        <v>39632.53</v>
      </c>
      <c r="G30" s="20"/>
      <c r="H30" s="24">
        <v>42395</v>
      </c>
      <c r="I30" s="45">
        <v>0</v>
      </c>
      <c r="J30" s="52"/>
      <c r="K30" s="54"/>
      <c r="L30" s="56">
        <v>0</v>
      </c>
      <c r="M30" s="29">
        <v>39632.5</v>
      </c>
      <c r="N30" s="30"/>
      <c r="O30" s="20"/>
      <c r="P30" s="20"/>
      <c r="Q30" s="20"/>
    </row>
    <row r="31" spans="1:18" x14ac:dyDescent="0.25">
      <c r="A31" s="14"/>
      <c r="B31" s="15">
        <v>42396</v>
      </c>
      <c r="C31" s="16">
        <v>0</v>
      </c>
      <c r="D31" s="17"/>
      <c r="E31" s="18">
        <v>42396</v>
      </c>
      <c r="F31" s="19">
        <v>41649.589999999997</v>
      </c>
      <c r="G31" s="20"/>
      <c r="H31" s="24">
        <v>42396</v>
      </c>
      <c r="I31" s="45">
        <v>504.68</v>
      </c>
      <c r="J31" s="35"/>
      <c r="K31" s="245" t="s">
        <v>136</v>
      </c>
      <c r="L31" s="246">
        <v>1500</v>
      </c>
      <c r="M31" s="29">
        <v>29308</v>
      </c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>
        <v>493</v>
      </c>
      <c r="D32" s="17" t="s">
        <v>115</v>
      </c>
      <c r="E32" s="18">
        <v>42397</v>
      </c>
      <c r="F32" s="19">
        <v>44022.59</v>
      </c>
      <c r="G32" s="20"/>
      <c r="H32" s="24">
        <v>42397</v>
      </c>
      <c r="I32" s="45">
        <v>24</v>
      </c>
      <c r="J32" s="26"/>
      <c r="K32" s="247" t="s">
        <v>178</v>
      </c>
      <c r="L32" s="248"/>
      <c r="M32" s="29">
        <v>43510</v>
      </c>
      <c r="N32" s="30"/>
      <c r="O32" s="20"/>
      <c r="P32" s="20"/>
      <c r="Q32" s="20"/>
    </row>
    <row r="33" spans="1:17" ht="15" customHeight="1" x14ac:dyDescent="0.25">
      <c r="A33" s="14"/>
      <c r="B33" s="15">
        <v>42398</v>
      </c>
      <c r="C33" s="16">
        <v>0</v>
      </c>
      <c r="D33" s="34"/>
      <c r="E33" s="18">
        <v>42398</v>
      </c>
      <c r="F33" s="19">
        <v>80245.55</v>
      </c>
      <c r="G33" s="20"/>
      <c r="H33" s="24">
        <v>42398</v>
      </c>
      <c r="I33" s="45">
        <v>0</v>
      </c>
      <c r="J33" s="26"/>
      <c r="K33" s="58"/>
      <c r="L33" s="193">
        <v>0</v>
      </c>
      <c r="M33" s="29">
        <v>80245.5</v>
      </c>
      <c r="N33" s="21"/>
      <c r="O33" s="20"/>
      <c r="P33" s="20"/>
      <c r="Q33" s="20"/>
    </row>
    <row r="34" spans="1:17" ht="15.75" customHeight="1" thickBot="1" x14ac:dyDescent="0.3">
      <c r="A34" s="14"/>
      <c r="B34" s="15">
        <v>42399</v>
      </c>
      <c r="C34" s="16">
        <v>596</v>
      </c>
      <c r="D34" s="17" t="s">
        <v>117</v>
      </c>
      <c r="E34" s="18">
        <v>42399</v>
      </c>
      <c r="F34" s="19">
        <v>92428.06</v>
      </c>
      <c r="G34" s="20"/>
      <c r="H34" s="24">
        <v>42399</v>
      </c>
      <c r="I34" s="45">
        <v>362</v>
      </c>
      <c r="J34" s="26"/>
      <c r="K34" s="59"/>
      <c r="L34" s="194"/>
      <c r="M34" s="29">
        <v>91470</v>
      </c>
      <c r="N34" s="21"/>
      <c r="O34" s="20"/>
    </row>
    <row r="35" spans="1:17" ht="15.75" thickBot="1" x14ac:dyDescent="0.3">
      <c r="A35" s="14"/>
      <c r="B35" s="15">
        <v>42400</v>
      </c>
      <c r="C35" s="16">
        <v>0</v>
      </c>
      <c r="D35" s="34"/>
      <c r="E35" s="18">
        <v>42400</v>
      </c>
      <c r="F35" s="19">
        <v>66423.37</v>
      </c>
      <c r="G35" s="20"/>
      <c r="H35" s="24">
        <v>42400</v>
      </c>
      <c r="I35" s="45">
        <v>20</v>
      </c>
      <c r="J35" s="26"/>
      <c r="K35" s="60"/>
      <c r="L35" s="61">
        <v>0</v>
      </c>
      <c r="M35" s="29">
        <v>59619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1761982.1099999999</v>
      </c>
    </row>
    <row r="38" spans="1:17" x14ac:dyDescent="0.25">
      <c r="B38" s="82" t="s">
        <v>16</v>
      </c>
      <c r="C38" s="83">
        <f>SUM(C5:C37)</f>
        <v>10840.5</v>
      </c>
      <c r="E38" s="84" t="s">
        <v>16</v>
      </c>
      <c r="F38" s="85">
        <f>SUM(F5:F37)</f>
        <v>1766115.83</v>
      </c>
      <c r="H38" s="5" t="s">
        <v>16</v>
      </c>
      <c r="I38" s="86">
        <f>SUM(I5:I37)</f>
        <v>5928.1</v>
      </c>
      <c r="J38" s="86"/>
      <c r="K38" s="87" t="s">
        <v>16</v>
      </c>
      <c r="L38" s="88">
        <f>SUM(L5:L37)</f>
        <v>110138.78</v>
      </c>
    </row>
    <row r="40" spans="1:17" ht="15.75" x14ac:dyDescent="0.25">
      <c r="A40" s="89"/>
      <c r="B40" s="90"/>
      <c r="C40" s="26"/>
      <c r="D40" s="91"/>
      <c r="E40" s="92"/>
      <c r="F40" s="67"/>
      <c r="H40" s="356" t="s">
        <v>17</v>
      </c>
      <c r="I40" s="357"/>
      <c r="J40" s="93"/>
      <c r="K40" s="358">
        <f>I38+L38</f>
        <v>116066.88</v>
      </c>
      <c r="L40" s="359"/>
    </row>
    <row r="41" spans="1:17" ht="15.75" x14ac:dyDescent="0.25">
      <c r="B41" s="94"/>
      <c r="C41" s="67"/>
      <c r="D41" s="343" t="s">
        <v>18</v>
      </c>
      <c r="E41" s="343"/>
      <c r="F41" s="95">
        <f>F38-K40</f>
        <v>1650048.9500000002</v>
      </c>
      <c r="I41" s="96"/>
      <c r="J41" s="96"/>
    </row>
    <row r="42" spans="1:17" ht="15.75" x14ac:dyDescent="0.25">
      <c r="B42" s="1" t="s">
        <v>119</v>
      </c>
      <c r="D42" s="344" t="s">
        <v>19</v>
      </c>
      <c r="E42" s="344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-1612419.94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37629.010000000242</v>
      </c>
      <c r="I44" s="345" t="s">
        <v>22</v>
      </c>
      <c r="J44" s="346"/>
      <c r="K44" s="349">
        <f>F48+L46</f>
        <v>267583.73000000021</v>
      </c>
      <c r="L44" s="350"/>
    </row>
    <row r="45" spans="1:17" ht="15.75" thickBot="1" x14ac:dyDescent="0.3">
      <c r="D45" s="100" t="s">
        <v>23</v>
      </c>
      <c r="E45" s="89" t="s">
        <v>24</v>
      </c>
      <c r="F45" s="86">
        <v>59443.47</v>
      </c>
      <c r="I45" s="347"/>
      <c r="J45" s="348"/>
      <c r="K45" s="351"/>
      <c r="L45" s="352"/>
    </row>
    <row r="46" spans="1:17" ht="17.25" thickTop="1" thickBot="1" x14ac:dyDescent="0.3">
      <c r="C46" s="85"/>
      <c r="D46" s="353" t="s">
        <v>25</v>
      </c>
      <c r="E46" s="353"/>
      <c r="F46" s="101">
        <v>170511.25</v>
      </c>
      <c r="I46" s="354"/>
      <c r="J46" s="354"/>
      <c r="K46" s="355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336">
        <v>-48130.1</v>
      </c>
      <c r="L47" s="337"/>
    </row>
    <row r="48" spans="1:17" ht="17.25" thickTop="1" thickBot="1" x14ac:dyDescent="0.3">
      <c r="E48" s="106" t="s">
        <v>27</v>
      </c>
      <c r="F48" s="107">
        <f>F44+F45+F46</f>
        <v>267583.73000000021</v>
      </c>
    </row>
    <row r="49" spans="2:14" ht="19.5" thickBot="1" x14ac:dyDescent="0.35">
      <c r="B49"/>
      <c r="C49"/>
      <c r="D49" s="338"/>
      <c r="E49" s="338"/>
      <c r="F49" s="67"/>
      <c r="I49" s="339" t="s">
        <v>28</v>
      </c>
      <c r="J49" s="340"/>
      <c r="K49" s="341">
        <f>K44+K47</f>
        <v>219453.63000000021</v>
      </c>
      <c r="L49" s="342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63"/>
  <sheetViews>
    <sheetView topLeftCell="A19" workbookViewId="0">
      <selection activeCell="E28" sqref="E2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7109375" bestFit="1" customWidth="1"/>
    <col min="11" max="11" width="12.5703125" bestFit="1" customWidth="1"/>
    <col min="12" max="12" width="10" bestFit="1" customWidth="1"/>
    <col min="13" max="13" width="19.140625" customWidth="1"/>
    <col min="14" max="14" width="10.28515625" customWidth="1"/>
    <col min="16" max="16" width="20.140625" bestFit="1" customWidth="1"/>
    <col min="17" max="17" width="12.140625" bestFit="1" customWidth="1"/>
  </cols>
  <sheetData>
    <row r="1" spans="1:17" ht="19.5" thickBot="1" x14ac:dyDescent="0.35">
      <c r="B1" s="109" t="s">
        <v>297</v>
      </c>
      <c r="C1" s="110"/>
      <c r="D1" s="111"/>
      <c r="M1" s="146" t="s">
        <v>46</v>
      </c>
      <c r="N1" s="147"/>
      <c r="O1" s="148"/>
      <c r="P1" s="231">
        <v>42503</v>
      </c>
      <c r="Q1" s="150"/>
    </row>
    <row r="2" spans="1:17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</row>
    <row r="3" spans="1:17" ht="15.75" x14ac:dyDescent="0.25">
      <c r="A3" s="115">
        <v>42492</v>
      </c>
      <c r="B3" s="123" t="s">
        <v>298</v>
      </c>
      <c r="C3" s="21">
        <v>117524.55</v>
      </c>
      <c r="D3" s="117">
        <v>42503</v>
      </c>
      <c r="E3" s="21">
        <v>117524.55</v>
      </c>
      <c r="F3" s="118">
        <f t="shared" ref="F3:F37" si="0"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</row>
    <row r="4" spans="1:17" ht="15.75" x14ac:dyDescent="0.25">
      <c r="A4" s="119">
        <v>42493</v>
      </c>
      <c r="B4" s="123" t="s">
        <v>320</v>
      </c>
      <c r="C4" s="26">
        <v>10252.06</v>
      </c>
      <c r="D4" s="117">
        <v>42503</v>
      </c>
      <c r="E4" s="21">
        <v>10252.06</v>
      </c>
      <c r="F4" s="122">
        <f t="shared" si="0"/>
        <v>0</v>
      </c>
      <c r="K4" s="3">
        <f>18000+6000</f>
        <v>24000</v>
      </c>
      <c r="L4" s="123" t="s">
        <v>277</v>
      </c>
      <c r="M4" s="21">
        <v>24001.95</v>
      </c>
      <c r="N4" s="156" t="s">
        <v>51</v>
      </c>
      <c r="O4" s="157" t="s">
        <v>52</v>
      </c>
      <c r="P4" s="158">
        <v>35368</v>
      </c>
      <c r="Q4" s="159">
        <v>42487</v>
      </c>
    </row>
    <row r="5" spans="1:17" ht="15.75" x14ac:dyDescent="0.25">
      <c r="A5" s="124">
        <v>42494</v>
      </c>
      <c r="B5" s="123" t="s">
        <v>321</v>
      </c>
      <c r="C5" s="26">
        <v>38699.86</v>
      </c>
      <c r="D5" s="117">
        <v>42503</v>
      </c>
      <c r="E5" s="21">
        <v>38699.86</v>
      </c>
      <c r="F5" s="122">
        <f t="shared" si="0"/>
        <v>0</v>
      </c>
      <c r="K5" s="3">
        <f>2623+34500+66500+13999.84</f>
        <v>117622.84</v>
      </c>
      <c r="L5" s="123" t="s">
        <v>290</v>
      </c>
      <c r="M5" s="285">
        <v>117622.84</v>
      </c>
      <c r="N5" s="160"/>
      <c r="O5" s="157" t="s">
        <v>52</v>
      </c>
      <c r="P5" s="158">
        <v>7763</v>
      </c>
      <c r="Q5" s="159">
        <v>42481</v>
      </c>
    </row>
    <row r="6" spans="1:17" ht="15.75" x14ac:dyDescent="0.25">
      <c r="A6" s="119">
        <v>42495</v>
      </c>
      <c r="B6" s="123" t="s">
        <v>299</v>
      </c>
      <c r="C6" s="21">
        <v>117255.53</v>
      </c>
      <c r="D6" s="258" t="s">
        <v>343</v>
      </c>
      <c r="E6" s="21">
        <f>42255.53+75000</f>
        <v>117255.53</v>
      </c>
      <c r="F6" s="122">
        <f t="shared" si="0"/>
        <v>0</v>
      </c>
      <c r="K6" s="3">
        <v>1680</v>
      </c>
      <c r="L6" s="123" t="s">
        <v>291</v>
      </c>
      <c r="M6" s="285">
        <v>1680</v>
      </c>
      <c r="N6" s="160"/>
      <c r="O6" s="157" t="s">
        <v>52</v>
      </c>
      <c r="P6" s="158">
        <v>34500</v>
      </c>
      <c r="Q6" s="159">
        <v>42488</v>
      </c>
    </row>
    <row r="7" spans="1:17" ht="15.75" x14ac:dyDescent="0.25">
      <c r="A7" s="119">
        <v>42496</v>
      </c>
      <c r="B7" s="123" t="s">
        <v>300</v>
      </c>
      <c r="C7" s="21">
        <v>25645.7</v>
      </c>
      <c r="D7" s="117">
        <v>42503</v>
      </c>
      <c r="E7" s="21">
        <v>25645.7</v>
      </c>
      <c r="F7" s="122">
        <f t="shared" si="0"/>
        <v>0</v>
      </c>
      <c r="K7" s="3">
        <f>13064.6+7763</f>
        <v>20827.599999999999</v>
      </c>
      <c r="L7" s="123" t="s">
        <v>292</v>
      </c>
      <c r="M7" s="285">
        <v>20827.599999999999</v>
      </c>
      <c r="N7" s="161"/>
      <c r="O7" s="157" t="s">
        <v>52</v>
      </c>
      <c r="P7" s="158">
        <v>6000</v>
      </c>
      <c r="Q7" s="159">
        <v>42489</v>
      </c>
    </row>
    <row r="8" spans="1:17" ht="15.75" x14ac:dyDescent="0.25">
      <c r="A8" s="119">
        <v>42497</v>
      </c>
      <c r="B8" s="123" t="s">
        <v>301</v>
      </c>
      <c r="C8" s="21">
        <v>70642.02</v>
      </c>
      <c r="D8" s="117">
        <v>42508</v>
      </c>
      <c r="E8" s="26">
        <v>70642.02</v>
      </c>
      <c r="F8" s="122">
        <f t="shared" si="0"/>
        <v>0</v>
      </c>
      <c r="K8" s="3">
        <f>10382.5+30389.75+32617.5</f>
        <v>73389.75</v>
      </c>
      <c r="L8" s="123" t="s">
        <v>293</v>
      </c>
      <c r="M8" s="21">
        <v>73389.75</v>
      </c>
      <c r="N8" s="160"/>
      <c r="O8" s="157">
        <v>3261926</v>
      </c>
      <c r="P8" s="162">
        <v>66500</v>
      </c>
      <c r="Q8" s="163">
        <v>42489</v>
      </c>
    </row>
    <row r="9" spans="1:17" ht="15.75" x14ac:dyDescent="0.25">
      <c r="A9" s="119">
        <v>42499</v>
      </c>
      <c r="B9" s="123" t="s">
        <v>302</v>
      </c>
      <c r="C9" s="21">
        <v>54440.85</v>
      </c>
      <c r="D9" s="117">
        <v>42508</v>
      </c>
      <c r="E9" s="26">
        <v>54440.85</v>
      </c>
      <c r="F9" s="122">
        <f t="shared" si="0"/>
        <v>0</v>
      </c>
      <c r="K9" s="3">
        <v>23067.119999999999</v>
      </c>
      <c r="L9" s="123" t="s">
        <v>294</v>
      </c>
      <c r="M9" s="21">
        <v>23067.119999999999</v>
      </c>
      <c r="N9" s="160"/>
      <c r="O9" s="157" t="s">
        <v>52</v>
      </c>
      <c r="P9" s="162">
        <v>67457</v>
      </c>
      <c r="Q9" s="163">
        <v>42492</v>
      </c>
    </row>
    <row r="10" spans="1:17" ht="15.75" x14ac:dyDescent="0.25">
      <c r="A10" s="119">
        <v>42501</v>
      </c>
      <c r="B10" s="123" t="s">
        <v>303</v>
      </c>
      <c r="C10" s="26">
        <v>96761.5</v>
      </c>
      <c r="D10" s="117" t="s">
        <v>363</v>
      </c>
      <c r="E10" s="26">
        <f>46342+50419.5</f>
        <v>96761.5</v>
      </c>
      <c r="F10" s="122">
        <f t="shared" si="0"/>
        <v>0</v>
      </c>
      <c r="K10" s="3">
        <f>4000+38792.7+40000+13000</f>
        <v>95792.7</v>
      </c>
      <c r="L10" s="123" t="s">
        <v>295</v>
      </c>
      <c r="M10" s="21">
        <v>95792.7</v>
      </c>
      <c r="N10" s="160"/>
      <c r="O10" s="157" t="s">
        <v>52</v>
      </c>
      <c r="P10" s="162">
        <v>6023.5</v>
      </c>
      <c r="Q10" s="163">
        <v>42485</v>
      </c>
    </row>
    <row r="11" spans="1:17" ht="15.75" x14ac:dyDescent="0.25">
      <c r="A11" s="119">
        <v>42502</v>
      </c>
      <c r="B11" s="125" t="s">
        <v>332</v>
      </c>
      <c r="C11" s="26">
        <v>11221.8</v>
      </c>
      <c r="D11" s="117">
        <v>42508</v>
      </c>
      <c r="E11" s="26">
        <v>11221.8</v>
      </c>
      <c r="F11" s="127">
        <f t="shared" si="0"/>
        <v>0</v>
      </c>
      <c r="K11" s="3">
        <f>2648.8+11937.9+96000+6937.85</f>
        <v>117524.55</v>
      </c>
      <c r="L11" s="123" t="s">
        <v>298</v>
      </c>
      <c r="M11" s="21">
        <v>117524.55</v>
      </c>
      <c r="N11" s="160"/>
      <c r="O11" s="157" t="s">
        <v>52</v>
      </c>
      <c r="P11" s="162">
        <v>4359</v>
      </c>
      <c r="Q11" s="163">
        <v>42488</v>
      </c>
    </row>
    <row r="12" spans="1:17" ht="15.75" x14ac:dyDescent="0.25">
      <c r="A12" s="119">
        <v>42505</v>
      </c>
      <c r="B12" s="125" t="s">
        <v>333</v>
      </c>
      <c r="C12" s="26">
        <v>127316.2</v>
      </c>
      <c r="D12" s="117">
        <v>42518</v>
      </c>
      <c r="E12" s="26">
        <v>127316.2</v>
      </c>
      <c r="F12" s="127">
        <f t="shared" si="0"/>
        <v>0</v>
      </c>
      <c r="K12" s="3">
        <v>10252.06</v>
      </c>
      <c r="L12" s="123" t="s">
        <v>320</v>
      </c>
      <c r="M12" s="26">
        <v>10252.06</v>
      </c>
      <c r="N12" s="160"/>
      <c r="O12" s="157" t="s">
        <v>52</v>
      </c>
      <c r="P12" s="162">
        <v>36617.5</v>
      </c>
      <c r="Q12" s="163">
        <v>42492</v>
      </c>
    </row>
    <row r="13" spans="1:17" ht="15.75" x14ac:dyDescent="0.25">
      <c r="A13" s="119">
        <v>42505</v>
      </c>
      <c r="B13" s="125" t="s">
        <v>334</v>
      </c>
      <c r="C13" s="26">
        <v>1313</v>
      </c>
      <c r="D13" s="117">
        <v>42508</v>
      </c>
      <c r="E13" s="26">
        <v>1313</v>
      </c>
      <c r="F13" s="127">
        <f t="shared" si="0"/>
        <v>0</v>
      </c>
      <c r="K13" s="3">
        <v>38699.86</v>
      </c>
      <c r="L13" s="123" t="s">
        <v>321</v>
      </c>
      <c r="M13" s="26">
        <v>38699.86</v>
      </c>
      <c r="N13" s="160"/>
      <c r="O13" s="157">
        <v>3280918</v>
      </c>
      <c r="P13" s="162">
        <v>38792.5</v>
      </c>
      <c r="Q13" s="163">
        <v>42492</v>
      </c>
    </row>
    <row r="14" spans="1:17" ht="15.75" x14ac:dyDescent="0.25">
      <c r="A14" s="119">
        <v>42503</v>
      </c>
      <c r="B14" s="125" t="s">
        <v>344</v>
      </c>
      <c r="C14" s="26">
        <v>96433.08</v>
      </c>
      <c r="D14" s="117">
        <v>42508</v>
      </c>
      <c r="E14" s="26">
        <v>96433.08</v>
      </c>
      <c r="F14" s="127">
        <f t="shared" si="0"/>
        <v>0</v>
      </c>
      <c r="K14" s="3">
        <f>16000+26255.53</f>
        <v>42255.53</v>
      </c>
      <c r="L14" s="123" t="s">
        <v>299</v>
      </c>
      <c r="M14" s="21">
        <v>42255.53</v>
      </c>
      <c r="N14" s="160" t="s">
        <v>91</v>
      </c>
      <c r="O14" s="157">
        <v>3280919</v>
      </c>
      <c r="P14" s="162">
        <v>40000</v>
      </c>
      <c r="Q14" s="163">
        <v>42493</v>
      </c>
    </row>
    <row r="15" spans="1:17" ht="15.75" x14ac:dyDescent="0.25">
      <c r="A15" s="119">
        <v>42506</v>
      </c>
      <c r="B15" s="125" t="s">
        <v>345</v>
      </c>
      <c r="C15" s="26">
        <v>16386.099999999999</v>
      </c>
      <c r="D15" s="117">
        <v>42518</v>
      </c>
      <c r="E15" s="26">
        <v>16386.099999999999</v>
      </c>
      <c r="F15" s="127">
        <f t="shared" si="0"/>
        <v>0</v>
      </c>
      <c r="K15" s="3">
        <f>9145.7+16500</f>
        <v>25645.7</v>
      </c>
      <c r="L15" s="123" t="s">
        <v>300</v>
      </c>
      <c r="M15" s="21">
        <v>25645.7</v>
      </c>
      <c r="N15" s="232"/>
      <c r="O15" s="233" t="s">
        <v>52</v>
      </c>
      <c r="P15" s="234">
        <v>23252</v>
      </c>
      <c r="Q15" s="235">
        <v>42495</v>
      </c>
    </row>
    <row r="16" spans="1:17" ht="15.75" x14ac:dyDescent="0.25">
      <c r="A16" s="124">
        <v>42509</v>
      </c>
      <c r="B16" s="123" t="s">
        <v>348</v>
      </c>
      <c r="C16" s="21">
        <v>111035.27</v>
      </c>
      <c r="D16" s="117">
        <v>42518</v>
      </c>
      <c r="E16" s="21">
        <v>111035.27</v>
      </c>
      <c r="F16" s="127">
        <f t="shared" si="0"/>
        <v>0</v>
      </c>
      <c r="K16" s="3"/>
      <c r="L16" s="123"/>
      <c r="M16" s="21"/>
      <c r="N16" s="164"/>
      <c r="O16" s="157" t="s">
        <v>52</v>
      </c>
      <c r="P16" s="158">
        <v>96000</v>
      </c>
      <c r="Q16" s="159">
        <v>42497</v>
      </c>
    </row>
    <row r="17" spans="1:17" ht="15.75" x14ac:dyDescent="0.25">
      <c r="A17" s="124">
        <v>42511</v>
      </c>
      <c r="B17" s="123" t="s">
        <v>349</v>
      </c>
      <c r="C17" s="21">
        <v>63305.22</v>
      </c>
      <c r="D17" s="117">
        <v>42529</v>
      </c>
      <c r="E17" s="21">
        <v>63305.22</v>
      </c>
      <c r="F17" s="127">
        <f t="shared" si="0"/>
        <v>0</v>
      </c>
      <c r="K17" s="3"/>
      <c r="L17" s="123"/>
      <c r="M17" s="21"/>
      <c r="N17" s="164"/>
      <c r="O17" s="157" t="s">
        <v>52</v>
      </c>
      <c r="P17" s="158">
        <v>11937.9</v>
      </c>
      <c r="Q17" s="159">
        <v>42495</v>
      </c>
    </row>
    <row r="18" spans="1:17" ht="15.75" x14ac:dyDescent="0.25">
      <c r="A18" s="124">
        <v>42513</v>
      </c>
      <c r="B18" s="123" t="s">
        <v>350</v>
      </c>
      <c r="C18" s="21">
        <v>42778.59</v>
      </c>
      <c r="D18" s="117">
        <v>42529</v>
      </c>
      <c r="E18" s="21">
        <v>42778.59</v>
      </c>
      <c r="F18" s="127">
        <f t="shared" si="0"/>
        <v>0</v>
      </c>
      <c r="G18" s="268">
        <v>42491</v>
      </c>
      <c r="H18" s="20" t="s">
        <v>325</v>
      </c>
      <c r="I18" s="30">
        <v>32</v>
      </c>
      <c r="K18" s="3"/>
      <c r="L18" s="123"/>
      <c r="M18" s="26"/>
      <c r="N18" s="164"/>
      <c r="O18" s="157" t="s">
        <v>52</v>
      </c>
      <c r="P18" s="158">
        <v>2649</v>
      </c>
      <c r="Q18" s="159">
        <v>42492</v>
      </c>
    </row>
    <row r="19" spans="1:17" ht="15.75" x14ac:dyDescent="0.25">
      <c r="A19" s="124">
        <v>42513</v>
      </c>
      <c r="B19" s="123" t="s">
        <v>351</v>
      </c>
      <c r="C19" s="21">
        <v>60736</v>
      </c>
      <c r="D19" s="117">
        <v>42529</v>
      </c>
      <c r="E19" s="21">
        <v>60736</v>
      </c>
      <c r="F19" s="127">
        <f t="shared" si="0"/>
        <v>0</v>
      </c>
      <c r="G19" s="268">
        <v>42493</v>
      </c>
      <c r="H19" s="20" t="s">
        <v>82</v>
      </c>
      <c r="I19" s="30">
        <v>371</v>
      </c>
      <c r="K19" s="3"/>
      <c r="L19" s="123"/>
      <c r="M19" s="21"/>
      <c r="N19" s="164"/>
      <c r="O19" s="157" t="s">
        <v>52</v>
      </c>
      <c r="P19" s="158">
        <v>54784</v>
      </c>
      <c r="Q19" s="159">
        <v>42499</v>
      </c>
    </row>
    <row r="20" spans="1:17" ht="15.75" x14ac:dyDescent="0.25">
      <c r="A20" s="124">
        <v>42514</v>
      </c>
      <c r="B20" s="123" t="s">
        <v>352</v>
      </c>
      <c r="C20" s="21">
        <v>15762</v>
      </c>
      <c r="D20" s="117">
        <v>42529</v>
      </c>
      <c r="E20" s="21">
        <v>15762</v>
      </c>
      <c r="F20" s="127">
        <f t="shared" si="0"/>
        <v>0</v>
      </c>
      <c r="G20" s="268">
        <v>42494</v>
      </c>
      <c r="H20" s="20" t="s">
        <v>83</v>
      </c>
      <c r="I20" s="30">
        <v>980</v>
      </c>
      <c r="K20" s="3"/>
      <c r="L20" s="123"/>
      <c r="M20" s="21"/>
      <c r="N20" s="164"/>
      <c r="O20" s="157" t="s">
        <v>52</v>
      </c>
      <c r="P20" s="158">
        <v>32500</v>
      </c>
      <c r="Q20" s="159">
        <v>42499</v>
      </c>
    </row>
    <row r="21" spans="1:17" ht="15.75" x14ac:dyDescent="0.25">
      <c r="A21" s="124">
        <v>42516</v>
      </c>
      <c r="B21" s="123" t="s">
        <v>353</v>
      </c>
      <c r="C21" s="21">
        <v>44201.06</v>
      </c>
      <c r="D21" s="117">
        <v>42529</v>
      </c>
      <c r="E21" s="21">
        <v>44201.06</v>
      </c>
      <c r="F21" s="127">
        <f t="shared" si="0"/>
        <v>0</v>
      </c>
      <c r="G21" s="268">
        <v>42496</v>
      </c>
      <c r="H21" s="20" t="s">
        <v>82</v>
      </c>
      <c r="I21" s="30">
        <v>553</v>
      </c>
      <c r="K21" s="3"/>
      <c r="L21" s="123"/>
      <c r="M21" s="21"/>
      <c r="N21" s="164"/>
      <c r="O21" s="157">
        <v>3261769</v>
      </c>
      <c r="P21" s="158">
        <v>26255.5</v>
      </c>
      <c r="Q21" s="159">
        <v>42500</v>
      </c>
    </row>
    <row r="22" spans="1:17" ht="15.75" x14ac:dyDescent="0.25">
      <c r="A22" s="124">
        <v>42516</v>
      </c>
      <c r="B22" s="123" t="s">
        <v>364</v>
      </c>
      <c r="C22" s="21">
        <v>32110</v>
      </c>
      <c r="D22" s="117">
        <v>42529</v>
      </c>
      <c r="E22" s="21">
        <v>32110</v>
      </c>
      <c r="F22" s="127">
        <f t="shared" si="0"/>
        <v>0</v>
      </c>
      <c r="G22" s="269">
        <v>42497</v>
      </c>
      <c r="H22" s="20" t="s">
        <v>326</v>
      </c>
      <c r="I22" s="30">
        <v>1392</v>
      </c>
      <c r="K22" s="3"/>
      <c r="L22" s="123"/>
      <c r="M22" s="26"/>
      <c r="N22" s="164"/>
      <c r="O22" s="157">
        <v>3281246</v>
      </c>
      <c r="P22" s="158">
        <v>0.76</v>
      </c>
      <c r="Q22" s="159"/>
    </row>
    <row r="23" spans="1:17" ht="15.75" x14ac:dyDescent="0.25">
      <c r="A23" s="124">
        <v>42516</v>
      </c>
      <c r="B23" s="123" t="s">
        <v>365</v>
      </c>
      <c r="C23" s="21">
        <v>32110</v>
      </c>
      <c r="D23" s="117">
        <v>42529</v>
      </c>
      <c r="E23" s="21">
        <v>32110</v>
      </c>
      <c r="F23" s="127">
        <f t="shared" si="0"/>
        <v>0</v>
      </c>
      <c r="G23" s="268">
        <v>42499</v>
      </c>
      <c r="H23" s="20" t="s">
        <v>82</v>
      </c>
      <c r="I23" s="3">
        <v>414</v>
      </c>
      <c r="K23" s="241">
        <f>SUM(K4:K22)</f>
        <v>590757.71</v>
      </c>
      <c r="L23" s="165"/>
      <c r="M23" s="166"/>
      <c r="N23" s="165"/>
      <c r="O23" s="240" t="s">
        <v>52</v>
      </c>
      <c r="P23" s="215"/>
      <c r="Q23" s="163"/>
    </row>
    <row r="24" spans="1:17" ht="15.75" x14ac:dyDescent="0.25">
      <c r="A24" s="124">
        <v>42517</v>
      </c>
      <c r="B24" s="123" t="s">
        <v>366</v>
      </c>
      <c r="C24" s="21">
        <v>14335.24</v>
      </c>
      <c r="D24" s="117">
        <v>42529</v>
      </c>
      <c r="E24" s="21">
        <v>14335.24</v>
      </c>
      <c r="F24" s="127">
        <f t="shared" si="0"/>
        <v>0</v>
      </c>
      <c r="G24" s="268">
        <v>42500</v>
      </c>
      <c r="H24" s="20" t="s">
        <v>83</v>
      </c>
      <c r="I24" s="30">
        <v>946</v>
      </c>
      <c r="L24" s="196"/>
      <c r="M24" s="26">
        <f>SUM(M4:M23)</f>
        <v>590759.65999999992</v>
      </c>
      <c r="N24" s="43"/>
      <c r="O24" s="219"/>
      <c r="P24" s="220">
        <f>SUM(P4:P23)</f>
        <v>590759.66</v>
      </c>
      <c r="Q24" s="218"/>
    </row>
    <row r="25" spans="1:17" x14ac:dyDescent="0.25">
      <c r="A25" s="124">
        <v>42518</v>
      </c>
      <c r="B25" s="123" t="s">
        <v>367</v>
      </c>
      <c r="C25" s="21">
        <v>75509.759999999995</v>
      </c>
      <c r="D25" s="117">
        <v>42529</v>
      </c>
      <c r="E25" s="21">
        <v>75509.759999999995</v>
      </c>
      <c r="F25" s="127">
        <f t="shared" si="0"/>
        <v>0</v>
      </c>
      <c r="G25" s="268">
        <v>42501</v>
      </c>
      <c r="H25" s="20" t="s">
        <v>385</v>
      </c>
      <c r="I25" s="30">
        <v>960</v>
      </c>
    </row>
    <row r="26" spans="1:17" x14ac:dyDescent="0.25">
      <c r="A26" s="124">
        <v>42520</v>
      </c>
      <c r="B26" s="123" t="s">
        <v>368</v>
      </c>
      <c r="C26" s="21">
        <v>29667</v>
      </c>
      <c r="D26" s="117">
        <v>42529</v>
      </c>
      <c r="E26" s="21">
        <v>29667</v>
      </c>
      <c r="F26" s="127">
        <f t="shared" si="0"/>
        <v>0</v>
      </c>
      <c r="G26" s="268">
        <v>42502</v>
      </c>
      <c r="H26" s="20" t="s">
        <v>123</v>
      </c>
      <c r="I26" s="30">
        <f>395+25</f>
        <v>420</v>
      </c>
    </row>
    <row r="27" spans="1:17" ht="15.75" thickBot="1" x14ac:dyDescent="0.3">
      <c r="A27" s="124">
        <v>42520</v>
      </c>
      <c r="B27" s="123" t="s">
        <v>369</v>
      </c>
      <c r="C27" s="21">
        <v>30351.09</v>
      </c>
      <c r="D27" s="117">
        <v>42529</v>
      </c>
      <c r="E27" s="21">
        <v>30351.09</v>
      </c>
      <c r="F27" s="127">
        <f t="shared" si="0"/>
        <v>0</v>
      </c>
      <c r="G27" s="268">
        <v>42503</v>
      </c>
      <c r="H27" s="20" t="s">
        <v>83</v>
      </c>
      <c r="I27" s="30">
        <v>894</v>
      </c>
    </row>
    <row r="28" spans="1:17" ht="19.5" thickBot="1" x14ac:dyDescent="0.35">
      <c r="A28" s="124">
        <v>42521</v>
      </c>
      <c r="B28" s="123" t="s">
        <v>370</v>
      </c>
      <c r="C28" s="21">
        <v>43477.02</v>
      </c>
      <c r="D28" s="117">
        <v>42529</v>
      </c>
      <c r="E28" s="21">
        <v>43477.02</v>
      </c>
      <c r="F28" s="127">
        <f t="shared" si="0"/>
        <v>0</v>
      </c>
      <c r="G28" s="268">
        <v>42504</v>
      </c>
      <c r="H28" s="20" t="s">
        <v>386</v>
      </c>
      <c r="I28" s="30">
        <v>23</v>
      </c>
      <c r="M28" s="146" t="s">
        <v>46</v>
      </c>
      <c r="N28" s="147"/>
      <c r="O28" s="148"/>
      <c r="P28" s="286">
        <v>42508</v>
      </c>
      <c r="Q28" s="150"/>
    </row>
    <row r="29" spans="1:17" ht="15.75" x14ac:dyDescent="0.25">
      <c r="A29" s="124"/>
      <c r="B29" s="123"/>
      <c r="C29" s="26"/>
      <c r="D29" s="130"/>
      <c r="E29" s="131"/>
      <c r="F29" s="127">
        <f t="shared" si="0"/>
        <v>0</v>
      </c>
      <c r="G29" s="268">
        <v>42506</v>
      </c>
      <c r="H29" s="20" t="s">
        <v>82</v>
      </c>
      <c r="I29" s="30">
        <f>372+881.6</f>
        <v>1253.5999999999999</v>
      </c>
      <c r="L29" s="151"/>
      <c r="M29" s="152"/>
      <c r="N29" s="151"/>
      <c r="O29" s="153"/>
      <c r="P29" s="152"/>
      <c r="Q29" s="154"/>
    </row>
    <row r="30" spans="1:17" ht="15.75" x14ac:dyDescent="0.25">
      <c r="A30" s="132"/>
      <c r="B30" s="123"/>
      <c r="C30" s="26"/>
      <c r="D30" s="130"/>
      <c r="E30" s="131"/>
      <c r="F30" s="127">
        <f>C30-E30</f>
        <v>0</v>
      </c>
      <c r="G30" s="268">
        <v>42510</v>
      </c>
      <c r="H30" s="20" t="s">
        <v>386</v>
      </c>
      <c r="I30" s="30">
        <v>20</v>
      </c>
      <c r="L30" s="155" t="s">
        <v>47</v>
      </c>
      <c r="M30" s="152" t="s">
        <v>48</v>
      </c>
      <c r="N30" s="151"/>
      <c r="O30" s="153" t="s">
        <v>49</v>
      </c>
      <c r="P30" s="152" t="s">
        <v>50</v>
      </c>
      <c r="Q30" s="154"/>
    </row>
    <row r="31" spans="1:17" ht="15.75" x14ac:dyDescent="0.25">
      <c r="A31" s="124"/>
      <c r="B31" s="123"/>
      <c r="C31" s="26"/>
      <c r="D31" s="133"/>
      <c r="E31" s="134"/>
      <c r="F31" s="127">
        <f>C31-E31</f>
        <v>0</v>
      </c>
      <c r="G31" s="268">
        <v>42511</v>
      </c>
      <c r="H31" t="s">
        <v>357</v>
      </c>
      <c r="I31" s="30">
        <v>240</v>
      </c>
      <c r="K31" s="30">
        <f>49500+25500</f>
        <v>75000</v>
      </c>
      <c r="L31" s="123" t="s">
        <v>299</v>
      </c>
      <c r="M31" s="21">
        <v>75000</v>
      </c>
      <c r="N31" s="156" t="s">
        <v>111</v>
      </c>
      <c r="O31" s="157">
        <v>3280922</v>
      </c>
      <c r="P31" s="158">
        <v>49500</v>
      </c>
      <c r="Q31" s="159">
        <v>42500</v>
      </c>
    </row>
    <row r="32" spans="1:17" ht="15.75" x14ac:dyDescent="0.25">
      <c r="A32" s="124"/>
      <c r="B32" s="123"/>
      <c r="C32" s="26"/>
      <c r="D32" s="133"/>
      <c r="E32" s="134"/>
      <c r="F32" s="127">
        <f>C32-E32</f>
        <v>0</v>
      </c>
      <c r="G32" s="268">
        <v>42512</v>
      </c>
      <c r="H32" t="s">
        <v>83</v>
      </c>
      <c r="I32" s="30">
        <v>795</v>
      </c>
      <c r="K32" s="30">
        <f>5000+6050+57500+1342+750</f>
        <v>70642</v>
      </c>
      <c r="L32" s="123" t="s">
        <v>301</v>
      </c>
      <c r="M32" s="21">
        <v>70642.02</v>
      </c>
      <c r="N32" s="160"/>
      <c r="O32" s="157" t="s">
        <v>52</v>
      </c>
      <c r="P32" s="158">
        <v>36550</v>
      </c>
      <c r="Q32" s="159">
        <v>42502</v>
      </c>
    </row>
    <row r="33" spans="1:17" ht="15.75" x14ac:dyDescent="0.25">
      <c r="A33" s="124"/>
      <c r="B33" s="123"/>
      <c r="C33" s="26"/>
      <c r="D33" s="121"/>
      <c r="E33" s="21"/>
      <c r="F33" s="127">
        <f>C33-E33</f>
        <v>0</v>
      </c>
      <c r="G33" s="268">
        <v>42513</v>
      </c>
      <c r="H33" t="s">
        <v>82</v>
      </c>
      <c r="I33" s="30">
        <v>381</v>
      </c>
      <c r="K33" s="30">
        <f>45000+9440.85</f>
        <v>54440.85</v>
      </c>
      <c r="L33" s="123" t="s">
        <v>302</v>
      </c>
      <c r="M33" s="21">
        <v>54440.85</v>
      </c>
      <c r="N33" s="160"/>
      <c r="O33" s="157" t="s">
        <v>52</v>
      </c>
      <c r="P33" s="158">
        <v>57500</v>
      </c>
      <c r="Q33" s="159">
        <v>42504</v>
      </c>
    </row>
    <row r="34" spans="1:17" ht="15.75" x14ac:dyDescent="0.25">
      <c r="A34" s="135"/>
      <c r="B34" s="126"/>
      <c r="C34" s="21"/>
      <c r="D34" s="133"/>
      <c r="E34" s="134"/>
      <c r="F34" s="136">
        <f>C34-E34</f>
        <v>0</v>
      </c>
      <c r="G34" s="268">
        <v>42514</v>
      </c>
      <c r="H34" t="s">
        <v>83</v>
      </c>
      <c r="I34" s="30">
        <v>978</v>
      </c>
      <c r="K34" s="30">
        <f>13342+33000</f>
        <v>46342</v>
      </c>
      <c r="L34" s="123" t="s">
        <v>303</v>
      </c>
      <c r="M34" s="26">
        <v>46342</v>
      </c>
      <c r="N34" s="161" t="s">
        <v>91</v>
      </c>
      <c r="O34" s="157" t="s">
        <v>52</v>
      </c>
      <c r="P34" s="158">
        <v>57566</v>
      </c>
      <c r="Q34" s="159">
        <v>42506</v>
      </c>
    </row>
    <row r="35" spans="1:17" ht="15.75" x14ac:dyDescent="0.25">
      <c r="A35" s="137"/>
      <c r="B35" s="128"/>
      <c r="C35" s="26"/>
      <c r="D35" s="138"/>
      <c r="E35" s="26"/>
      <c r="F35" s="136">
        <f t="shared" si="0"/>
        <v>0</v>
      </c>
      <c r="G35" s="268">
        <v>42515</v>
      </c>
      <c r="H35" t="s">
        <v>386</v>
      </c>
      <c r="I35" s="30">
        <v>25</v>
      </c>
      <c r="K35" s="30">
        <v>11221.8</v>
      </c>
      <c r="L35" s="125" t="s">
        <v>332</v>
      </c>
      <c r="M35" s="26">
        <v>11221.8</v>
      </c>
      <c r="N35" s="160"/>
      <c r="O35" s="157" t="s">
        <v>52</v>
      </c>
      <c r="P35" s="162">
        <v>44504</v>
      </c>
      <c r="Q35" s="163">
        <v>42506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>
        <v>42516</v>
      </c>
      <c r="H36" t="s">
        <v>83</v>
      </c>
      <c r="I36" s="30">
        <v>725</v>
      </c>
      <c r="K36" s="30">
        <v>1313</v>
      </c>
      <c r="L36" s="125" t="s">
        <v>334</v>
      </c>
      <c r="M36" s="26">
        <v>1313</v>
      </c>
      <c r="N36" s="160"/>
      <c r="O36" s="157">
        <v>3275353</v>
      </c>
      <c r="P36" s="162">
        <v>13342</v>
      </c>
      <c r="Q36" s="163">
        <v>42504</v>
      </c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>
        <v>42517</v>
      </c>
      <c r="H37" t="s">
        <v>66</v>
      </c>
      <c r="I37" s="30">
        <v>856</v>
      </c>
      <c r="K37" s="30"/>
      <c r="L37" s="123"/>
      <c r="M37" s="26"/>
      <c r="N37" s="160"/>
      <c r="O37" s="157"/>
      <c r="P37" s="162"/>
      <c r="Q37" s="163"/>
    </row>
    <row r="38" spans="1:17" ht="16.5" thickTop="1" x14ac:dyDescent="0.25">
      <c r="B38" s="37"/>
      <c r="C38" s="21">
        <f>SUM(C3:C37)</f>
        <v>1379270.5000000002</v>
      </c>
      <c r="D38" s="145"/>
      <c r="E38" s="30">
        <f>SUM(E3:E37)</f>
        <v>1379270.5000000002</v>
      </c>
      <c r="F38" s="30">
        <f>SUM(F3:F37)</f>
        <v>0</v>
      </c>
      <c r="G38" s="268">
        <v>42518</v>
      </c>
      <c r="H38" t="s">
        <v>387</v>
      </c>
      <c r="I38" s="3">
        <f>1094+480+385</f>
        <v>1959</v>
      </c>
      <c r="K38" s="30"/>
      <c r="L38" s="123"/>
      <c r="M38" s="21"/>
      <c r="N38" s="160"/>
      <c r="O38" s="157"/>
      <c r="P38" s="162"/>
      <c r="Q38" s="163"/>
    </row>
    <row r="39" spans="1:17" ht="15.75" x14ac:dyDescent="0.25">
      <c r="A39" s="20"/>
      <c r="G39" s="268">
        <v>42521</v>
      </c>
      <c r="H39" t="s">
        <v>83</v>
      </c>
      <c r="I39" s="3">
        <v>684</v>
      </c>
      <c r="K39" s="30"/>
      <c r="L39" s="123"/>
      <c r="M39" s="21"/>
      <c r="N39" s="232"/>
      <c r="O39" s="233"/>
      <c r="P39" s="234"/>
      <c r="Q39" s="235"/>
    </row>
    <row r="40" spans="1:17" ht="15.75" x14ac:dyDescent="0.25">
      <c r="A40" s="269"/>
      <c r="C40" s="30">
        <f>C38+I41</f>
        <v>1394172.1000000003</v>
      </c>
      <c r="I40" s="3">
        <v>0</v>
      </c>
      <c r="K40" s="241">
        <f>SUM(K31:K39)</f>
        <v>258959.65</v>
      </c>
      <c r="L40" s="165"/>
      <c r="M40" s="166"/>
      <c r="N40" s="165"/>
      <c r="O40" s="240" t="s">
        <v>52</v>
      </c>
      <c r="P40" s="215"/>
      <c r="Q40" s="163"/>
    </row>
    <row r="41" spans="1:17" ht="15.75" x14ac:dyDescent="0.25">
      <c r="A41" s="269"/>
      <c r="I41" s="290">
        <f>SUM(I18:I40)</f>
        <v>14901.6</v>
      </c>
      <c r="L41" s="196"/>
      <c r="M41" s="26">
        <f>SUM(M31:M40)</f>
        <v>258959.67</v>
      </c>
      <c r="N41" s="43"/>
      <c r="O41" s="219"/>
      <c r="P41" s="220">
        <f>SUM(P31:P40)</f>
        <v>258962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231">
        <v>42518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f>20919.6+29500</f>
        <v>50419.6</v>
      </c>
      <c r="L48" s="123" t="s">
        <v>303</v>
      </c>
      <c r="M48" s="26">
        <v>50419.5</v>
      </c>
      <c r="N48" s="156" t="s">
        <v>51</v>
      </c>
      <c r="O48" s="157">
        <v>3280930</v>
      </c>
      <c r="P48" s="158">
        <v>29500</v>
      </c>
      <c r="Q48" s="159">
        <v>42506</v>
      </c>
    </row>
    <row r="49" spans="11:17" customFormat="1" ht="15.75" x14ac:dyDescent="0.25">
      <c r="K49" s="30">
        <f>8053+11316+56000+40000+11946.8</f>
        <v>127315.8</v>
      </c>
      <c r="L49" s="125" t="s">
        <v>333</v>
      </c>
      <c r="M49" s="26">
        <v>127316.2</v>
      </c>
      <c r="N49" s="160"/>
      <c r="O49" s="157" t="s">
        <v>52</v>
      </c>
      <c r="P49" s="158">
        <v>8053</v>
      </c>
      <c r="Q49" s="159">
        <v>42510</v>
      </c>
    </row>
    <row r="50" spans="11:17" customFormat="1" ht="15.75" x14ac:dyDescent="0.25">
      <c r="K50" s="30">
        <f>24433.08+42000+30005</f>
        <v>96438.080000000002</v>
      </c>
      <c r="L50" s="125" t="s">
        <v>344</v>
      </c>
      <c r="M50" s="26">
        <v>96433.08</v>
      </c>
      <c r="N50" s="160"/>
      <c r="O50" s="157" t="s">
        <v>52</v>
      </c>
      <c r="P50" s="158">
        <v>53316</v>
      </c>
      <c r="Q50" s="159">
        <v>42511</v>
      </c>
    </row>
    <row r="51" spans="11:17" customFormat="1" ht="15.75" x14ac:dyDescent="0.25">
      <c r="K51" s="30">
        <f>8500+7886.1</f>
        <v>16386.099999999999</v>
      </c>
      <c r="L51" s="125" t="s">
        <v>345</v>
      </c>
      <c r="M51" s="26">
        <v>16386.099999999999</v>
      </c>
      <c r="N51" s="161"/>
      <c r="O51" s="157" t="s">
        <v>52</v>
      </c>
      <c r="P51" s="158">
        <v>56000</v>
      </c>
      <c r="Q51" s="159">
        <v>42513</v>
      </c>
    </row>
    <row r="52" spans="11:17" customFormat="1" ht="15.75" x14ac:dyDescent="0.25">
      <c r="K52" s="30">
        <f>16700+8714.6+29500+29050+27070.67</f>
        <v>111035.27</v>
      </c>
      <c r="L52" s="123" t="s">
        <v>348</v>
      </c>
      <c r="M52" s="21">
        <v>111035.27</v>
      </c>
      <c r="N52" s="160"/>
      <c r="O52" s="157" t="s">
        <v>52</v>
      </c>
      <c r="P52" s="162">
        <v>40000</v>
      </c>
      <c r="Q52" s="163">
        <v>42513</v>
      </c>
    </row>
    <row r="53" spans="11:17" customFormat="1" ht="15.75" x14ac:dyDescent="0.25">
      <c r="K53" s="30"/>
      <c r="L53" s="123"/>
      <c r="M53" s="21"/>
      <c r="N53" s="160"/>
      <c r="O53" s="157" t="s">
        <v>52</v>
      </c>
      <c r="P53" s="162">
        <v>28647</v>
      </c>
      <c r="Q53" s="163">
        <v>42514</v>
      </c>
    </row>
    <row r="54" spans="11:17" customFormat="1" ht="15.75" x14ac:dyDescent="0.25">
      <c r="K54" s="30"/>
      <c r="L54" s="123"/>
      <c r="M54" s="21"/>
      <c r="N54" s="160"/>
      <c r="O54" s="157">
        <v>3280935</v>
      </c>
      <c r="P54" s="162">
        <v>29500</v>
      </c>
      <c r="Q54" s="163">
        <v>42514</v>
      </c>
    </row>
    <row r="55" spans="11:17" customFormat="1" ht="15.75" x14ac:dyDescent="0.25">
      <c r="K55" s="30"/>
      <c r="L55" s="123"/>
      <c r="M55" s="21"/>
      <c r="N55" s="160"/>
      <c r="O55" s="157">
        <v>3359491</v>
      </c>
      <c r="P55" s="162">
        <v>8715</v>
      </c>
      <c r="Q55" s="163">
        <v>42513</v>
      </c>
    </row>
    <row r="56" spans="11:17" customFormat="1" ht="15.75" x14ac:dyDescent="0.25">
      <c r="K56" s="30"/>
      <c r="L56" s="123"/>
      <c r="M56" s="21"/>
      <c r="N56" s="160"/>
      <c r="O56" s="157" t="s">
        <v>52</v>
      </c>
      <c r="P56" s="162">
        <v>29050</v>
      </c>
      <c r="Q56" s="163">
        <v>42516</v>
      </c>
    </row>
    <row r="57" spans="11:17" customFormat="1" ht="15.75" x14ac:dyDescent="0.25">
      <c r="K57" s="30"/>
      <c r="L57" s="123"/>
      <c r="M57" s="21"/>
      <c r="N57" s="160"/>
      <c r="O57" s="157" t="s">
        <v>52</v>
      </c>
      <c r="P57" s="162">
        <v>27070.5</v>
      </c>
      <c r="Q57" s="163">
        <v>42517</v>
      </c>
    </row>
    <row r="58" spans="11:17" customFormat="1" ht="15.75" x14ac:dyDescent="0.25">
      <c r="K58" s="30"/>
      <c r="L58" s="123"/>
      <c r="M58" s="21"/>
      <c r="N58" s="160"/>
      <c r="O58" s="157" t="s">
        <v>52</v>
      </c>
      <c r="P58" s="162">
        <v>29420</v>
      </c>
      <c r="Q58" s="163">
        <v>42508</v>
      </c>
    </row>
    <row r="59" spans="11:17" customFormat="1" ht="15.75" x14ac:dyDescent="0.25">
      <c r="K59" s="30"/>
      <c r="L59" s="123"/>
      <c r="M59" s="21"/>
      <c r="N59" s="232"/>
      <c r="O59" s="233" t="s">
        <v>52</v>
      </c>
      <c r="P59" s="234">
        <v>32319.5</v>
      </c>
      <c r="Q59" s="235">
        <v>42509</v>
      </c>
    </row>
    <row r="60" spans="11:17" customFormat="1" ht="15.75" x14ac:dyDescent="0.25">
      <c r="K60" s="3"/>
      <c r="L60" s="123"/>
      <c r="M60" s="21"/>
      <c r="N60" s="164"/>
      <c r="O60" s="157" t="s">
        <v>52</v>
      </c>
      <c r="P60" s="158">
        <v>30005</v>
      </c>
      <c r="Q60" s="159">
        <v>42510</v>
      </c>
    </row>
    <row r="61" spans="11:17" customFormat="1" ht="15.75" x14ac:dyDescent="0.25">
      <c r="K61" s="3"/>
      <c r="L61" s="123"/>
      <c r="M61" s="21"/>
      <c r="N61" s="164"/>
      <c r="O61" s="157" t="s">
        <v>52</v>
      </c>
      <c r="P61" s="158">
        <v>0</v>
      </c>
      <c r="Q61" s="159"/>
    </row>
    <row r="62" spans="11:17" customFormat="1" ht="15.75" x14ac:dyDescent="0.25">
      <c r="K62" s="241">
        <f>SUM(K48:K61)</f>
        <v>401594.85</v>
      </c>
      <c r="L62" s="165"/>
      <c r="M62" s="166"/>
      <c r="N62" s="165"/>
      <c r="O62" s="240" t="s">
        <v>52</v>
      </c>
      <c r="P62" s="215">
        <v>0</v>
      </c>
      <c r="Q62" s="163"/>
    </row>
    <row r="63" spans="11:17" customFormat="1" ht="15.75" x14ac:dyDescent="0.25">
      <c r="L63" s="196"/>
      <c r="M63" s="26">
        <f>SUM(M48:M62)</f>
        <v>401590.15</v>
      </c>
      <c r="N63" s="43"/>
      <c r="O63" s="219"/>
      <c r="P63" s="220">
        <f>SUM(P48:P62)</f>
        <v>401596</v>
      </c>
      <c r="Q63" s="218"/>
    </row>
  </sheetData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19" workbookViewId="0">
      <selection activeCell="O43" sqref="O4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60" t="s">
        <v>371</v>
      </c>
      <c r="D1" s="360"/>
      <c r="E1" s="360"/>
      <c r="F1" s="360"/>
      <c r="G1" s="360"/>
      <c r="H1" s="360"/>
      <c r="I1" s="360"/>
      <c r="J1" s="360"/>
      <c r="K1" s="360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231465.08</v>
      </c>
      <c r="D4" s="12"/>
      <c r="E4" s="361" t="s">
        <v>3</v>
      </c>
      <c r="F4" s="362"/>
      <c r="I4" s="363" t="s">
        <v>4</v>
      </c>
      <c r="J4" s="364"/>
      <c r="K4" s="364"/>
      <c r="L4" s="364"/>
      <c r="M4" s="13" t="s">
        <v>5</v>
      </c>
    </row>
    <row r="5" spans="1:19" ht="15.75" thickTop="1" x14ac:dyDescent="0.25">
      <c r="A5" s="14"/>
      <c r="B5" s="15">
        <v>42522</v>
      </c>
      <c r="C5" s="16">
        <v>43871.24</v>
      </c>
      <c r="D5" s="17" t="s">
        <v>391</v>
      </c>
      <c r="E5" s="18">
        <v>42522</v>
      </c>
      <c r="F5" s="19">
        <v>41796.129999999997</v>
      </c>
      <c r="G5" s="20"/>
      <c r="H5" s="186">
        <v>42522</v>
      </c>
      <c r="I5" s="187">
        <v>500</v>
      </c>
      <c r="J5" s="176"/>
      <c r="K5" s="188"/>
      <c r="L5" s="189"/>
      <c r="M5" s="190">
        <v>21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42523</v>
      </c>
      <c r="C6" s="16">
        <v>36801</v>
      </c>
      <c r="D6" s="22" t="s">
        <v>393</v>
      </c>
      <c r="E6" s="18">
        <v>42523</v>
      </c>
      <c r="F6" s="19">
        <v>37674.639999999999</v>
      </c>
      <c r="G6" s="23"/>
      <c r="H6" s="24">
        <v>42523</v>
      </c>
      <c r="I6" s="25">
        <v>0</v>
      </c>
      <c r="J6" s="26"/>
      <c r="K6" s="27" t="s">
        <v>7</v>
      </c>
      <c r="L6" s="28">
        <f>1075+495</f>
        <v>1570</v>
      </c>
      <c r="M6" s="33">
        <v>186</v>
      </c>
      <c r="N6" s="30"/>
      <c r="O6" s="20"/>
      <c r="P6" s="20"/>
      <c r="Q6" s="20"/>
    </row>
    <row r="7" spans="1:19" x14ac:dyDescent="0.25">
      <c r="A7" s="14"/>
      <c r="B7" s="15">
        <v>42524</v>
      </c>
      <c r="C7" s="16">
        <v>52010</v>
      </c>
      <c r="D7" s="17" t="s">
        <v>395</v>
      </c>
      <c r="E7" s="18">
        <v>42524</v>
      </c>
      <c r="F7" s="19">
        <v>54421.440000000002</v>
      </c>
      <c r="G7" s="20"/>
      <c r="H7" s="24">
        <v>42524</v>
      </c>
      <c r="I7" s="25">
        <v>56</v>
      </c>
      <c r="J7" s="26"/>
      <c r="K7" s="31" t="s">
        <v>8</v>
      </c>
      <c r="L7" s="28">
        <v>14472</v>
      </c>
      <c r="M7" s="33">
        <v>265.5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42525</v>
      </c>
      <c r="C8" s="16">
        <v>79737.09</v>
      </c>
      <c r="D8" s="17" t="s">
        <v>396</v>
      </c>
      <c r="E8" s="18">
        <v>42525</v>
      </c>
      <c r="F8" s="19">
        <v>75239.42</v>
      </c>
      <c r="G8" s="20"/>
      <c r="H8" s="24">
        <v>42525</v>
      </c>
      <c r="I8" s="25">
        <v>207.4</v>
      </c>
      <c r="J8" s="26"/>
      <c r="K8" s="27" t="s">
        <v>10</v>
      </c>
      <c r="L8" s="32">
        <v>28750</v>
      </c>
      <c r="M8" s="33">
        <v>36.5</v>
      </c>
      <c r="N8" s="21"/>
      <c r="O8" s="20"/>
      <c r="P8" s="20"/>
      <c r="Q8" s="20"/>
    </row>
    <row r="9" spans="1:19" x14ac:dyDescent="0.25">
      <c r="A9" s="14"/>
      <c r="B9" s="15">
        <v>42526</v>
      </c>
      <c r="C9" s="16">
        <v>42002.52</v>
      </c>
      <c r="D9" s="17" t="s">
        <v>401</v>
      </c>
      <c r="E9" s="18">
        <v>42526</v>
      </c>
      <c r="F9" s="19">
        <v>44921.54</v>
      </c>
      <c r="G9" s="20"/>
      <c r="H9" s="24">
        <v>42526</v>
      </c>
      <c r="I9" s="25">
        <v>520</v>
      </c>
      <c r="J9" s="35"/>
      <c r="K9" s="27" t="s">
        <v>397</v>
      </c>
      <c r="L9" s="19">
        <v>11150</v>
      </c>
      <c r="M9" s="33">
        <v>85</v>
      </c>
      <c r="N9" s="21"/>
      <c r="O9" s="37"/>
      <c r="P9" s="20"/>
      <c r="Q9" s="20"/>
    </row>
    <row r="10" spans="1:19" x14ac:dyDescent="0.25">
      <c r="A10" s="14"/>
      <c r="B10" s="15">
        <v>42527</v>
      </c>
      <c r="C10" s="16">
        <v>46591</v>
      </c>
      <c r="D10" s="22" t="s">
        <v>408</v>
      </c>
      <c r="E10" s="18">
        <v>42527</v>
      </c>
      <c r="F10" s="19">
        <v>46653.52</v>
      </c>
      <c r="G10" s="20"/>
      <c r="H10" s="24">
        <v>42527</v>
      </c>
      <c r="I10" s="25">
        <v>0</v>
      </c>
      <c r="J10" s="35"/>
      <c r="K10" s="27" t="s">
        <v>398</v>
      </c>
      <c r="L10" s="19">
        <v>10921.42</v>
      </c>
      <c r="M10" s="33">
        <v>62.5</v>
      </c>
      <c r="N10" s="21"/>
      <c r="O10" s="20"/>
      <c r="P10" s="20"/>
      <c r="Q10" s="20"/>
    </row>
    <row r="11" spans="1:19" x14ac:dyDescent="0.25">
      <c r="A11" s="14"/>
      <c r="B11" s="15">
        <v>42528</v>
      </c>
      <c r="C11" s="16">
        <v>33672.400000000001</v>
      </c>
      <c r="D11" s="34" t="s">
        <v>409</v>
      </c>
      <c r="E11" s="18">
        <v>42528</v>
      </c>
      <c r="F11" s="19">
        <v>34301.71</v>
      </c>
      <c r="G11" s="20"/>
      <c r="H11" s="24">
        <v>42528</v>
      </c>
      <c r="I11" s="25">
        <v>0</v>
      </c>
      <c r="J11" s="35"/>
      <c r="K11" s="27" t="s">
        <v>399</v>
      </c>
      <c r="L11" s="19">
        <v>10616.4</v>
      </c>
      <c r="M11" s="33">
        <v>927</v>
      </c>
      <c r="N11" s="36"/>
      <c r="O11" s="20"/>
      <c r="P11" s="20"/>
      <c r="Q11" s="20"/>
    </row>
    <row r="12" spans="1:19" x14ac:dyDescent="0.25">
      <c r="A12" s="14"/>
      <c r="B12" s="15">
        <v>42529</v>
      </c>
      <c r="C12" s="16">
        <v>31352.46</v>
      </c>
      <c r="D12" s="17" t="s">
        <v>410</v>
      </c>
      <c r="E12" s="18">
        <v>42529</v>
      </c>
      <c r="F12" s="19">
        <v>32363.57</v>
      </c>
      <c r="G12" s="20"/>
      <c r="H12" s="24">
        <v>42529</v>
      </c>
      <c r="I12" s="25">
        <v>968.7</v>
      </c>
      <c r="J12" s="35"/>
      <c r="K12" s="27" t="s">
        <v>400</v>
      </c>
      <c r="L12" s="19">
        <v>0</v>
      </c>
      <c r="M12" s="33">
        <v>41</v>
      </c>
      <c r="N12" s="21"/>
      <c r="O12" s="37"/>
      <c r="P12" s="38"/>
      <c r="Q12" s="20"/>
    </row>
    <row r="13" spans="1:19" x14ac:dyDescent="0.25">
      <c r="A13" s="14"/>
      <c r="B13" s="15">
        <v>42530</v>
      </c>
      <c r="C13" s="16">
        <v>37615.5</v>
      </c>
      <c r="D13" s="34" t="s">
        <v>410</v>
      </c>
      <c r="E13" s="18">
        <v>42530</v>
      </c>
      <c r="F13" s="19">
        <v>37615.379999999997</v>
      </c>
      <c r="G13" s="20"/>
      <c r="H13" s="24">
        <v>42530</v>
      </c>
      <c r="I13" s="25">
        <v>0</v>
      </c>
      <c r="J13" s="35"/>
      <c r="K13" s="27" t="s">
        <v>316</v>
      </c>
      <c r="L13" s="19">
        <v>0</v>
      </c>
      <c r="M13" s="33">
        <v>0</v>
      </c>
      <c r="N13" s="21"/>
      <c r="O13" s="20"/>
      <c r="P13" s="20"/>
      <c r="Q13" s="20"/>
    </row>
    <row r="14" spans="1:19" x14ac:dyDescent="0.25">
      <c r="A14" s="14"/>
      <c r="B14" s="15">
        <v>42531</v>
      </c>
      <c r="C14" s="16">
        <v>51618.57</v>
      </c>
      <c r="D14" s="17" t="s">
        <v>412</v>
      </c>
      <c r="E14" s="18">
        <v>42531</v>
      </c>
      <c r="F14" s="19">
        <v>54373.47</v>
      </c>
      <c r="G14" s="20"/>
      <c r="H14" s="24">
        <v>42531</v>
      </c>
      <c r="I14" s="25">
        <v>0</v>
      </c>
      <c r="J14" s="35"/>
      <c r="K14" s="40" t="s">
        <v>264</v>
      </c>
      <c r="L14" s="19">
        <v>1982.14</v>
      </c>
      <c r="M14" s="33">
        <v>255</v>
      </c>
      <c r="N14" s="21"/>
      <c r="O14" s="20"/>
      <c r="P14" s="20"/>
      <c r="Q14" s="20"/>
    </row>
    <row r="15" spans="1:19" ht="15.75" x14ac:dyDescent="0.25">
      <c r="A15" s="14"/>
      <c r="B15" s="15">
        <v>42532</v>
      </c>
      <c r="C15" s="16">
        <v>73386.100000000006</v>
      </c>
      <c r="D15" s="17" t="s">
        <v>413</v>
      </c>
      <c r="E15" s="18">
        <v>42532</v>
      </c>
      <c r="F15" s="19">
        <v>73699.820000000007</v>
      </c>
      <c r="G15" s="20"/>
      <c r="H15" s="24">
        <v>42532</v>
      </c>
      <c r="I15" s="25">
        <v>0</v>
      </c>
      <c r="J15" s="35"/>
      <c r="K15" s="226" t="s">
        <v>11</v>
      </c>
      <c r="L15" s="19">
        <v>0</v>
      </c>
      <c r="M15" s="33">
        <v>314</v>
      </c>
      <c r="N15" s="30"/>
      <c r="O15" s="20"/>
      <c r="P15" s="20"/>
      <c r="Q15" s="20"/>
    </row>
    <row r="16" spans="1:19" ht="15.75" x14ac:dyDescent="0.25">
      <c r="A16" s="14"/>
      <c r="B16" s="15">
        <v>42533</v>
      </c>
      <c r="C16" s="16">
        <v>57000</v>
      </c>
      <c r="D16" s="17" t="s">
        <v>414</v>
      </c>
      <c r="E16" s="18">
        <v>42533</v>
      </c>
      <c r="F16" s="19">
        <v>64500.11</v>
      </c>
      <c r="G16" s="20"/>
      <c r="H16" s="24">
        <v>42533</v>
      </c>
      <c r="I16" s="25">
        <v>300</v>
      </c>
      <c r="J16" s="35"/>
      <c r="K16" s="251"/>
      <c r="L16" s="42">
        <v>0</v>
      </c>
      <c r="M16" s="33">
        <v>378.5</v>
      </c>
      <c r="N16" s="30"/>
      <c r="O16" s="20"/>
      <c r="P16" s="20"/>
      <c r="Q16" s="20"/>
    </row>
    <row r="17" spans="1:18" x14ac:dyDescent="0.25">
      <c r="A17" s="14"/>
      <c r="B17" s="15">
        <v>42534</v>
      </c>
      <c r="C17" s="16">
        <v>31655.24</v>
      </c>
      <c r="D17" s="17" t="s">
        <v>415</v>
      </c>
      <c r="E17" s="18">
        <v>42534</v>
      </c>
      <c r="F17" s="19">
        <v>32558.81</v>
      </c>
      <c r="G17" s="20"/>
      <c r="H17" s="24">
        <v>42534</v>
      </c>
      <c r="I17" s="25">
        <v>100</v>
      </c>
      <c r="J17" s="35"/>
      <c r="K17" s="265" t="s">
        <v>335</v>
      </c>
      <c r="L17" s="19">
        <v>0</v>
      </c>
      <c r="M17" s="33">
        <v>803.5</v>
      </c>
      <c r="N17" s="30"/>
      <c r="O17" s="20"/>
      <c r="P17" s="20"/>
      <c r="Q17" s="20"/>
    </row>
    <row r="18" spans="1:18" x14ac:dyDescent="0.25">
      <c r="A18" s="14"/>
      <c r="B18" s="15">
        <v>42535</v>
      </c>
      <c r="C18" s="16">
        <v>23072</v>
      </c>
      <c r="D18" s="17" t="s">
        <v>435</v>
      </c>
      <c r="E18" s="18">
        <v>42535</v>
      </c>
      <c r="F18" s="19">
        <v>27241.19</v>
      </c>
      <c r="G18" s="20"/>
      <c r="H18" s="24">
        <v>42535</v>
      </c>
      <c r="I18" s="25">
        <v>140</v>
      </c>
      <c r="J18" s="35"/>
      <c r="K18" s="283"/>
      <c r="L18" s="19">
        <v>0</v>
      </c>
      <c r="M18" s="33">
        <v>229</v>
      </c>
      <c r="N18" s="21"/>
      <c r="O18" s="37"/>
      <c r="P18" s="20"/>
      <c r="Q18" s="20"/>
    </row>
    <row r="19" spans="1:18" x14ac:dyDescent="0.25">
      <c r="A19" s="14"/>
      <c r="B19" s="15">
        <v>42536</v>
      </c>
      <c r="C19" s="16">
        <v>35980</v>
      </c>
      <c r="D19" s="34" t="s">
        <v>436</v>
      </c>
      <c r="E19" s="18">
        <v>42536</v>
      </c>
      <c r="F19" s="19">
        <v>37570.65</v>
      </c>
      <c r="G19" s="20"/>
      <c r="H19" s="24">
        <v>42536</v>
      </c>
      <c r="I19" s="25">
        <v>720</v>
      </c>
      <c r="J19" s="35"/>
      <c r="K19" s="43"/>
      <c r="L19" s="44">
        <v>0</v>
      </c>
      <c r="M19" s="33">
        <v>275.5</v>
      </c>
      <c r="N19" s="21"/>
      <c r="O19" s="20"/>
      <c r="P19" s="20"/>
      <c r="Q19" s="20"/>
    </row>
    <row r="20" spans="1:18" x14ac:dyDescent="0.25">
      <c r="A20" s="14"/>
      <c r="B20" s="15">
        <v>42537</v>
      </c>
      <c r="C20" s="16">
        <v>56342.400000000001</v>
      </c>
      <c r="D20" s="22" t="s">
        <v>433</v>
      </c>
      <c r="E20" s="18">
        <v>42537</v>
      </c>
      <c r="F20" s="19">
        <v>56825.75</v>
      </c>
      <c r="G20" s="20"/>
      <c r="H20" s="24">
        <v>42537</v>
      </c>
      <c r="I20" s="45">
        <v>350</v>
      </c>
      <c r="J20" s="35"/>
      <c r="K20" s="46" t="s">
        <v>14</v>
      </c>
      <c r="L20" s="42">
        <v>0</v>
      </c>
      <c r="M20" s="33">
        <v>133</v>
      </c>
      <c r="N20" s="21"/>
      <c r="O20" s="20"/>
      <c r="P20" s="20"/>
      <c r="Q20" s="20"/>
    </row>
    <row r="21" spans="1:18" x14ac:dyDescent="0.25">
      <c r="A21" s="14"/>
      <c r="B21" s="15">
        <v>42538</v>
      </c>
      <c r="C21" s="16">
        <v>80080.62</v>
      </c>
      <c r="D21" s="17" t="s">
        <v>437</v>
      </c>
      <c r="E21" s="18">
        <v>42538</v>
      </c>
      <c r="F21" s="19">
        <v>80377.789999999994</v>
      </c>
      <c r="G21" s="20"/>
      <c r="H21" s="24">
        <v>42538</v>
      </c>
      <c r="I21" s="45">
        <v>173.4</v>
      </c>
      <c r="J21" s="35"/>
      <c r="K21" s="47" t="s">
        <v>15</v>
      </c>
      <c r="L21" s="42">
        <v>0</v>
      </c>
      <c r="M21" s="33">
        <v>123</v>
      </c>
      <c r="N21" s="21"/>
      <c r="O21" s="37"/>
      <c r="P21" s="37"/>
      <c r="Q21" s="37"/>
      <c r="R21" s="37"/>
    </row>
    <row r="22" spans="1:18" x14ac:dyDescent="0.25">
      <c r="A22" s="14"/>
      <c r="B22" s="15">
        <v>42539</v>
      </c>
      <c r="C22" s="16">
        <v>65993.5</v>
      </c>
      <c r="D22" s="17" t="s">
        <v>438</v>
      </c>
      <c r="E22" s="18">
        <v>42539</v>
      </c>
      <c r="F22" s="19">
        <v>66524.27</v>
      </c>
      <c r="G22" s="20"/>
      <c r="H22" s="24">
        <v>42539</v>
      </c>
      <c r="I22" s="45">
        <v>400</v>
      </c>
      <c r="J22" s="48"/>
      <c r="K22" s="49" t="s">
        <v>29</v>
      </c>
      <c r="L22" s="42">
        <v>800</v>
      </c>
      <c r="M22" s="33">
        <v>131</v>
      </c>
      <c r="N22" s="30"/>
      <c r="O22" s="20"/>
      <c r="P22" s="20"/>
      <c r="Q22" s="20"/>
    </row>
    <row r="23" spans="1:18" x14ac:dyDescent="0.25">
      <c r="A23" s="14"/>
      <c r="B23" s="15">
        <v>42540</v>
      </c>
      <c r="C23" s="16">
        <v>58400</v>
      </c>
      <c r="D23" s="259" t="s">
        <v>439</v>
      </c>
      <c r="E23" s="18">
        <v>42540</v>
      </c>
      <c r="F23" s="19">
        <v>64938.65</v>
      </c>
      <c r="G23" s="20"/>
      <c r="H23" s="24">
        <v>42540</v>
      </c>
      <c r="I23" s="45">
        <v>0</v>
      </c>
      <c r="J23" s="26"/>
      <c r="K23" s="50">
        <v>42535</v>
      </c>
      <c r="L23" s="42">
        <v>0</v>
      </c>
      <c r="M23" s="33">
        <v>22</v>
      </c>
      <c r="N23" s="30"/>
      <c r="O23" s="20"/>
      <c r="P23" s="20"/>
      <c r="Q23" s="20"/>
    </row>
    <row r="24" spans="1:18" x14ac:dyDescent="0.25">
      <c r="A24" s="14"/>
      <c r="B24" s="15">
        <v>42541</v>
      </c>
      <c r="C24" s="16">
        <v>27226.5</v>
      </c>
      <c r="D24" s="17" t="s">
        <v>442</v>
      </c>
      <c r="E24" s="18">
        <v>42541</v>
      </c>
      <c r="F24" s="19">
        <v>27853.24</v>
      </c>
      <c r="G24" s="20"/>
      <c r="H24" s="24">
        <v>42541</v>
      </c>
      <c r="I24" s="45">
        <v>555</v>
      </c>
      <c r="J24" s="35"/>
      <c r="K24" s="51" t="s">
        <v>270</v>
      </c>
      <c r="L24" s="42">
        <v>0</v>
      </c>
      <c r="M24" s="33">
        <v>72</v>
      </c>
      <c r="N24" s="30"/>
      <c r="O24" s="20"/>
      <c r="P24" s="20"/>
      <c r="Q24" s="20"/>
    </row>
    <row r="25" spans="1:18" x14ac:dyDescent="0.25">
      <c r="A25" s="14"/>
      <c r="B25" s="15">
        <v>42542</v>
      </c>
      <c r="C25" s="16">
        <v>29914.22</v>
      </c>
      <c r="D25" s="259" t="s">
        <v>443</v>
      </c>
      <c r="E25" s="18">
        <v>42542</v>
      </c>
      <c r="F25" s="19">
        <v>30230.86</v>
      </c>
      <c r="G25" s="20"/>
      <c r="H25" s="24">
        <v>42542</v>
      </c>
      <c r="I25" s="45">
        <v>100</v>
      </c>
      <c r="J25" s="26"/>
      <c r="K25" s="50"/>
      <c r="L25" s="42">
        <v>0</v>
      </c>
      <c r="M25" s="33">
        <v>216</v>
      </c>
      <c r="N25" s="21"/>
      <c r="O25" s="20"/>
      <c r="P25" s="20"/>
      <c r="Q25" s="20"/>
    </row>
    <row r="26" spans="1:18" x14ac:dyDescent="0.25">
      <c r="A26" s="14"/>
      <c r="B26" s="15">
        <v>42543</v>
      </c>
      <c r="C26" s="16">
        <v>43312.25</v>
      </c>
      <c r="D26" s="17" t="s">
        <v>444</v>
      </c>
      <c r="E26" s="18">
        <v>42543</v>
      </c>
      <c r="F26" s="19">
        <v>44254.84</v>
      </c>
      <c r="G26" s="20"/>
      <c r="H26" s="24">
        <v>42543</v>
      </c>
      <c r="I26" s="45">
        <v>531.12</v>
      </c>
      <c r="J26" s="52"/>
      <c r="K26" s="50"/>
      <c r="L26" s="42">
        <v>0</v>
      </c>
      <c r="M26" s="33">
        <v>411.5</v>
      </c>
      <c r="N26" s="21"/>
      <c r="O26" s="37"/>
      <c r="P26" s="38"/>
      <c r="Q26" s="20"/>
    </row>
    <row r="27" spans="1:18" x14ac:dyDescent="0.25">
      <c r="A27" s="14"/>
      <c r="B27" s="15">
        <v>42544</v>
      </c>
      <c r="C27" s="16">
        <v>31005.5</v>
      </c>
      <c r="D27" s="17" t="s">
        <v>471</v>
      </c>
      <c r="E27" s="18">
        <v>42544</v>
      </c>
      <c r="F27" s="19">
        <v>31105.63</v>
      </c>
      <c r="G27" s="20"/>
      <c r="H27" s="24">
        <v>42544</v>
      </c>
      <c r="I27" s="45">
        <v>100</v>
      </c>
      <c r="J27" s="26"/>
      <c r="K27" s="53" t="s">
        <v>394</v>
      </c>
      <c r="L27" s="42">
        <v>2500</v>
      </c>
      <c r="M27" s="33">
        <v>0</v>
      </c>
      <c r="N27" s="21"/>
      <c r="O27" s="20"/>
      <c r="P27" s="20"/>
      <c r="Q27" s="20"/>
    </row>
    <row r="28" spans="1:18" x14ac:dyDescent="0.25">
      <c r="A28" s="14"/>
      <c r="B28" s="15">
        <v>42545</v>
      </c>
      <c r="C28" s="16">
        <v>56330.3</v>
      </c>
      <c r="D28" s="17" t="s">
        <v>472</v>
      </c>
      <c r="E28" s="18">
        <v>42545</v>
      </c>
      <c r="F28" s="19">
        <v>69637.33</v>
      </c>
      <c r="G28" s="20"/>
      <c r="H28" s="24">
        <v>42545</v>
      </c>
      <c r="I28" s="45">
        <v>0</v>
      </c>
      <c r="J28" s="26"/>
      <c r="K28" s="298" t="s">
        <v>411</v>
      </c>
      <c r="L28" s="42">
        <v>2500</v>
      </c>
      <c r="M28" s="33">
        <v>307</v>
      </c>
      <c r="N28" s="21"/>
      <c r="O28" s="20"/>
      <c r="P28" s="20"/>
      <c r="Q28" s="20"/>
    </row>
    <row r="29" spans="1:18" x14ac:dyDescent="0.25">
      <c r="A29" s="14"/>
      <c r="B29" s="15">
        <v>42546</v>
      </c>
      <c r="C29" s="16">
        <v>62600</v>
      </c>
      <c r="D29" s="17" t="s">
        <v>474</v>
      </c>
      <c r="E29" s="18">
        <v>42546</v>
      </c>
      <c r="F29" s="19">
        <v>67176.960000000006</v>
      </c>
      <c r="G29" s="20"/>
      <c r="H29" s="24">
        <v>42546</v>
      </c>
      <c r="I29" s="45">
        <v>100</v>
      </c>
      <c r="J29" s="26"/>
      <c r="K29" s="53" t="s">
        <v>478</v>
      </c>
      <c r="L29" s="56">
        <v>3000</v>
      </c>
      <c r="M29" s="33">
        <v>453</v>
      </c>
      <c r="N29" s="30"/>
      <c r="O29" s="20"/>
      <c r="P29" s="20"/>
      <c r="Q29" s="20"/>
    </row>
    <row r="30" spans="1:18" ht="15.75" thickBot="1" x14ac:dyDescent="0.3">
      <c r="A30" s="14"/>
      <c r="B30" s="15">
        <v>42547</v>
      </c>
      <c r="C30" s="16">
        <v>321189</v>
      </c>
      <c r="D30" s="17" t="s">
        <v>475</v>
      </c>
      <c r="E30" s="18">
        <v>42547</v>
      </c>
      <c r="F30" s="19">
        <v>40277.980000000003</v>
      </c>
      <c r="G30" s="20"/>
      <c r="H30" s="24">
        <v>42547</v>
      </c>
      <c r="I30" s="45">
        <v>695</v>
      </c>
      <c r="J30" s="52"/>
      <c r="K30" s="298" t="s">
        <v>373</v>
      </c>
      <c r="L30" s="56">
        <v>0</v>
      </c>
      <c r="M30" s="33">
        <v>414</v>
      </c>
      <c r="N30" s="30"/>
      <c r="O30" s="20"/>
      <c r="P30" s="20"/>
      <c r="Q30" s="20"/>
    </row>
    <row r="31" spans="1:18" x14ac:dyDescent="0.25">
      <c r="A31" s="14"/>
      <c r="B31" s="15">
        <v>42548</v>
      </c>
      <c r="C31" s="16">
        <v>34504</v>
      </c>
      <c r="D31" s="17" t="s">
        <v>476</v>
      </c>
      <c r="E31" s="18">
        <v>42548</v>
      </c>
      <c r="F31" s="19">
        <v>35283.199999999997</v>
      </c>
      <c r="G31" s="20"/>
      <c r="H31" s="24">
        <v>42548</v>
      </c>
      <c r="I31" s="45">
        <v>684</v>
      </c>
      <c r="J31" s="35"/>
      <c r="K31" s="323" t="s">
        <v>473</v>
      </c>
      <c r="L31" s="303">
        <v>13000</v>
      </c>
      <c r="M31" s="33">
        <v>95</v>
      </c>
      <c r="N31" s="21"/>
      <c r="O31" s="20"/>
      <c r="P31" s="20"/>
      <c r="Q31" s="20"/>
    </row>
    <row r="32" spans="1:18" ht="15.75" thickBot="1" x14ac:dyDescent="0.3">
      <c r="A32" s="14"/>
      <c r="B32" s="15">
        <v>42549</v>
      </c>
      <c r="C32" s="16">
        <v>31312.68</v>
      </c>
      <c r="D32" s="17" t="s">
        <v>477</v>
      </c>
      <c r="E32" s="18">
        <v>42549</v>
      </c>
      <c r="F32" s="19">
        <v>31627.1</v>
      </c>
      <c r="G32" s="20"/>
      <c r="H32" s="24">
        <v>42549</v>
      </c>
      <c r="I32" s="45">
        <v>0</v>
      </c>
      <c r="J32" s="26"/>
      <c r="K32" s="53"/>
      <c r="L32" s="304"/>
      <c r="M32" s="33">
        <v>314</v>
      </c>
      <c r="N32" s="30"/>
      <c r="O32" s="20"/>
      <c r="P32" s="20"/>
      <c r="Q32" s="20"/>
    </row>
    <row r="33" spans="1:17" x14ac:dyDescent="0.25">
      <c r="A33" s="14"/>
      <c r="B33" s="15">
        <v>42550</v>
      </c>
      <c r="C33" s="16">
        <v>25976</v>
      </c>
      <c r="D33" s="34" t="s">
        <v>479</v>
      </c>
      <c r="E33" s="18">
        <v>42550</v>
      </c>
      <c r="F33" s="19">
        <v>29075.41</v>
      </c>
      <c r="G33" s="20"/>
      <c r="H33" s="24">
        <v>42550</v>
      </c>
      <c r="I33" s="45">
        <v>100</v>
      </c>
      <c r="J33" s="26"/>
      <c r="K33" s="293"/>
      <c r="L33" s="367">
        <v>0</v>
      </c>
      <c r="M33" s="33">
        <v>0</v>
      </c>
      <c r="N33" s="21"/>
      <c r="O33" s="20"/>
      <c r="P33" s="20"/>
      <c r="Q33" s="20"/>
    </row>
    <row r="34" spans="1:17" x14ac:dyDescent="0.25">
      <c r="A34" s="14"/>
      <c r="B34" s="15">
        <v>42551</v>
      </c>
      <c r="C34" s="16">
        <v>29000</v>
      </c>
      <c r="D34" s="17" t="s">
        <v>479</v>
      </c>
      <c r="E34" s="18">
        <v>42551</v>
      </c>
      <c r="F34" s="19">
        <v>29705.29</v>
      </c>
      <c r="G34" s="20"/>
      <c r="H34" s="24">
        <v>42551</v>
      </c>
      <c r="I34" s="45">
        <v>0</v>
      </c>
      <c r="J34" s="26"/>
      <c r="K34" s="293"/>
      <c r="L34" s="368"/>
      <c r="M34" s="33">
        <v>354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369" t="s">
        <v>434</v>
      </c>
      <c r="L35" s="305">
        <v>3000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369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6925.5</v>
      </c>
    </row>
    <row r="38" spans="1:17" x14ac:dyDescent="0.25">
      <c r="B38" s="82" t="s">
        <v>16</v>
      </c>
      <c r="C38" s="83">
        <f>SUM(C5:C37)</f>
        <v>1629552.0899999999</v>
      </c>
      <c r="E38" s="287" t="s">
        <v>16</v>
      </c>
      <c r="F38" s="85">
        <f>SUM(F5:F37)</f>
        <v>1399825.7000000002</v>
      </c>
      <c r="H38" s="5" t="s">
        <v>16</v>
      </c>
      <c r="I38" s="86">
        <f>SUM(I5:I37)</f>
        <v>7300.62</v>
      </c>
      <c r="J38" s="86"/>
      <c r="K38" s="87" t="s">
        <v>16</v>
      </c>
      <c r="L38" s="88">
        <f>SUM(L5:L37)</f>
        <v>104261.95999999999</v>
      </c>
    </row>
    <row r="40" spans="1:17" ht="15.75" x14ac:dyDescent="0.25">
      <c r="A40" s="89"/>
      <c r="B40" s="90"/>
      <c r="C40" s="26"/>
      <c r="D40" s="91"/>
      <c r="E40" s="92"/>
      <c r="F40" s="67"/>
      <c r="H40" s="356" t="s">
        <v>17</v>
      </c>
      <c r="I40" s="357"/>
      <c r="J40" s="289"/>
      <c r="K40" s="358">
        <f>I38+L38</f>
        <v>111562.57999999999</v>
      </c>
      <c r="L40" s="359"/>
    </row>
    <row r="41" spans="1:17" ht="15.75" x14ac:dyDescent="0.25">
      <c r="B41" s="94"/>
      <c r="C41" s="67"/>
      <c r="D41" s="343" t="s">
        <v>18</v>
      </c>
      <c r="E41" s="343"/>
      <c r="F41" s="95">
        <f>F38-K40</f>
        <v>1288263.1200000001</v>
      </c>
      <c r="I41" s="96"/>
      <c r="J41" s="96"/>
    </row>
    <row r="42" spans="1:17" ht="15.75" x14ac:dyDescent="0.25">
      <c r="D42" s="344" t="s">
        <v>193</v>
      </c>
      <c r="E42" s="344"/>
      <c r="F42" s="95">
        <v>-1350107.49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-61844.369999999879</v>
      </c>
      <c r="I44" s="345" t="s">
        <v>22</v>
      </c>
      <c r="J44" s="346"/>
      <c r="K44" s="349">
        <f>F48+L46</f>
        <v>174557.56000000011</v>
      </c>
      <c r="L44" s="350"/>
    </row>
    <row r="45" spans="1:17" ht="15.75" thickBot="1" x14ac:dyDescent="0.3">
      <c r="D45" s="100" t="s">
        <v>23</v>
      </c>
      <c r="E45" s="89" t="s">
        <v>24</v>
      </c>
      <c r="F45" s="86">
        <v>24875.96</v>
      </c>
      <c r="I45" s="347"/>
      <c r="J45" s="348"/>
      <c r="K45" s="351"/>
      <c r="L45" s="352"/>
    </row>
    <row r="46" spans="1:17" ht="17.25" thickTop="1" thickBot="1" x14ac:dyDescent="0.3">
      <c r="C46" s="85"/>
      <c r="D46" s="353" t="s">
        <v>25</v>
      </c>
      <c r="E46" s="353"/>
      <c r="F46" s="101">
        <v>211525.97</v>
      </c>
      <c r="I46" s="354"/>
      <c r="J46" s="354"/>
      <c r="K46" s="355"/>
      <c r="L46" s="102"/>
    </row>
    <row r="47" spans="1:17" ht="19.5" thickBot="1" x14ac:dyDescent="0.35">
      <c r="C47" s="85"/>
      <c r="D47" s="287"/>
      <c r="E47" s="287"/>
      <c r="F47" s="103"/>
      <c r="H47" s="104"/>
      <c r="I47" s="288" t="s">
        <v>26</v>
      </c>
      <c r="J47" s="288"/>
      <c r="K47" s="336">
        <f>-C4</f>
        <v>-231465.08</v>
      </c>
      <c r="L47" s="337"/>
    </row>
    <row r="48" spans="1:17" ht="17.25" thickTop="1" thickBot="1" x14ac:dyDescent="0.3">
      <c r="E48" s="106" t="s">
        <v>27</v>
      </c>
      <c r="F48" s="107">
        <f>F44+F45+F46</f>
        <v>174557.56000000011</v>
      </c>
    </row>
    <row r="49" spans="2:14" ht="19.5" thickBot="1" x14ac:dyDescent="0.35">
      <c r="B49"/>
      <c r="C49"/>
      <c r="D49" s="338"/>
      <c r="E49" s="338"/>
      <c r="F49" s="67"/>
      <c r="I49" s="339" t="s">
        <v>390</v>
      </c>
      <c r="J49" s="340"/>
      <c r="K49" s="341">
        <f>K44+K47</f>
        <v>-56907.519999999873</v>
      </c>
      <c r="L49" s="342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Z63"/>
  <sheetViews>
    <sheetView topLeftCell="A13" workbookViewId="0">
      <selection activeCell="E36" sqref="E3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1.42578125" style="324"/>
    <col min="11" max="11" width="12.5703125" bestFit="1" customWidth="1"/>
    <col min="13" max="13" width="15.140625" customWidth="1"/>
    <col min="16" max="16" width="20.140625" bestFit="1" customWidth="1"/>
    <col min="17" max="17" width="12.28515625" bestFit="1" customWidth="1"/>
    <col min="20" max="20" width="12.5703125" bestFit="1" customWidth="1"/>
    <col min="22" max="22" width="15.7109375" customWidth="1"/>
    <col min="25" max="25" width="15.28515625" customWidth="1"/>
  </cols>
  <sheetData>
    <row r="1" spans="1:26" ht="23.25" thickBot="1" x14ac:dyDescent="0.35">
      <c r="B1" s="109" t="s">
        <v>375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370" t="s">
        <v>418</v>
      </c>
      <c r="K1" s="370"/>
      <c r="M1" s="146" t="s">
        <v>46</v>
      </c>
      <c r="N1" s="147"/>
      <c r="O1" s="148"/>
      <c r="P1" s="231">
        <v>42529</v>
      </c>
      <c r="Q1" s="150"/>
      <c r="V1" s="146" t="s">
        <v>46</v>
      </c>
      <c r="W1" s="147"/>
      <c r="X1" s="148"/>
      <c r="Y1" s="306">
        <v>42551</v>
      </c>
      <c r="Z1" s="150"/>
    </row>
    <row r="2" spans="1:26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  <c r="U2" s="151"/>
      <c r="V2" s="152"/>
      <c r="W2" s="151"/>
      <c r="X2" s="153"/>
      <c r="Y2" s="152"/>
      <c r="Z2" s="154"/>
    </row>
    <row r="3" spans="1:26" ht="15.75" x14ac:dyDescent="0.25">
      <c r="A3" s="115">
        <v>42523</v>
      </c>
      <c r="B3" s="123" t="s">
        <v>377</v>
      </c>
      <c r="C3" s="26">
        <v>15146.6</v>
      </c>
      <c r="D3" s="117">
        <v>42536</v>
      </c>
      <c r="E3" s="21">
        <v>15146.6</v>
      </c>
      <c r="F3" s="118">
        <f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  <c r="U3" s="155" t="s">
        <v>47</v>
      </c>
      <c r="V3" s="152" t="s">
        <v>48</v>
      </c>
      <c r="W3" s="151"/>
      <c r="X3" s="153" t="s">
        <v>49</v>
      </c>
      <c r="Y3" s="152" t="s">
        <v>50</v>
      </c>
      <c r="Z3" s="154"/>
    </row>
    <row r="4" spans="1:26" ht="15.75" x14ac:dyDescent="0.25">
      <c r="A4" s="119">
        <v>42523</v>
      </c>
      <c r="B4" s="123" t="s">
        <v>376</v>
      </c>
      <c r="C4" s="21">
        <v>31812</v>
      </c>
      <c r="D4" s="117" t="s">
        <v>420</v>
      </c>
      <c r="E4" s="21">
        <f>18219.52+13592.48</f>
        <v>31812</v>
      </c>
      <c r="F4" s="122">
        <f>C4-E4</f>
        <v>0</v>
      </c>
      <c r="K4" s="30">
        <v>63305.22</v>
      </c>
      <c r="L4" s="123" t="s">
        <v>349</v>
      </c>
      <c r="M4" s="21">
        <v>63305.22</v>
      </c>
      <c r="N4" s="156"/>
      <c r="O4" s="157">
        <v>3280937</v>
      </c>
      <c r="P4" s="158">
        <v>84591.5</v>
      </c>
      <c r="Q4" s="159">
        <v>42517</v>
      </c>
      <c r="T4" s="30">
        <v>10600</v>
      </c>
      <c r="U4" s="123" t="s">
        <v>428</v>
      </c>
      <c r="V4" s="21">
        <v>10600</v>
      </c>
      <c r="W4" s="156" t="s">
        <v>51</v>
      </c>
      <c r="X4" s="157">
        <v>3280946</v>
      </c>
      <c r="Y4" s="158">
        <v>29614</v>
      </c>
      <c r="Z4" s="159">
        <v>42542</v>
      </c>
    </row>
    <row r="5" spans="1:26" ht="15.75" x14ac:dyDescent="0.25">
      <c r="A5" s="124">
        <v>42524</v>
      </c>
      <c r="B5" s="123" t="s">
        <v>378</v>
      </c>
      <c r="C5" s="26">
        <v>50844.4</v>
      </c>
      <c r="D5" s="117">
        <v>42536</v>
      </c>
      <c r="E5" s="21">
        <v>50844.4</v>
      </c>
      <c r="F5" s="122">
        <f>C5-E5</f>
        <v>0</v>
      </c>
      <c r="K5" s="30">
        <f>21286.59+21492</f>
        <v>42778.59</v>
      </c>
      <c r="L5" s="123" t="s">
        <v>350</v>
      </c>
      <c r="M5" s="21">
        <v>42778.59</v>
      </c>
      <c r="N5" s="160"/>
      <c r="O5" s="157" t="s">
        <v>52</v>
      </c>
      <c r="P5" s="158">
        <v>65728</v>
      </c>
      <c r="Q5" s="159">
        <v>42520</v>
      </c>
      <c r="T5" s="30">
        <f>6436.32+11539</f>
        <v>17975.32</v>
      </c>
      <c r="U5" s="123" t="s">
        <v>429</v>
      </c>
      <c r="V5" s="21">
        <v>17967.419999999998</v>
      </c>
      <c r="W5" s="156" t="s">
        <v>51</v>
      </c>
      <c r="X5" s="157" t="s">
        <v>52</v>
      </c>
      <c r="Y5" s="158">
        <v>31005.5</v>
      </c>
      <c r="Z5" s="159">
        <v>42545</v>
      </c>
    </row>
    <row r="6" spans="1:26" ht="15.75" x14ac:dyDescent="0.25">
      <c r="A6" s="119">
        <v>42525</v>
      </c>
      <c r="B6" s="123" t="s">
        <v>379</v>
      </c>
      <c r="C6" s="21">
        <v>70652.460000000006</v>
      </c>
      <c r="D6" s="117" t="s">
        <v>445</v>
      </c>
      <c r="E6" s="21">
        <f>70559.13+93.33</f>
        <v>70652.460000000006</v>
      </c>
      <c r="F6" s="122">
        <f>C6-E6</f>
        <v>0</v>
      </c>
      <c r="K6" s="30">
        <f>44236+16500</f>
        <v>60736</v>
      </c>
      <c r="L6" s="123" t="s">
        <v>351</v>
      </c>
      <c r="M6" s="21">
        <v>60736</v>
      </c>
      <c r="N6" s="160"/>
      <c r="O6" s="157" t="s">
        <v>52</v>
      </c>
      <c r="P6" s="158">
        <v>33062</v>
      </c>
      <c r="Q6" s="159">
        <v>42520</v>
      </c>
      <c r="T6" s="30">
        <f>19466.5+4554.3</f>
        <v>24020.799999999999</v>
      </c>
      <c r="U6" s="123" t="s">
        <v>430</v>
      </c>
      <c r="V6" s="21">
        <v>24020.799999999999</v>
      </c>
      <c r="W6" s="160"/>
      <c r="X6" s="157" t="s">
        <v>52</v>
      </c>
      <c r="Y6" s="158">
        <v>56330</v>
      </c>
      <c r="Z6" s="159">
        <v>42546</v>
      </c>
    </row>
    <row r="7" spans="1:26" ht="15.75" x14ac:dyDescent="0.25">
      <c r="A7" s="119">
        <v>42526</v>
      </c>
      <c r="B7" s="123" t="s">
        <v>402</v>
      </c>
      <c r="C7" s="21">
        <v>32682.65</v>
      </c>
      <c r="D7" s="117">
        <v>42536</v>
      </c>
      <c r="E7" s="21">
        <v>32682.65</v>
      </c>
      <c r="F7" s="122">
        <f t="shared" ref="F7:F37" si="0">C7-E7</f>
        <v>0</v>
      </c>
      <c r="K7" s="30">
        <v>15762</v>
      </c>
      <c r="L7" s="123" t="s">
        <v>352</v>
      </c>
      <c r="M7" s="21">
        <v>15762</v>
      </c>
      <c r="N7" s="161"/>
      <c r="O7" s="157" t="s">
        <v>52</v>
      </c>
      <c r="P7" s="158">
        <v>36301.5</v>
      </c>
      <c r="Q7" s="159">
        <v>42521</v>
      </c>
      <c r="T7" s="30">
        <v>12578.3</v>
      </c>
      <c r="U7" s="123" t="s">
        <v>431</v>
      </c>
      <c r="V7" s="21">
        <v>12578.3</v>
      </c>
      <c r="W7" s="161"/>
      <c r="X7" s="157" t="s">
        <v>52</v>
      </c>
      <c r="Y7" s="158">
        <v>62600</v>
      </c>
      <c r="Z7" s="159">
        <v>42548</v>
      </c>
    </row>
    <row r="8" spans="1:26" ht="15.75" x14ac:dyDescent="0.25">
      <c r="A8" s="119">
        <v>42527</v>
      </c>
      <c r="B8" s="123" t="s">
        <v>403</v>
      </c>
      <c r="C8" s="21">
        <v>32291</v>
      </c>
      <c r="D8" s="117">
        <v>42536</v>
      </c>
      <c r="E8" s="26">
        <v>32291</v>
      </c>
      <c r="F8" s="122">
        <f t="shared" si="0"/>
        <v>0</v>
      </c>
      <c r="K8" s="30">
        <f>14800+20400+9001</f>
        <v>44201</v>
      </c>
      <c r="L8" s="123" t="s">
        <v>353</v>
      </c>
      <c r="M8" s="21">
        <v>44201.06</v>
      </c>
      <c r="N8" s="160"/>
      <c r="O8" s="157" t="s">
        <v>52</v>
      </c>
      <c r="P8" s="162">
        <v>3747</v>
      </c>
      <c r="Q8" s="163">
        <v>42516</v>
      </c>
      <c r="T8" s="30">
        <v>37776</v>
      </c>
      <c r="U8" s="123" t="s">
        <v>432</v>
      </c>
      <c r="V8" s="21">
        <v>37776</v>
      </c>
      <c r="W8" s="161"/>
      <c r="X8" s="157" t="s">
        <v>52</v>
      </c>
      <c r="Y8" s="313">
        <v>32119</v>
      </c>
      <c r="Z8" s="163">
        <v>42548</v>
      </c>
    </row>
    <row r="9" spans="1:26" ht="15.75" x14ac:dyDescent="0.25">
      <c r="A9" s="119">
        <v>42528</v>
      </c>
      <c r="B9" s="123" t="s">
        <v>404</v>
      </c>
      <c r="C9" s="21">
        <v>126376</v>
      </c>
      <c r="D9" s="117">
        <v>42536</v>
      </c>
      <c r="E9" s="26">
        <v>126376</v>
      </c>
      <c r="F9" s="122">
        <f t="shared" si="0"/>
        <v>0</v>
      </c>
      <c r="K9" s="30">
        <f>800+3747.2+6061.4+21501.4</f>
        <v>32110</v>
      </c>
      <c r="L9" s="123" t="s">
        <v>364</v>
      </c>
      <c r="M9" s="21">
        <v>32110</v>
      </c>
      <c r="N9" s="160"/>
      <c r="O9" s="157" t="s">
        <v>52</v>
      </c>
      <c r="P9" s="162">
        <v>6061.5</v>
      </c>
      <c r="Q9" s="163">
        <v>42520</v>
      </c>
      <c r="T9" s="30">
        <f>14000+27781</f>
        <v>41781</v>
      </c>
      <c r="U9" s="123" t="s">
        <v>451</v>
      </c>
      <c r="V9" s="21">
        <v>41781</v>
      </c>
      <c r="W9" s="160"/>
      <c r="X9" s="157" t="s">
        <v>52</v>
      </c>
      <c r="Y9" s="162">
        <v>2704</v>
      </c>
      <c r="Z9" s="163">
        <v>42545</v>
      </c>
    </row>
    <row r="10" spans="1:26" ht="15.75" x14ac:dyDescent="0.25">
      <c r="A10" s="119">
        <v>42530</v>
      </c>
      <c r="B10" s="123" t="s">
        <v>405</v>
      </c>
      <c r="C10" s="26">
        <v>16130.66</v>
      </c>
      <c r="D10" s="117">
        <v>42536</v>
      </c>
      <c r="E10" s="26">
        <v>16130.66</v>
      </c>
      <c r="F10" s="122">
        <f t="shared" si="0"/>
        <v>0</v>
      </c>
      <c r="K10" s="30">
        <f>20510+11600</f>
        <v>32110</v>
      </c>
      <c r="L10" s="123" t="s">
        <v>365</v>
      </c>
      <c r="M10" s="21">
        <v>32110</v>
      </c>
      <c r="N10" s="160"/>
      <c r="O10" s="157" t="s">
        <v>52</v>
      </c>
      <c r="P10" s="162">
        <v>20400</v>
      </c>
      <c r="Q10" s="163">
        <v>42522</v>
      </c>
      <c r="T10" s="30">
        <f>34819+4500</f>
        <v>39319</v>
      </c>
      <c r="U10" s="123" t="s">
        <v>440</v>
      </c>
      <c r="V10" s="21">
        <v>39319</v>
      </c>
      <c r="W10" s="160"/>
      <c r="X10" s="157" t="s">
        <v>52</v>
      </c>
      <c r="Y10" s="162">
        <v>28000</v>
      </c>
      <c r="Z10" s="163">
        <v>42549</v>
      </c>
    </row>
    <row r="11" spans="1:26" ht="15.75" x14ac:dyDescent="0.25">
      <c r="A11" s="119">
        <v>42530</v>
      </c>
      <c r="B11" s="125" t="s">
        <v>406</v>
      </c>
      <c r="C11" s="26">
        <v>1699.08</v>
      </c>
      <c r="D11" s="117">
        <v>42536</v>
      </c>
      <c r="E11" s="26">
        <v>1699.08</v>
      </c>
      <c r="F11" s="127">
        <f t="shared" si="0"/>
        <v>0</v>
      </c>
      <c r="K11" s="30">
        <v>14335.24</v>
      </c>
      <c r="L11" s="123" t="s">
        <v>366</v>
      </c>
      <c r="M11" s="21">
        <v>14335.24</v>
      </c>
      <c r="N11" s="160"/>
      <c r="O11" s="157" t="s">
        <v>52</v>
      </c>
      <c r="P11" s="162">
        <v>43846</v>
      </c>
      <c r="Q11" s="163">
        <v>42523</v>
      </c>
      <c r="T11" s="30">
        <f>7000+2704+3800+28000+3683.2+16285.38</f>
        <v>61472.579999999994</v>
      </c>
      <c r="U11" s="123" t="s">
        <v>441</v>
      </c>
      <c r="V11" s="21">
        <v>61472.18</v>
      </c>
      <c r="W11" s="160"/>
      <c r="X11" s="157" t="s">
        <v>52</v>
      </c>
      <c r="Y11" s="162">
        <v>3800</v>
      </c>
      <c r="Z11" s="163">
        <v>42548</v>
      </c>
    </row>
    <row r="12" spans="1:26" ht="15.75" x14ac:dyDescent="0.25">
      <c r="A12" s="119">
        <v>42531</v>
      </c>
      <c r="B12" s="125" t="s">
        <v>407</v>
      </c>
      <c r="C12" s="26">
        <v>133071.75</v>
      </c>
      <c r="D12" s="117">
        <v>42545</v>
      </c>
      <c r="E12" s="26">
        <v>133071.75</v>
      </c>
      <c r="F12" s="127">
        <f t="shared" si="0"/>
        <v>0</v>
      </c>
      <c r="K12" s="30">
        <f>24500+51009.76</f>
        <v>75509.760000000009</v>
      </c>
      <c r="L12" s="123" t="s">
        <v>367</v>
      </c>
      <c r="M12" s="21">
        <v>75509.759999999995</v>
      </c>
      <c r="N12" s="160"/>
      <c r="O12" s="157" t="s">
        <v>52</v>
      </c>
      <c r="P12" s="162">
        <v>36100</v>
      </c>
      <c r="Q12" s="163">
        <v>42524</v>
      </c>
      <c r="T12" s="30">
        <v>20618.89</v>
      </c>
      <c r="U12" s="123" t="s">
        <v>446</v>
      </c>
      <c r="V12" s="21">
        <v>20618.98</v>
      </c>
      <c r="W12" s="160"/>
      <c r="X12" s="157" t="s">
        <v>52</v>
      </c>
      <c r="Y12" s="162">
        <v>27629</v>
      </c>
      <c r="Z12" s="163">
        <v>42550</v>
      </c>
    </row>
    <row r="13" spans="1:26" ht="15.75" x14ac:dyDescent="0.25">
      <c r="A13" s="119">
        <v>42532</v>
      </c>
      <c r="B13" s="125" t="s">
        <v>422</v>
      </c>
      <c r="C13" s="26">
        <v>39269.5</v>
      </c>
      <c r="D13" s="117">
        <v>42545</v>
      </c>
      <c r="E13" s="26">
        <v>39269.5</v>
      </c>
      <c r="F13" s="127">
        <f t="shared" si="0"/>
        <v>0</v>
      </c>
      <c r="K13" s="30">
        <f>1000+28667</f>
        <v>29667</v>
      </c>
      <c r="L13" s="123" t="s">
        <v>368</v>
      </c>
      <c r="M13" s="21">
        <v>29667</v>
      </c>
      <c r="N13" s="160"/>
      <c r="O13" s="157">
        <v>3280940</v>
      </c>
      <c r="P13" s="162">
        <v>52010</v>
      </c>
      <c r="Q13" s="163">
        <v>42524</v>
      </c>
      <c r="T13" s="30">
        <v>1000</v>
      </c>
      <c r="U13" s="123" t="s">
        <v>447</v>
      </c>
      <c r="V13" s="26">
        <v>1006.72</v>
      </c>
      <c r="W13" s="160" t="s">
        <v>60</v>
      </c>
      <c r="X13" s="157" t="s">
        <v>52</v>
      </c>
      <c r="Y13" s="162">
        <v>3683</v>
      </c>
      <c r="Z13" s="163">
        <v>42549</v>
      </c>
    </row>
    <row r="14" spans="1:26" ht="15.75" x14ac:dyDescent="0.25">
      <c r="A14" s="119">
        <v>42533</v>
      </c>
      <c r="B14" s="125" t="s">
        <v>421</v>
      </c>
      <c r="C14" s="26">
        <v>752.4</v>
      </c>
      <c r="D14" s="117">
        <v>42545</v>
      </c>
      <c r="E14" s="26">
        <v>752.4</v>
      </c>
      <c r="F14" s="127">
        <f t="shared" si="0"/>
        <v>0</v>
      </c>
      <c r="K14" s="30">
        <v>30361.09</v>
      </c>
      <c r="L14" s="123" t="s">
        <v>369</v>
      </c>
      <c r="M14" s="21">
        <v>30351.09</v>
      </c>
      <c r="N14" s="160"/>
      <c r="O14" s="157" t="s">
        <v>52</v>
      </c>
      <c r="P14" s="162">
        <v>1917</v>
      </c>
      <c r="Q14" s="163">
        <v>42521</v>
      </c>
      <c r="T14" s="30">
        <v>10344.1</v>
      </c>
      <c r="U14" s="123" t="s">
        <v>448</v>
      </c>
      <c r="V14" s="26">
        <v>10344.1</v>
      </c>
      <c r="W14" s="160"/>
      <c r="X14" s="157" t="s">
        <v>52</v>
      </c>
      <c r="Y14" s="162"/>
      <c r="Z14" s="163"/>
    </row>
    <row r="15" spans="1:26" ht="15.75" x14ac:dyDescent="0.25">
      <c r="A15" s="124">
        <v>42534</v>
      </c>
      <c r="B15" s="123" t="s">
        <v>427</v>
      </c>
      <c r="C15" s="21">
        <v>44769.120000000003</v>
      </c>
      <c r="D15" s="117">
        <v>42545</v>
      </c>
      <c r="E15" s="26">
        <v>44769.120000000003</v>
      </c>
      <c r="F15" s="127">
        <f t="shared" si="0"/>
        <v>0</v>
      </c>
      <c r="K15" s="30">
        <f>1917+17977+23583.02</f>
        <v>43477.020000000004</v>
      </c>
      <c r="L15" s="123" t="s">
        <v>370</v>
      </c>
      <c r="M15" s="21">
        <v>43477.02</v>
      </c>
      <c r="N15" s="232"/>
      <c r="O15" s="233" t="s">
        <v>52</v>
      </c>
      <c r="P15" s="234">
        <v>77005</v>
      </c>
      <c r="Q15" s="235">
        <v>42527</v>
      </c>
      <c r="T15" s="30"/>
      <c r="U15" s="123"/>
      <c r="V15" s="26"/>
      <c r="W15" s="232"/>
      <c r="X15" s="233" t="s">
        <v>52</v>
      </c>
      <c r="Y15" s="234"/>
      <c r="Z15" s="235"/>
    </row>
    <row r="16" spans="1:26" ht="15.75" x14ac:dyDescent="0.25">
      <c r="A16" s="119">
        <v>42535</v>
      </c>
      <c r="B16" s="125" t="s">
        <v>423</v>
      </c>
      <c r="C16" s="26">
        <v>8909.6</v>
      </c>
      <c r="D16" s="117">
        <v>42545</v>
      </c>
      <c r="E16" s="21">
        <v>8909.6</v>
      </c>
      <c r="F16" s="127">
        <f t="shared" si="0"/>
        <v>0</v>
      </c>
      <c r="K16" s="3">
        <v>18210</v>
      </c>
      <c r="L16" s="123" t="s">
        <v>376</v>
      </c>
      <c r="M16" s="21">
        <v>18219.52</v>
      </c>
      <c r="N16" s="164" t="s">
        <v>91</v>
      </c>
      <c r="O16" s="157" t="s">
        <v>52</v>
      </c>
      <c r="P16" s="158">
        <v>41793</v>
      </c>
      <c r="Q16" s="159">
        <v>42527</v>
      </c>
      <c r="T16" s="3"/>
      <c r="U16" s="123"/>
      <c r="V16" s="26"/>
      <c r="W16" s="164"/>
      <c r="X16" s="157" t="s">
        <v>52</v>
      </c>
      <c r="Y16" s="158"/>
      <c r="Z16" s="159"/>
    </row>
    <row r="17" spans="1:26" ht="15.75" x14ac:dyDescent="0.25">
      <c r="A17" s="124">
        <v>42537</v>
      </c>
      <c r="B17" s="123" t="s">
        <v>424</v>
      </c>
      <c r="C17" s="21">
        <v>34572.800000000003</v>
      </c>
      <c r="D17" s="117">
        <v>42545</v>
      </c>
      <c r="E17" s="21">
        <v>34572.800000000003</v>
      </c>
      <c r="F17" s="127">
        <f t="shared" si="0"/>
        <v>0</v>
      </c>
      <c r="K17" s="3"/>
      <c r="L17" s="123"/>
      <c r="M17" s="26"/>
      <c r="N17" s="164"/>
      <c r="O17" s="157"/>
      <c r="P17" s="158">
        <v>0</v>
      </c>
      <c r="Q17" s="159"/>
      <c r="T17" s="3"/>
      <c r="U17" s="123"/>
      <c r="V17" s="26"/>
      <c r="W17" s="164"/>
      <c r="X17" s="157"/>
      <c r="Y17" s="158">
        <v>0</v>
      </c>
      <c r="Z17" s="159"/>
    </row>
    <row r="18" spans="1:26" ht="15.75" x14ac:dyDescent="0.25">
      <c r="A18" s="124">
        <v>42537</v>
      </c>
      <c r="B18" s="123" t="s">
        <v>425</v>
      </c>
      <c r="C18" s="21">
        <v>56787.7</v>
      </c>
      <c r="D18" s="117">
        <v>42545</v>
      </c>
      <c r="E18" s="21">
        <v>56787.7</v>
      </c>
      <c r="F18" s="127">
        <f t="shared" si="0"/>
        <v>0</v>
      </c>
      <c r="G18" s="268">
        <v>42522</v>
      </c>
      <c r="H18" s="20" t="s">
        <v>392</v>
      </c>
      <c r="I18" s="30">
        <v>25</v>
      </c>
      <c r="K18" s="241">
        <f>SUM(K4:K17)</f>
        <v>502562.92000000004</v>
      </c>
      <c r="L18" s="165"/>
      <c r="M18" s="166"/>
      <c r="N18" s="165"/>
      <c r="O18" s="240"/>
      <c r="P18" s="215">
        <v>0</v>
      </c>
      <c r="Q18" s="163"/>
      <c r="T18" s="241">
        <f>SUM(T4:T17)</f>
        <v>277485.98999999993</v>
      </c>
      <c r="U18" s="165"/>
      <c r="V18" s="166"/>
      <c r="W18" s="165"/>
      <c r="X18" s="240"/>
      <c r="Y18" s="215">
        <v>0</v>
      </c>
      <c r="Z18" s="163"/>
    </row>
    <row r="19" spans="1:26" ht="15.75" x14ac:dyDescent="0.25">
      <c r="A19" s="124">
        <v>42537</v>
      </c>
      <c r="B19" s="123" t="s">
        <v>426</v>
      </c>
      <c r="C19" s="21">
        <v>1269.0999999999999</v>
      </c>
      <c r="D19" s="117">
        <v>42545</v>
      </c>
      <c r="E19" s="21">
        <v>1269.0999999999999</v>
      </c>
      <c r="F19" s="127">
        <f t="shared" si="0"/>
        <v>0</v>
      </c>
      <c r="G19" s="268">
        <v>42523</v>
      </c>
      <c r="H19" s="20" t="s">
        <v>83</v>
      </c>
      <c r="I19" s="30">
        <v>701</v>
      </c>
      <c r="L19" s="196"/>
      <c r="M19" s="26">
        <f>SUM(M4:M18)</f>
        <v>502562.50000000006</v>
      </c>
      <c r="N19" s="43"/>
      <c r="O19" s="219"/>
      <c r="P19" s="220">
        <f>SUM(P4:P18)</f>
        <v>502562.5</v>
      </c>
      <c r="Q19" s="218"/>
      <c r="U19" s="196"/>
      <c r="V19" s="26">
        <f>SUM(V4:V18)</f>
        <v>277484.49999999994</v>
      </c>
      <c r="W19" s="43"/>
      <c r="X19" s="219"/>
      <c r="Y19" s="220">
        <f>SUM(Y4:Y18)</f>
        <v>277484.5</v>
      </c>
      <c r="Z19" s="218"/>
    </row>
    <row r="20" spans="1:26" x14ac:dyDescent="0.25">
      <c r="A20" s="124">
        <v>42538</v>
      </c>
      <c r="B20" s="123" t="s">
        <v>428</v>
      </c>
      <c r="C20" s="21">
        <v>35438.800000000003</v>
      </c>
      <c r="D20" s="121" t="s">
        <v>452</v>
      </c>
      <c r="E20" s="21">
        <f>24838.8+10600</f>
        <v>35438.800000000003</v>
      </c>
      <c r="F20" s="127">
        <f t="shared" si="0"/>
        <v>0</v>
      </c>
      <c r="G20" s="268">
        <v>42525</v>
      </c>
      <c r="H20" s="20" t="s">
        <v>83</v>
      </c>
      <c r="I20" s="30">
        <v>815</v>
      </c>
    </row>
    <row r="21" spans="1:26" x14ac:dyDescent="0.25">
      <c r="A21" s="124">
        <v>42539</v>
      </c>
      <c r="B21" s="123" t="s">
        <v>429</v>
      </c>
      <c r="C21" s="21">
        <v>60436.32</v>
      </c>
      <c r="D21" s="121" t="s">
        <v>452</v>
      </c>
      <c r="E21" s="21">
        <f>42468.9+17967.42</f>
        <v>60436.32</v>
      </c>
      <c r="F21" s="127">
        <f t="shared" si="0"/>
        <v>0</v>
      </c>
      <c r="G21" s="268">
        <v>42526</v>
      </c>
      <c r="H21" s="20" t="s">
        <v>82</v>
      </c>
      <c r="I21" s="30">
        <v>207.5</v>
      </c>
    </row>
    <row r="22" spans="1:26" ht="15.75" thickBot="1" x14ac:dyDescent="0.3">
      <c r="A22" s="124">
        <v>42540</v>
      </c>
      <c r="B22" s="123" t="s">
        <v>430</v>
      </c>
      <c r="C22" s="21">
        <v>24020.799999999999</v>
      </c>
      <c r="D22" s="117">
        <v>42551</v>
      </c>
      <c r="E22" s="21">
        <v>24020.799999999999</v>
      </c>
      <c r="F22" s="127">
        <f t="shared" si="0"/>
        <v>0</v>
      </c>
      <c r="G22" s="269">
        <v>42528</v>
      </c>
      <c r="H22" s="20" t="s">
        <v>83</v>
      </c>
      <c r="I22" s="30">
        <v>672</v>
      </c>
    </row>
    <row r="23" spans="1:26" ht="19.5" thickBot="1" x14ac:dyDescent="0.35">
      <c r="A23" s="124">
        <v>42540</v>
      </c>
      <c r="B23" s="123" t="s">
        <v>431</v>
      </c>
      <c r="C23" s="21">
        <v>12578.3</v>
      </c>
      <c r="D23" s="117">
        <v>42551</v>
      </c>
      <c r="E23" s="21">
        <v>12578.3</v>
      </c>
      <c r="F23" s="127">
        <f t="shared" si="0"/>
        <v>0</v>
      </c>
      <c r="G23" s="268">
        <v>42531</v>
      </c>
      <c r="H23" s="20" t="s">
        <v>120</v>
      </c>
      <c r="I23" s="30">
        <v>951</v>
      </c>
      <c r="M23" s="146" t="s">
        <v>46</v>
      </c>
      <c r="N23" s="147"/>
      <c r="O23" s="148"/>
      <c r="P23" s="195">
        <v>42536</v>
      </c>
      <c r="Q23" s="150"/>
    </row>
    <row r="24" spans="1:26" ht="15.75" x14ac:dyDescent="0.25">
      <c r="A24" s="124">
        <v>42540</v>
      </c>
      <c r="B24" s="123" t="s">
        <v>432</v>
      </c>
      <c r="C24" s="21">
        <v>37776</v>
      </c>
      <c r="D24" s="117">
        <v>42551</v>
      </c>
      <c r="E24" s="21">
        <v>37776</v>
      </c>
      <c r="F24" s="127">
        <f t="shared" si="0"/>
        <v>0</v>
      </c>
      <c r="G24" s="268">
        <v>42532</v>
      </c>
      <c r="H24" s="20" t="s">
        <v>416</v>
      </c>
      <c r="I24" s="30">
        <v>720</v>
      </c>
      <c r="L24" s="151"/>
      <c r="M24" s="152"/>
      <c r="N24" s="151"/>
      <c r="O24" s="153"/>
      <c r="P24" s="152"/>
      <c r="Q24" s="154"/>
    </row>
    <row r="25" spans="1:26" ht="15.75" x14ac:dyDescent="0.25">
      <c r="A25" s="124">
        <v>42541</v>
      </c>
      <c r="B25" s="123" t="s">
        <v>451</v>
      </c>
      <c r="C25" s="21">
        <v>41781</v>
      </c>
      <c r="D25" s="117">
        <v>42551</v>
      </c>
      <c r="E25" s="21">
        <v>41781</v>
      </c>
      <c r="F25" s="127">
        <f t="shared" si="0"/>
        <v>0</v>
      </c>
      <c r="G25" s="268">
        <v>42534</v>
      </c>
      <c r="H25" s="20" t="s">
        <v>120</v>
      </c>
      <c r="I25" s="30">
        <v>1224.5999999999999</v>
      </c>
      <c r="L25" s="155" t="s">
        <v>47</v>
      </c>
      <c r="M25" s="152" t="s">
        <v>48</v>
      </c>
      <c r="N25" s="151"/>
      <c r="O25" s="153" t="s">
        <v>49</v>
      </c>
      <c r="P25" s="152" t="s">
        <v>50</v>
      </c>
      <c r="Q25" s="154"/>
    </row>
    <row r="26" spans="1:26" ht="15.75" x14ac:dyDescent="0.25">
      <c r="A26" s="124">
        <v>42542</v>
      </c>
      <c r="B26" s="123" t="s">
        <v>440</v>
      </c>
      <c r="C26" s="21">
        <v>39319</v>
      </c>
      <c r="D26" s="117">
        <v>42551</v>
      </c>
      <c r="E26" s="21">
        <v>39319</v>
      </c>
      <c r="F26" s="127">
        <f t="shared" si="0"/>
        <v>0</v>
      </c>
      <c r="G26" s="268">
        <v>42536</v>
      </c>
      <c r="H26" s="20" t="s">
        <v>416</v>
      </c>
      <c r="I26" s="30">
        <v>480</v>
      </c>
      <c r="K26" s="30">
        <v>15146.6</v>
      </c>
      <c r="L26" s="123" t="s">
        <v>377</v>
      </c>
      <c r="M26" s="26">
        <v>15146.6</v>
      </c>
      <c r="N26" s="156"/>
      <c r="O26" s="157">
        <v>3280942</v>
      </c>
      <c r="P26" s="158">
        <v>46591</v>
      </c>
      <c r="Q26" s="159">
        <v>42527</v>
      </c>
    </row>
    <row r="27" spans="1:26" ht="15.75" x14ac:dyDescent="0.25">
      <c r="A27" s="124">
        <v>42544</v>
      </c>
      <c r="B27" s="123" t="s">
        <v>441</v>
      </c>
      <c r="C27" s="21">
        <v>61472.18</v>
      </c>
      <c r="D27" s="117">
        <v>42551</v>
      </c>
      <c r="E27" s="36">
        <v>61472.18</v>
      </c>
      <c r="F27" s="127">
        <f t="shared" si="0"/>
        <v>0</v>
      </c>
      <c r="G27" s="268">
        <v>42537</v>
      </c>
      <c r="H27" s="20" t="s">
        <v>83</v>
      </c>
      <c r="I27" s="30">
        <v>628</v>
      </c>
      <c r="K27" s="30">
        <v>13600</v>
      </c>
      <c r="L27" s="123" t="s">
        <v>376</v>
      </c>
      <c r="M27" s="21">
        <v>13592.48</v>
      </c>
      <c r="N27" s="156" t="s">
        <v>51</v>
      </c>
      <c r="O27" s="157" t="s">
        <v>52</v>
      </c>
      <c r="P27" s="158">
        <v>33000</v>
      </c>
      <c r="Q27" s="159">
        <v>42529</v>
      </c>
    </row>
    <row r="28" spans="1:26" ht="15.75" x14ac:dyDescent="0.25">
      <c r="A28" s="124">
        <v>42543</v>
      </c>
      <c r="B28" s="123" t="s">
        <v>446</v>
      </c>
      <c r="C28" s="21">
        <v>20618.98</v>
      </c>
      <c r="D28" s="191">
        <v>42551</v>
      </c>
      <c r="E28" s="36">
        <v>20618.98</v>
      </c>
      <c r="F28" s="127">
        <f t="shared" si="0"/>
        <v>0</v>
      </c>
      <c r="G28" s="268">
        <v>42539</v>
      </c>
      <c r="H28" s="20" t="s">
        <v>83</v>
      </c>
      <c r="I28" s="30">
        <v>957</v>
      </c>
      <c r="K28" s="30">
        <f>17844.4+33000</f>
        <v>50844.4</v>
      </c>
      <c r="L28" s="123" t="s">
        <v>378</v>
      </c>
      <c r="M28" s="26">
        <v>50844.4</v>
      </c>
      <c r="N28" s="160"/>
      <c r="O28" s="157" t="s">
        <v>52</v>
      </c>
      <c r="P28" s="158">
        <v>31350</v>
      </c>
      <c r="Q28" s="159">
        <v>42530</v>
      </c>
    </row>
    <row r="29" spans="1:26" ht="15.75" x14ac:dyDescent="0.25">
      <c r="A29" s="124">
        <v>42545</v>
      </c>
      <c r="B29" s="123" t="s">
        <v>447</v>
      </c>
      <c r="C29" s="26">
        <v>68813.100000000006</v>
      </c>
      <c r="D29" s="130" t="s">
        <v>500</v>
      </c>
      <c r="E29" s="131">
        <f>1006.72+67806.38</f>
        <v>68813.100000000006</v>
      </c>
      <c r="F29" s="127">
        <f t="shared" si="0"/>
        <v>0</v>
      </c>
      <c r="G29" s="268">
        <v>42539</v>
      </c>
      <c r="H29" s="20" t="s">
        <v>82</v>
      </c>
      <c r="I29" s="30">
        <v>285</v>
      </c>
      <c r="K29" s="30">
        <f>31350+37615.5+1584.92</f>
        <v>70550.42</v>
      </c>
      <c r="L29" s="123" t="s">
        <v>379</v>
      </c>
      <c r="M29" s="21">
        <v>70559.13</v>
      </c>
      <c r="N29" s="161" t="s">
        <v>419</v>
      </c>
      <c r="O29" s="157" t="s">
        <v>52</v>
      </c>
      <c r="P29" s="158">
        <v>37615.5</v>
      </c>
      <c r="Q29" s="159">
        <v>42531</v>
      </c>
    </row>
    <row r="30" spans="1:26" ht="15.75" x14ac:dyDescent="0.25">
      <c r="A30" s="132">
        <v>42546</v>
      </c>
      <c r="B30" s="123" t="s">
        <v>448</v>
      </c>
      <c r="C30" s="26">
        <v>10344.1</v>
      </c>
      <c r="D30" s="130">
        <v>42551</v>
      </c>
      <c r="E30" s="131">
        <v>10344.1</v>
      </c>
      <c r="F30" s="127">
        <f>C30-E30</f>
        <v>0</v>
      </c>
      <c r="G30" s="268">
        <v>42542</v>
      </c>
      <c r="H30" t="s">
        <v>82</v>
      </c>
      <c r="I30" s="324">
        <v>299.60000000000002</v>
      </c>
      <c r="K30" s="30">
        <v>32682.65</v>
      </c>
      <c r="L30" s="123" t="s">
        <v>402</v>
      </c>
      <c r="M30" s="21">
        <v>32682.65</v>
      </c>
      <c r="N30" s="161"/>
      <c r="O30" s="157" t="s">
        <v>52</v>
      </c>
      <c r="P30" s="162">
        <v>58267</v>
      </c>
      <c r="Q30" s="163">
        <v>42534</v>
      </c>
    </row>
    <row r="31" spans="1:26" ht="15.75" x14ac:dyDescent="0.25">
      <c r="A31" s="124">
        <v>42547</v>
      </c>
      <c r="B31" s="123" t="s">
        <v>449</v>
      </c>
      <c r="C31" s="26">
        <v>38936.06</v>
      </c>
      <c r="D31" s="130">
        <v>42566</v>
      </c>
      <c r="E31" s="131">
        <v>38936.06</v>
      </c>
      <c r="F31" s="127">
        <f>C31-E31</f>
        <v>0</v>
      </c>
      <c r="G31" s="268">
        <v>42543</v>
      </c>
      <c r="H31" t="s">
        <v>83</v>
      </c>
      <c r="I31" s="324">
        <v>851</v>
      </c>
      <c r="K31" s="30">
        <f>15891+16400</f>
        <v>32291</v>
      </c>
      <c r="L31" s="123" t="s">
        <v>403</v>
      </c>
      <c r="M31" s="21">
        <v>32291</v>
      </c>
      <c r="N31" s="160"/>
      <c r="O31" s="157" t="s">
        <v>52</v>
      </c>
      <c r="P31" s="162">
        <v>6187.5</v>
      </c>
      <c r="Q31" s="163">
        <v>42527</v>
      </c>
    </row>
    <row r="32" spans="1:26" ht="15.75" x14ac:dyDescent="0.25">
      <c r="A32" s="124">
        <v>42548</v>
      </c>
      <c r="B32" s="123" t="s">
        <v>450</v>
      </c>
      <c r="C32" s="26">
        <v>46434.77</v>
      </c>
      <c r="D32" s="130">
        <v>42566</v>
      </c>
      <c r="E32" s="131">
        <v>46434.77</v>
      </c>
      <c r="F32" s="127">
        <f>C32-E32</f>
        <v>0</v>
      </c>
      <c r="G32" s="268">
        <v>42546</v>
      </c>
      <c r="H32" t="s">
        <v>120</v>
      </c>
      <c r="I32" s="324">
        <v>2041.64</v>
      </c>
      <c r="K32" s="30">
        <f>42376+6187.1+8212+57000+12600.9</f>
        <v>126376</v>
      </c>
      <c r="L32" s="123" t="s">
        <v>404</v>
      </c>
      <c r="M32" s="21">
        <v>126376</v>
      </c>
      <c r="N32" s="160"/>
      <c r="O32" s="157" t="s">
        <v>52</v>
      </c>
      <c r="P32" s="162">
        <v>8212</v>
      </c>
      <c r="Q32" s="163">
        <v>42529</v>
      </c>
    </row>
    <row r="33" spans="1:17" ht="15.75" x14ac:dyDescent="0.25">
      <c r="A33" s="124">
        <v>42549</v>
      </c>
      <c r="B33" s="123" t="s">
        <v>453</v>
      </c>
      <c r="C33" s="26">
        <v>37715.9</v>
      </c>
      <c r="D33" s="191">
        <v>42566</v>
      </c>
      <c r="E33" s="36">
        <v>37715.9</v>
      </c>
      <c r="F33" s="127">
        <f>C33-E33</f>
        <v>0</v>
      </c>
      <c r="G33" s="268">
        <v>42550</v>
      </c>
      <c r="H33" t="s">
        <v>83</v>
      </c>
      <c r="I33" s="324">
        <v>836</v>
      </c>
      <c r="K33" s="30">
        <v>16130.66</v>
      </c>
      <c r="L33" s="123" t="s">
        <v>405</v>
      </c>
      <c r="M33" s="26">
        <v>16130.66</v>
      </c>
      <c r="N33" s="160"/>
      <c r="O33" s="157" t="s">
        <v>52</v>
      </c>
      <c r="P33" s="162">
        <v>57000</v>
      </c>
      <c r="Q33" s="163">
        <v>42534</v>
      </c>
    </row>
    <row r="34" spans="1:17" ht="15.75" x14ac:dyDescent="0.25">
      <c r="A34" s="135">
        <v>42550</v>
      </c>
      <c r="B34" s="126" t="s">
        <v>454</v>
      </c>
      <c r="C34" s="21">
        <v>66935.22</v>
      </c>
      <c r="D34" s="130">
        <v>42566</v>
      </c>
      <c r="E34" s="131">
        <v>66935.22</v>
      </c>
      <c r="F34" s="136">
        <f>C34-E34</f>
        <v>0</v>
      </c>
      <c r="G34" s="268">
        <v>42551</v>
      </c>
      <c r="H34" t="s">
        <v>82</v>
      </c>
      <c r="I34" s="324">
        <v>351</v>
      </c>
      <c r="K34" s="30">
        <v>1699.08</v>
      </c>
      <c r="L34" s="125" t="s">
        <v>406</v>
      </c>
      <c r="M34" s="26">
        <v>1699.08</v>
      </c>
      <c r="N34" s="160"/>
      <c r="O34" s="157" t="s">
        <v>52</v>
      </c>
      <c r="P34" s="162">
        <v>50667.5</v>
      </c>
      <c r="Q34" s="163">
        <v>42531</v>
      </c>
    </row>
    <row r="35" spans="1:17" ht="15.75" x14ac:dyDescent="0.25">
      <c r="A35" s="137">
        <v>42551</v>
      </c>
      <c r="B35" s="128" t="s">
        <v>455</v>
      </c>
      <c r="C35" s="26">
        <v>38404.800000000003</v>
      </c>
      <c r="D35" s="327">
        <v>42566</v>
      </c>
      <c r="E35" s="192">
        <v>38404.800000000003</v>
      </c>
      <c r="F35" s="136">
        <f t="shared" si="0"/>
        <v>0</v>
      </c>
      <c r="I35" s="324">
        <v>0</v>
      </c>
      <c r="K35" s="30"/>
      <c r="L35" s="125"/>
      <c r="M35" s="26"/>
      <c r="N35" s="160"/>
      <c r="O35" s="157">
        <v>3280940</v>
      </c>
      <c r="P35" s="162">
        <v>30431.5</v>
      </c>
      <c r="Q35" s="163">
        <v>42535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/>
      <c r="I36" s="86">
        <f>SUM(I18:I35)</f>
        <v>12045.34</v>
      </c>
      <c r="K36" s="30"/>
      <c r="L36" s="125"/>
      <c r="M36" s="26"/>
      <c r="N36" s="160"/>
      <c r="O36" s="157" t="s">
        <v>52</v>
      </c>
      <c r="P36" s="307"/>
      <c r="Q36" s="308"/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/>
      <c r="K37" s="30"/>
      <c r="L37" s="123"/>
      <c r="M37" s="21"/>
      <c r="N37" s="232"/>
      <c r="O37" s="233" t="s">
        <v>52</v>
      </c>
      <c r="P37" s="309"/>
      <c r="Q37" s="310"/>
    </row>
    <row r="38" spans="1:17" ht="16.5" thickTop="1" x14ac:dyDescent="0.25">
      <c r="B38" s="37"/>
      <c r="C38" s="21">
        <f>SUM(C3:C37)</f>
        <v>1338062.1500000001</v>
      </c>
      <c r="D38" s="145"/>
      <c r="E38" s="30">
        <f>SUM(E3:E37)</f>
        <v>1338062.1500000001</v>
      </c>
      <c r="F38" s="30">
        <f>SUM(F3:F37)</f>
        <v>0</v>
      </c>
      <c r="K38" s="3"/>
      <c r="L38" s="123"/>
      <c r="M38" s="21"/>
      <c r="N38" s="164"/>
      <c r="O38" s="157" t="s">
        <v>52</v>
      </c>
      <c r="P38" s="311"/>
      <c r="Q38" s="312"/>
    </row>
    <row r="39" spans="1:17" ht="15.75" x14ac:dyDescent="0.25">
      <c r="A39" s="20"/>
      <c r="K39" s="3"/>
      <c r="L39" s="123"/>
      <c r="M39" s="26"/>
      <c r="N39" s="164"/>
      <c r="O39" s="157"/>
      <c r="P39" s="311">
        <v>0</v>
      </c>
      <c r="Q39" s="312"/>
    </row>
    <row r="40" spans="1:17" ht="15.75" x14ac:dyDescent="0.25">
      <c r="A40" s="269"/>
      <c r="K40" s="241">
        <f>SUM(K26:K39)</f>
        <v>359320.80999999994</v>
      </c>
      <c r="L40" s="165"/>
      <c r="M40" s="166"/>
      <c r="N40" s="165"/>
      <c r="O40" s="240"/>
      <c r="P40" s="213">
        <v>0</v>
      </c>
      <c r="Q40" s="308"/>
    </row>
    <row r="41" spans="1:17" ht="15.75" x14ac:dyDescent="0.25">
      <c r="A41" s="269"/>
      <c r="L41" s="196"/>
      <c r="M41" s="26">
        <f>SUM(M26:M40)</f>
        <v>359322</v>
      </c>
      <c r="N41" s="43"/>
      <c r="O41" s="219"/>
      <c r="P41" s="220">
        <f>SUM(P26:P40)</f>
        <v>359322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306">
        <v>42545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v>100</v>
      </c>
      <c r="L48" s="123" t="s">
        <v>379</v>
      </c>
      <c r="M48" s="21">
        <v>93.33</v>
      </c>
      <c r="N48" s="156" t="s">
        <v>111</v>
      </c>
      <c r="O48" s="157" t="s">
        <v>52</v>
      </c>
      <c r="P48" s="158">
        <v>23172</v>
      </c>
      <c r="Q48" s="159">
        <v>42536</v>
      </c>
    </row>
    <row r="49" spans="1:17" ht="15.75" x14ac:dyDescent="0.25">
      <c r="A49"/>
      <c r="B49"/>
      <c r="C49"/>
      <c r="D49"/>
      <c r="E49"/>
      <c r="F49"/>
      <c r="G49"/>
      <c r="K49" s="30">
        <f>23071.75+35500+49500+6214.4+18785.6</f>
        <v>133071.75</v>
      </c>
      <c r="L49" s="125" t="s">
        <v>407</v>
      </c>
      <c r="M49" s="26">
        <v>133071.75</v>
      </c>
      <c r="N49" s="156"/>
      <c r="O49" s="157" t="s">
        <v>52</v>
      </c>
      <c r="P49" s="158">
        <v>35500</v>
      </c>
      <c r="Q49" s="159">
        <v>42537</v>
      </c>
    </row>
    <row r="50" spans="1:17" ht="15.75" x14ac:dyDescent="0.25">
      <c r="A50"/>
      <c r="B50"/>
      <c r="C50"/>
      <c r="D50"/>
      <c r="E50"/>
      <c r="F50"/>
      <c r="G50"/>
      <c r="K50" s="30">
        <v>39269.5</v>
      </c>
      <c r="L50" s="125" t="s">
        <v>422</v>
      </c>
      <c r="M50" s="26">
        <v>39269.5</v>
      </c>
      <c r="N50" s="160"/>
      <c r="O50" s="157" t="s">
        <v>52</v>
      </c>
      <c r="P50" s="158">
        <v>49500</v>
      </c>
      <c r="Q50" s="159">
        <v>42538</v>
      </c>
    </row>
    <row r="51" spans="1:17" ht="15.75" x14ac:dyDescent="0.25">
      <c r="A51"/>
      <c r="B51"/>
      <c r="C51"/>
      <c r="D51"/>
      <c r="E51"/>
      <c r="F51"/>
      <c r="G51"/>
      <c r="K51" s="30">
        <v>752.4</v>
      </c>
      <c r="L51" s="125" t="s">
        <v>421</v>
      </c>
      <c r="M51" s="26">
        <v>752.4</v>
      </c>
      <c r="N51" s="161"/>
      <c r="O51" s="157" t="s">
        <v>52</v>
      </c>
      <c r="P51" s="158">
        <v>6214</v>
      </c>
      <c r="Q51" s="159">
        <v>42536</v>
      </c>
    </row>
    <row r="52" spans="1:17" ht="15.75" x14ac:dyDescent="0.25">
      <c r="A52"/>
      <c r="B52"/>
      <c r="C52"/>
      <c r="D52"/>
      <c r="E52"/>
      <c r="F52"/>
      <c r="G52"/>
      <c r="K52" s="30">
        <f>20769.12+24000</f>
        <v>44769.119999999995</v>
      </c>
      <c r="L52" s="123" t="s">
        <v>427</v>
      </c>
      <c r="M52" s="21">
        <v>44769.120000000003</v>
      </c>
      <c r="N52" s="161"/>
      <c r="O52" s="157">
        <v>3280945</v>
      </c>
      <c r="P52" s="313">
        <v>79577</v>
      </c>
      <c r="Q52" s="163">
        <v>42538</v>
      </c>
    </row>
    <row r="53" spans="1:17" ht="15.75" x14ac:dyDescent="0.25">
      <c r="A53"/>
      <c r="B53"/>
      <c r="C53"/>
      <c r="D53"/>
      <c r="E53"/>
      <c r="F53"/>
      <c r="G53"/>
      <c r="K53" s="30">
        <v>8909.6</v>
      </c>
      <c r="L53" s="125" t="s">
        <v>423</v>
      </c>
      <c r="M53" s="26">
        <v>8909.6</v>
      </c>
      <c r="N53" s="160"/>
      <c r="O53" s="157" t="s">
        <v>52</v>
      </c>
      <c r="P53" s="162">
        <v>64751.5</v>
      </c>
      <c r="Q53" s="163">
        <v>42541</v>
      </c>
    </row>
    <row r="54" spans="1:17" ht="15.75" x14ac:dyDescent="0.25">
      <c r="A54"/>
      <c r="B54"/>
      <c r="C54"/>
      <c r="D54"/>
      <c r="E54"/>
      <c r="F54"/>
      <c r="G54"/>
      <c r="K54" s="30">
        <f>30572.8+4000</f>
        <v>34572.800000000003</v>
      </c>
      <c r="L54" s="123" t="s">
        <v>424</v>
      </c>
      <c r="M54" s="21">
        <v>34572.800000000003</v>
      </c>
      <c r="N54" s="160"/>
      <c r="O54" s="157" t="s">
        <v>52</v>
      </c>
      <c r="P54" s="162">
        <v>58400</v>
      </c>
      <c r="Q54" s="163">
        <v>42541</v>
      </c>
    </row>
    <row r="55" spans="1:17" ht="15.75" x14ac:dyDescent="0.25">
      <c r="A55"/>
      <c r="B55"/>
      <c r="C55"/>
      <c r="D55"/>
      <c r="E55"/>
      <c r="F55"/>
      <c r="G55"/>
      <c r="K55" s="30">
        <f>54400+2387.7</f>
        <v>56787.7</v>
      </c>
      <c r="L55" s="123" t="s">
        <v>425</v>
      </c>
      <c r="M55" s="21">
        <v>56787.7</v>
      </c>
      <c r="N55" s="160"/>
      <c r="O55" s="157" t="s">
        <v>52</v>
      </c>
      <c r="P55" s="162">
        <v>27227</v>
      </c>
      <c r="Q55" s="163">
        <v>42542</v>
      </c>
    </row>
    <row r="56" spans="1:17" ht="15.75" x14ac:dyDescent="0.25">
      <c r="A56"/>
      <c r="B56"/>
      <c r="C56"/>
      <c r="D56"/>
      <c r="E56"/>
      <c r="F56"/>
      <c r="G56"/>
      <c r="K56" s="30">
        <v>1269.0999999999999</v>
      </c>
      <c r="L56" s="123" t="s">
        <v>426</v>
      </c>
      <c r="M56" s="21">
        <v>1269.0999999999999</v>
      </c>
      <c r="N56" s="160"/>
      <c r="O56" s="157" t="s">
        <v>52</v>
      </c>
      <c r="P56" s="162">
        <v>39000</v>
      </c>
      <c r="Q56" s="163">
        <v>42544</v>
      </c>
    </row>
    <row r="57" spans="1:17" ht="15.75" x14ac:dyDescent="0.25">
      <c r="A57"/>
      <c r="B57"/>
      <c r="C57"/>
      <c r="D57"/>
      <c r="E57"/>
      <c r="F57"/>
      <c r="G57"/>
      <c r="K57" s="30">
        <v>24838.799999999999</v>
      </c>
      <c r="L57" s="123" t="s">
        <v>428</v>
      </c>
      <c r="M57" s="21">
        <v>24838.799999999999</v>
      </c>
      <c r="N57" s="160" t="s">
        <v>91</v>
      </c>
      <c r="O57" s="157" t="s">
        <v>52</v>
      </c>
      <c r="P57" s="162">
        <v>3461.5</v>
      </c>
      <c r="Q57" s="163">
        <v>42541</v>
      </c>
    </row>
    <row r="58" spans="1:17" ht="15.75" x14ac:dyDescent="0.25">
      <c r="A58"/>
      <c r="B58"/>
      <c r="C58"/>
      <c r="D58"/>
      <c r="E58"/>
      <c r="F58"/>
      <c r="G58"/>
      <c r="K58" s="30">
        <f>39000+3461.25</f>
        <v>42461.25</v>
      </c>
      <c r="L58" s="123" t="s">
        <v>429</v>
      </c>
      <c r="M58" s="21">
        <v>42468.9</v>
      </c>
      <c r="N58" s="160" t="s">
        <v>91</v>
      </c>
      <c r="O58" s="157" t="s">
        <v>52</v>
      </c>
      <c r="P58" s="162"/>
      <c r="Q58" s="163"/>
    </row>
    <row r="59" spans="1:17" ht="15.75" x14ac:dyDescent="0.25">
      <c r="A59"/>
      <c r="B59"/>
      <c r="C59"/>
      <c r="D59"/>
      <c r="E59"/>
      <c r="F59"/>
      <c r="G59"/>
      <c r="K59" s="30"/>
      <c r="L59" s="123"/>
      <c r="M59" s="21"/>
      <c r="N59" s="232"/>
      <c r="O59" s="233" t="s">
        <v>52</v>
      </c>
      <c r="P59" s="234"/>
      <c r="Q59" s="235"/>
    </row>
    <row r="60" spans="1:17" ht="15.75" x14ac:dyDescent="0.25">
      <c r="A60"/>
      <c r="B60"/>
      <c r="C60"/>
      <c r="D60"/>
      <c r="E60"/>
      <c r="F60"/>
      <c r="G60"/>
      <c r="K60" s="3"/>
      <c r="L60" s="123"/>
      <c r="M60" s="21"/>
      <c r="N60" s="164"/>
      <c r="O60" s="157" t="s">
        <v>52</v>
      </c>
      <c r="P60" s="158"/>
      <c r="Q60" s="159"/>
    </row>
    <row r="61" spans="1:17" ht="15.75" x14ac:dyDescent="0.25">
      <c r="A61"/>
      <c r="B61"/>
      <c r="C61"/>
      <c r="D61"/>
      <c r="E61"/>
      <c r="F61"/>
      <c r="G61"/>
      <c r="K61" s="3"/>
      <c r="L61" s="123"/>
      <c r="M61" s="26"/>
      <c r="N61" s="164"/>
      <c r="O61" s="157"/>
      <c r="P61" s="158">
        <v>0</v>
      </c>
      <c r="Q61" s="159"/>
    </row>
    <row r="62" spans="1:17" ht="15.75" x14ac:dyDescent="0.25">
      <c r="A62"/>
      <c r="B62"/>
      <c r="C62"/>
      <c r="D62"/>
      <c r="E62"/>
      <c r="F62"/>
      <c r="G62"/>
      <c r="K62" s="241">
        <f>SUM(K48:K61)</f>
        <v>386802.01999999996</v>
      </c>
      <c r="L62" s="165"/>
      <c r="M62" s="166"/>
      <c r="N62" s="165"/>
      <c r="O62" s="240"/>
      <c r="P62" s="215">
        <v>0</v>
      </c>
      <c r="Q62" s="163"/>
    </row>
    <row r="63" spans="1:17" ht="15.75" x14ac:dyDescent="0.25">
      <c r="A63"/>
      <c r="B63"/>
      <c r="C63"/>
      <c r="D63"/>
      <c r="E63"/>
      <c r="F63"/>
      <c r="G63"/>
      <c r="L63" s="196"/>
      <c r="M63" s="26">
        <f>SUM(M48:M62)</f>
        <v>386803</v>
      </c>
      <c r="N63" s="43"/>
      <c r="O63" s="219"/>
      <c r="P63" s="220">
        <f>SUM(P48:P62)</f>
        <v>386803</v>
      </c>
      <c r="Q63" s="218"/>
    </row>
  </sheetData>
  <mergeCells count="1">
    <mergeCell ref="J1:K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22" workbookViewId="0">
      <selection activeCell="M34" sqref="M3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60" t="s">
        <v>483</v>
      </c>
      <c r="D1" s="360"/>
      <c r="E1" s="360"/>
      <c r="F1" s="360"/>
      <c r="G1" s="360"/>
      <c r="H1" s="360"/>
      <c r="I1" s="360"/>
      <c r="J1" s="360"/>
      <c r="K1" s="360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211525.97</v>
      </c>
      <c r="D4" s="12"/>
      <c r="E4" s="361" t="s">
        <v>3</v>
      </c>
      <c r="F4" s="362"/>
      <c r="I4" s="363" t="s">
        <v>4</v>
      </c>
      <c r="J4" s="364"/>
      <c r="K4" s="364"/>
      <c r="L4" s="364"/>
      <c r="M4" s="13" t="s">
        <v>5</v>
      </c>
    </row>
    <row r="5" spans="1:19" ht="15.75" thickTop="1" x14ac:dyDescent="0.25">
      <c r="A5" s="14"/>
      <c r="B5" s="15">
        <v>42552</v>
      </c>
      <c r="C5" s="16">
        <v>55325</v>
      </c>
      <c r="D5" s="17" t="s">
        <v>484</v>
      </c>
      <c r="E5" s="18">
        <v>42552</v>
      </c>
      <c r="F5" s="19">
        <v>50653.7</v>
      </c>
      <c r="G5" s="20"/>
      <c r="H5" s="186">
        <v>42552</v>
      </c>
      <c r="I5" s="187">
        <v>820</v>
      </c>
      <c r="J5" s="176"/>
      <c r="K5" s="188"/>
      <c r="L5" s="189"/>
      <c r="M5" s="190">
        <v>71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42553</v>
      </c>
      <c r="C6" s="16">
        <v>68719.899999999994</v>
      </c>
      <c r="D6" s="22" t="s">
        <v>485</v>
      </c>
      <c r="E6" s="18">
        <v>42553</v>
      </c>
      <c r="F6" s="19">
        <v>67483.86</v>
      </c>
      <c r="G6" s="23"/>
      <c r="H6" s="24">
        <v>42553</v>
      </c>
      <c r="I6" s="25">
        <v>169.4</v>
      </c>
      <c r="J6" s="26"/>
      <c r="K6" s="27" t="s">
        <v>7</v>
      </c>
      <c r="L6" s="28">
        <v>538</v>
      </c>
      <c r="M6" s="33">
        <v>256</v>
      </c>
      <c r="N6" s="30"/>
      <c r="O6" s="20"/>
      <c r="P6" s="20"/>
      <c r="Q6" s="20"/>
    </row>
    <row r="7" spans="1:19" x14ac:dyDescent="0.25">
      <c r="A7" s="14"/>
      <c r="B7" s="15">
        <v>42554</v>
      </c>
      <c r="C7" s="16">
        <v>49370</v>
      </c>
      <c r="D7" s="17" t="s">
        <v>486</v>
      </c>
      <c r="E7" s="18">
        <v>42554</v>
      </c>
      <c r="F7" s="19">
        <v>48483.25</v>
      </c>
      <c r="G7" s="20"/>
      <c r="H7" s="24">
        <v>42554</v>
      </c>
      <c r="I7" s="25">
        <v>400</v>
      </c>
      <c r="J7" s="26"/>
      <c r="K7" s="31" t="s">
        <v>8</v>
      </c>
      <c r="L7" s="28">
        <v>0</v>
      </c>
      <c r="M7" s="33">
        <v>205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42555</v>
      </c>
      <c r="C8" s="16">
        <v>28000</v>
      </c>
      <c r="D8" s="17" t="s">
        <v>487</v>
      </c>
      <c r="E8" s="18">
        <v>42555</v>
      </c>
      <c r="F8" s="19">
        <v>28287.48</v>
      </c>
      <c r="G8" s="20"/>
      <c r="H8" s="24">
        <v>42555</v>
      </c>
      <c r="I8" s="25">
        <v>0</v>
      </c>
      <c r="J8" s="26"/>
      <c r="K8" s="27" t="s">
        <v>10</v>
      </c>
      <c r="L8" s="32">
        <v>28750</v>
      </c>
      <c r="M8" s="33">
        <v>587.5</v>
      </c>
      <c r="N8" s="21"/>
      <c r="O8" s="20"/>
      <c r="P8" s="20"/>
      <c r="Q8" s="20"/>
    </row>
    <row r="9" spans="1:19" x14ac:dyDescent="0.25">
      <c r="A9" s="14"/>
      <c r="B9" s="15">
        <v>42556</v>
      </c>
      <c r="C9" s="16">
        <v>16000</v>
      </c>
      <c r="D9" s="17" t="s">
        <v>488</v>
      </c>
      <c r="E9" s="18">
        <v>42556</v>
      </c>
      <c r="F9" s="19">
        <v>26295.78</v>
      </c>
      <c r="G9" s="20"/>
      <c r="H9" s="24">
        <v>42556</v>
      </c>
      <c r="I9" s="25">
        <v>450</v>
      </c>
      <c r="J9" s="35"/>
      <c r="K9" s="27" t="s">
        <v>400</v>
      </c>
      <c r="L9" s="19">
        <v>11150</v>
      </c>
      <c r="M9" s="33">
        <v>369</v>
      </c>
      <c r="N9" s="21"/>
      <c r="O9" s="37"/>
      <c r="P9" s="20"/>
      <c r="Q9" s="20"/>
    </row>
    <row r="10" spans="1:19" x14ac:dyDescent="0.25">
      <c r="A10" s="14"/>
      <c r="B10" s="15">
        <v>42557</v>
      </c>
      <c r="C10" s="16">
        <v>29259.82</v>
      </c>
      <c r="D10" s="22" t="s">
        <v>491</v>
      </c>
      <c r="E10" s="18">
        <v>42557</v>
      </c>
      <c r="F10" s="19">
        <v>33288.879999999997</v>
      </c>
      <c r="G10" s="20"/>
      <c r="H10" s="24">
        <v>42557</v>
      </c>
      <c r="I10" s="25">
        <v>785.84</v>
      </c>
      <c r="J10" s="35"/>
      <c r="K10" s="27" t="s">
        <v>480</v>
      </c>
      <c r="L10" s="19">
        <v>11150</v>
      </c>
      <c r="M10" s="33">
        <v>93</v>
      </c>
      <c r="N10" s="21"/>
      <c r="O10" s="20"/>
      <c r="P10" s="20"/>
      <c r="Q10" s="20"/>
    </row>
    <row r="11" spans="1:19" x14ac:dyDescent="0.25">
      <c r="A11" s="14"/>
      <c r="B11" s="15">
        <v>42558</v>
      </c>
      <c r="C11" s="16">
        <v>36724</v>
      </c>
      <c r="D11" s="34" t="s">
        <v>492</v>
      </c>
      <c r="E11" s="18">
        <v>42558</v>
      </c>
      <c r="F11" s="19">
        <v>37201.11</v>
      </c>
      <c r="G11" s="20"/>
      <c r="H11" s="24">
        <v>42558</v>
      </c>
      <c r="I11" s="25">
        <v>100</v>
      </c>
      <c r="J11" s="35"/>
      <c r="K11" s="27" t="s">
        <v>481</v>
      </c>
      <c r="L11" s="19">
        <v>11150</v>
      </c>
      <c r="M11" s="33">
        <v>377</v>
      </c>
      <c r="N11" s="36"/>
      <c r="O11" s="20"/>
      <c r="P11" s="20"/>
      <c r="Q11" s="20"/>
    </row>
    <row r="12" spans="1:19" x14ac:dyDescent="0.25">
      <c r="A12" s="14"/>
      <c r="B12" s="15">
        <v>42559</v>
      </c>
      <c r="C12" s="16">
        <v>60929</v>
      </c>
      <c r="D12" s="17" t="s">
        <v>493</v>
      </c>
      <c r="E12" s="18">
        <v>42559</v>
      </c>
      <c r="F12" s="19">
        <v>61233.25</v>
      </c>
      <c r="G12" s="20"/>
      <c r="H12" s="24">
        <v>42559</v>
      </c>
      <c r="I12" s="25">
        <v>0</v>
      </c>
      <c r="J12" s="35"/>
      <c r="K12" s="27" t="s">
        <v>482</v>
      </c>
      <c r="L12" s="19">
        <v>11150</v>
      </c>
      <c r="M12" s="33">
        <v>304</v>
      </c>
      <c r="N12" s="21"/>
      <c r="O12" s="37"/>
      <c r="P12" s="38"/>
      <c r="Q12" s="20"/>
    </row>
    <row r="13" spans="1:19" x14ac:dyDescent="0.25">
      <c r="A13" s="14"/>
      <c r="B13" s="15">
        <v>42560</v>
      </c>
      <c r="C13" s="16">
        <v>58063.67</v>
      </c>
      <c r="D13" s="34" t="s">
        <v>494</v>
      </c>
      <c r="E13" s="18">
        <v>42560</v>
      </c>
      <c r="F13" s="19">
        <v>59011.47</v>
      </c>
      <c r="G13" s="20"/>
      <c r="H13" s="24">
        <v>42560</v>
      </c>
      <c r="I13" s="25">
        <v>400</v>
      </c>
      <c r="J13" s="35"/>
      <c r="K13" s="27" t="s">
        <v>316</v>
      </c>
      <c r="L13" s="19">
        <v>0</v>
      </c>
      <c r="M13" s="33">
        <v>548</v>
      </c>
      <c r="N13" s="21"/>
      <c r="O13" s="20"/>
      <c r="P13" s="20"/>
      <c r="Q13" s="20"/>
    </row>
    <row r="14" spans="1:19" x14ac:dyDescent="0.25">
      <c r="A14" s="14"/>
      <c r="B14" s="15">
        <v>42561</v>
      </c>
      <c r="C14" s="16">
        <v>34572.5</v>
      </c>
      <c r="D14" s="17" t="s">
        <v>495</v>
      </c>
      <c r="E14" s="18">
        <v>42561</v>
      </c>
      <c r="F14" s="19">
        <v>41622.480000000003</v>
      </c>
      <c r="G14" s="20"/>
      <c r="H14" s="24">
        <v>42561</v>
      </c>
      <c r="I14" s="25">
        <v>0</v>
      </c>
      <c r="J14" s="35"/>
      <c r="K14" s="40" t="s">
        <v>264</v>
      </c>
      <c r="L14" s="19">
        <v>0</v>
      </c>
      <c r="M14" s="33">
        <v>0</v>
      </c>
      <c r="N14" s="21"/>
      <c r="O14" s="20"/>
      <c r="P14" s="20"/>
      <c r="Q14" s="20"/>
    </row>
    <row r="15" spans="1:19" ht="15.75" x14ac:dyDescent="0.25">
      <c r="A15" s="14"/>
      <c r="B15" s="15">
        <v>42562</v>
      </c>
      <c r="C15" s="16">
        <v>39639.94</v>
      </c>
      <c r="D15" s="17" t="s">
        <v>496</v>
      </c>
      <c r="E15" s="18">
        <v>42562</v>
      </c>
      <c r="F15" s="19">
        <v>38843.910000000003</v>
      </c>
      <c r="G15" s="20"/>
      <c r="H15" s="24">
        <v>42562</v>
      </c>
      <c r="I15" s="25">
        <v>184</v>
      </c>
      <c r="J15" s="35"/>
      <c r="K15" s="226" t="s">
        <v>11</v>
      </c>
      <c r="L15" s="19">
        <v>9512</v>
      </c>
      <c r="M15" s="33">
        <v>143</v>
      </c>
      <c r="N15" s="30"/>
      <c r="O15" s="20"/>
      <c r="P15" s="20"/>
      <c r="Q15" s="20"/>
    </row>
    <row r="16" spans="1:19" ht="15.75" x14ac:dyDescent="0.25">
      <c r="A16" s="14"/>
      <c r="B16" s="15">
        <v>42563</v>
      </c>
      <c r="C16" s="16">
        <v>34500</v>
      </c>
      <c r="D16" s="17" t="s">
        <v>497</v>
      </c>
      <c r="E16" s="18">
        <v>42563</v>
      </c>
      <c r="F16" s="19">
        <v>34733.18</v>
      </c>
      <c r="G16" s="20"/>
      <c r="H16" s="24">
        <v>42563</v>
      </c>
      <c r="I16" s="25">
        <v>105.3</v>
      </c>
      <c r="J16" s="35"/>
      <c r="K16" s="326">
        <v>42556</v>
      </c>
      <c r="L16" s="42">
        <v>0</v>
      </c>
      <c r="M16" s="33">
        <v>128</v>
      </c>
      <c r="N16" s="30"/>
      <c r="O16" s="20"/>
      <c r="P16" s="20"/>
      <c r="Q16" s="20"/>
    </row>
    <row r="17" spans="1:18" x14ac:dyDescent="0.25">
      <c r="A17" s="14"/>
      <c r="B17" s="15">
        <v>42564</v>
      </c>
      <c r="C17" s="16">
        <v>47660.44</v>
      </c>
      <c r="D17" s="17" t="s">
        <v>498</v>
      </c>
      <c r="E17" s="18">
        <v>42564</v>
      </c>
      <c r="F17" s="19">
        <v>48658.37</v>
      </c>
      <c r="G17" s="20"/>
      <c r="H17" s="24">
        <v>42564</v>
      </c>
      <c r="I17" s="25">
        <v>200</v>
      </c>
      <c r="J17" s="35"/>
      <c r="K17" s="265" t="s">
        <v>335</v>
      </c>
      <c r="L17" s="19">
        <v>0</v>
      </c>
      <c r="M17" s="33">
        <v>798</v>
      </c>
      <c r="N17" s="30"/>
      <c r="O17" s="20"/>
      <c r="P17" s="20"/>
      <c r="Q17" s="20"/>
    </row>
    <row r="18" spans="1:18" x14ac:dyDescent="0.25">
      <c r="A18" s="14"/>
      <c r="B18" s="15">
        <v>42565</v>
      </c>
      <c r="C18" s="16">
        <v>53803.199999999997</v>
      </c>
      <c r="D18" s="17" t="s">
        <v>506</v>
      </c>
      <c r="E18" s="18">
        <v>42565</v>
      </c>
      <c r="F18" s="19">
        <v>54361.2</v>
      </c>
      <c r="G18" s="20"/>
      <c r="H18" s="24">
        <v>42565</v>
      </c>
      <c r="I18" s="25">
        <v>0</v>
      </c>
      <c r="J18" s="35"/>
      <c r="K18" s="283"/>
      <c r="L18" s="19">
        <v>0</v>
      </c>
      <c r="M18" s="33">
        <v>558</v>
      </c>
      <c r="N18" s="21"/>
      <c r="O18" s="37"/>
      <c r="P18" s="20"/>
      <c r="Q18" s="20"/>
    </row>
    <row r="19" spans="1:18" x14ac:dyDescent="0.25">
      <c r="A19" s="14"/>
      <c r="B19" s="15">
        <v>42566</v>
      </c>
      <c r="C19" s="16">
        <v>57497.48</v>
      </c>
      <c r="D19" s="34" t="s">
        <v>508</v>
      </c>
      <c r="E19" s="18">
        <v>42566</v>
      </c>
      <c r="F19" s="19">
        <v>59585.19</v>
      </c>
      <c r="G19" s="20"/>
      <c r="H19" s="24">
        <v>42566</v>
      </c>
      <c r="I19" s="25">
        <v>0</v>
      </c>
      <c r="J19" s="35"/>
      <c r="K19" s="43"/>
      <c r="L19" s="44">
        <v>0</v>
      </c>
      <c r="M19" s="33">
        <v>88</v>
      </c>
      <c r="N19" s="21"/>
      <c r="O19" s="20"/>
      <c r="P19" s="20"/>
      <c r="Q19" s="20"/>
    </row>
    <row r="20" spans="1:18" x14ac:dyDescent="0.25">
      <c r="A20" s="14"/>
      <c r="B20" s="15">
        <v>42567</v>
      </c>
      <c r="C20" s="16">
        <v>79544</v>
      </c>
      <c r="D20" s="22" t="s">
        <v>509</v>
      </c>
      <c r="E20" s="18">
        <v>42567</v>
      </c>
      <c r="F20" s="19">
        <v>80289.320000000007</v>
      </c>
      <c r="G20" s="20"/>
      <c r="H20" s="24">
        <v>42567</v>
      </c>
      <c r="I20" s="45">
        <v>485</v>
      </c>
      <c r="J20" s="35"/>
      <c r="K20" s="46" t="s">
        <v>14</v>
      </c>
      <c r="L20" s="42">
        <v>0</v>
      </c>
      <c r="M20" s="33">
        <v>260</v>
      </c>
      <c r="N20" s="21"/>
      <c r="O20" s="20"/>
      <c r="P20" s="20"/>
      <c r="Q20" s="20"/>
    </row>
    <row r="21" spans="1:18" x14ac:dyDescent="0.25">
      <c r="A21" s="14"/>
      <c r="B21" s="15">
        <v>42568</v>
      </c>
      <c r="C21" s="16">
        <v>37253.199999999997</v>
      </c>
      <c r="D21" s="17" t="s">
        <v>510</v>
      </c>
      <c r="E21" s="18">
        <v>42568</v>
      </c>
      <c r="F21" s="19">
        <v>45031.38</v>
      </c>
      <c r="G21" s="20"/>
      <c r="H21" s="24">
        <v>42568</v>
      </c>
      <c r="I21" s="45">
        <v>300</v>
      </c>
      <c r="J21" s="35"/>
      <c r="K21" s="47" t="s">
        <v>15</v>
      </c>
      <c r="L21" s="42">
        <v>0</v>
      </c>
      <c r="M21" s="33">
        <v>428</v>
      </c>
      <c r="N21" s="21"/>
      <c r="O21" s="37"/>
      <c r="P21" s="37"/>
      <c r="Q21" s="37"/>
      <c r="R21" s="37"/>
    </row>
    <row r="22" spans="1:18" x14ac:dyDescent="0.25">
      <c r="A22" s="14"/>
      <c r="B22" s="15">
        <v>42569</v>
      </c>
      <c r="C22" s="16">
        <v>23710</v>
      </c>
      <c r="D22" s="17" t="s">
        <v>511</v>
      </c>
      <c r="E22" s="18">
        <v>42569</v>
      </c>
      <c r="F22" s="19">
        <v>23794.639999999999</v>
      </c>
      <c r="G22" s="20"/>
      <c r="H22" s="24">
        <v>42569</v>
      </c>
      <c r="I22" s="45">
        <v>0</v>
      </c>
      <c r="J22" s="48"/>
      <c r="K22" s="49" t="s">
        <v>29</v>
      </c>
      <c r="L22" s="42">
        <v>0</v>
      </c>
      <c r="M22" s="33">
        <v>84.5</v>
      </c>
      <c r="N22" s="30"/>
      <c r="O22" s="20"/>
      <c r="P22" s="20"/>
      <c r="Q22" s="20"/>
    </row>
    <row r="23" spans="1:18" x14ac:dyDescent="0.25">
      <c r="A23" s="14"/>
      <c r="B23" s="15">
        <v>42570</v>
      </c>
      <c r="C23" s="16">
        <v>36500</v>
      </c>
      <c r="D23" s="259" t="s">
        <v>512</v>
      </c>
      <c r="E23" s="18">
        <v>42570</v>
      </c>
      <c r="F23" s="19">
        <v>36687.43</v>
      </c>
      <c r="G23" s="20"/>
      <c r="H23" s="24">
        <v>42570</v>
      </c>
      <c r="I23" s="45">
        <v>0</v>
      </c>
      <c r="J23" s="26"/>
      <c r="K23" s="50"/>
      <c r="L23" s="42">
        <v>0</v>
      </c>
      <c r="M23" s="33">
        <v>187.5</v>
      </c>
      <c r="N23" s="30"/>
      <c r="O23" s="20"/>
      <c r="P23" s="20"/>
      <c r="Q23" s="20"/>
    </row>
    <row r="24" spans="1:18" x14ac:dyDescent="0.25">
      <c r="A24" s="14"/>
      <c r="B24" s="15">
        <v>42571</v>
      </c>
      <c r="C24" s="16">
        <v>45174.2</v>
      </c>
      <c r="D24" s="17" t="s">
        <v>513</v>
      </c>
      <c r="E24" s="18">
        <v>42571</v>
      </c>
      <c r="F24" s="19">
        <v>45885.599999999999</v>
      </c>
      <c r="G24" s="20"/>
      <c r="H24" s="24">
        <v>42571</v>
      </c>
      <c r="I24" s="45">
        <v>638.98</v>
      </c>
      <c r="J24" s="35"/>
      <c r="K24" s="51" t="s">
        <v>270</v>
      </c>
      <c r="L24" s="42">
        <v>0</v>
      </c>
      <c r="M24" s="33">
        <v>72.5</v>
      </c>
      <c r="N24" s="30"/>
      <c r="O24" s="20"/>
      <c r="P24" s="20"/>
      <c r="Q24" s="20"/>
    </row>
    <row r="25" spans="1:18" x14ac:dyDescent="0.25">
      <c r="A25" s="14"/>
      <c r="B25" s="15">
        <v>42572</v>
      </c>
      <c r="C25" s="16">
        <v>27435.200000000001</v>
      </c>
      <c r="D25" s="259" t="s">
        <v>525</v>
      </c>
      <c r="E25" s="18">
        <v>42572</v>
      </c>
      <c r="F25" s="19">
        <v>27535.360000000001</v>
      </c>
      <c r="G25" s="20"/>
      <c r="H25" s="24">
        <v>42572</v>
      </c>
      <c r="I25" s="45">
        <v>100</v>
      </c>
      <c r="J25" s="26"/>
      <c r="K25" s="50"/>
      <c r="L25" s="42">
        <v>0</v>
      </c>
      <c r="M25" s="33">
        <v>0</v>
      </c>
      <c r="N25" s="21"/>
      <c r="O25" s="20"/>
      <c r="P25" s="20"/>
      <c r="Q25" s="20"/>
    </row>
    <row r="26" spans="1:18" x14ac:dyDescent="0.25">
      <c r="A26" s="14"/>
      <c r="B26" s="15">
        <v>42573</v>
      </c>
      <c r="C26" s="16">
        <v>44738.5</v>
      </c>
      <c r="D26" s="17" t="s">
        <v>526</v>
      </c>
      <c r="E26" s="18">
        <v>42573</v>
      </c>
      <c r="F26" s="19">
        <v>44906.27</v>
      </c>
      <c r="G26" s="20"/>
      <c r="H26" s="24">
        <v>42573</v>
      </c>
      <c r="I26" s="45">
        <v>117</v>
      </c>
      <c r="J26" s="52"/>
      <c r="K26" s="50"/>
      <c r="L26" s="42">
        <v>0</v>
      </c>
      <c r="M26" s="33">
        <v>51</v>
      </c>
      <c r="N26" s="21"/>
      <c r="O26" s="37"/>
      <c r="P26" s="38"/>
      <c r="Q26" s="20"/>
    </row>
    <row r="27" spans="1:18" x14ac:dyDescent="0.25">
      <c r="A27" s="14"/>
      <c r="B27" s="15">
        <v>42574</v>
      </c>
      <c r="C27" s="16">
        <v>52300</v>
      </c>
      <c r="D27" s="17" t="s">
        <v>527</v>
      </c>
      <c r="E27" s="18">
        <v>42574</v>
      </c>
      <c r="F27" s="19">
        <v>52696.09</v>
      </c>
      <c r="G27" s="20"/>
      <c r="H27" s="24">
        <v>42574</v>
      </c>
      <c r="I27" s="45">
        <v>197.5</v>
      </c>
      <c r="J27" s="26"/>
      <c r="K27" s="53" t="s">
        <v>490</v>
      </c>
      <c r="L27" s="42">
        <v>2500</v>
      </c>
      <c r="M27" s="33">
        <v>198.5</v>
      </c>
      <c r="N27" s="21"/>
      <c r="O27" s="20"/>
      <c r="P27" s="20"/>
      <c r="Q27" s="20"/>
    </row>
    <row r="28" spans="1:18" x14ac:dyDescent="0.25">
      <c r="A28" s="14"/>
      <c r="B28" s="15">
        <v>42575</v>
      </c>
      <c r="C28" s="16">
        <v>35000</v>
      </c>
      <c r="D28" s="17" t="s">
        <v>528</v>
      </c>
      <c r="E28" s="18">
        <v>42575</v>
      </c>
      <c r="F28" s="19">
        <v>42725.34</v>
      </c>
      <c r="G28" s="20"/>
      <c r="H28" s="24">
        <v>42575</v>
      </c>
      <c r="I28" s="45">
        <v>400</v>
      </c>
      <c r="J28" s="26"/>
      <c r="K28" s="298" t="s">
        <v>507</v>
      </c>
      <c r="L28" s="42">
        <v>2000</v>
      </c>
      <c r="M28" s="33">
        <v>275</v>
      </c>
      <c r="N28" s="30"/>
      <c r="O28" s="20"/>
      <c r="P28" s="20"/>
      <c r="Q28" s="20"/>
    </row>
    <row r="29" spans="1:18" x14ac:dyDescent="0.25">
      <c r="A29" s="14"/>
      <c r="B29" s="15">
        <v>42576</v>
      </c>
      <c r="C29" s="16">
        <v>34618.6</v>
      </c>
      <c r="D29" s="17" t="s">
        <v>529</v>
      </c>
      <c r="E29" s="18">
        <v>42576</v>
      </c>
      <c r="F29" s="19">
        <v>34676.25</v>
      </c>
      <c r="G29" s="20"/>
      <c r="H29" s="24">
        <v>42576</v>
      </c>
      <c r="I29" s="45">
        <v>0</v>
      </c>
      <c r="J29" s="26"/>
      <c r="K29" s="55" t="s">
        <v>372</v>
      </c>
      <c r="L29" s="56">
        <v>0</v>
      </c>
      <c r="M29" s="33">
        <v>57.5</v>
      </c>
      <c r="N29" s="30"/>
      <c r="O29" s="20"/>
      <c r="P29" s="20"/>
      <c r="Q29" s="20"/>
    </row>
    <row r="30" spans="1:18" ht="15.75" thickBot="1" x14ac:dyDescent="0.3">
      <c r="A30" s="14"/>
      <c r="B30" s="15">
        <v>42577</v>
      </c>
      <c r="C30" s="16">
        <v>26236</v>
      </c>
      <c r="D30" s="17" t="s">
        <v>530</v>
      </c>
      <c r="E30" s="18">
        <v>42577</v>
      </c>
      <c r="F30" s="19">
        <v>26849.85</v>
      </c>
      <c r="G30" s="20"/>
      <c r="H30" s="24">
        <v>42577</v>
      </c>
      <c r="I30" s="45">
        <v>100</v>
      </c>
      <c r="J30" s="52"/>
      <c r="K30" s="54" t="s">
        <v>373</v>
      </c>
      <c r="L30" s="56">
        <v>0</v>
      </c>
      <c r="M30" s="33">
        <v>514</v>
      </c>
      <c r="N30" s="30"/>
      <c r="O30" s="20"/>
      <c r="P30" s="20"/>
      <c r="Q30" s="20"/>
    </row>
    <row r="31" spans="1:18" x14ac:dyDescent="0.25">
      <c r="A31" s="14"/>
      <c r="B31" s="15">
        <v>42578</v>
      </c>
      <c r="C31" s="16">
        <v>36709.599999999999</v>
      </c>
      <c r="D31" s="17" t="s">
        <v>531</v>
      </c>
      <c r="E31" s="18">
        <v>42578</v>
      </c>
      <c r="F31" s="19">
        <v>37060.370000000003</v>
      </c>
      <c r="G31" s="20"/>
      <c r="H31" s="24">
        <v>42578</v>
      </c>
      <c r="I31" s="45">
        <v>0</v>
      </c>
      <c r="J31" s="35"/>
      <c r="K31" s="57" t="s">
        <v>374</v>
      </c>
      <c r="L31" s="303">
        <v>0</v>
      </c>
      <c r="M31" s="33">
        <v>351</v>
      </c>
      <c r="N31" s="21"/>
      <c r="O31" s="20"/>
      <c r="P31" s="20"/>
      <c r="Q31" s="20"/>
    </row>
    <row r="32" spans="1:18" ht="15.75" thickBot="1" x14ac:dyDescent="0.3">
      <c r="A32" s="14"/>
      <c r="B32" s="15">
        <v>42579</v>
      </c>
      <c r="C32" s="16">
        <v>32071</v>
      </c>
      <c r="D32" s="17" t="s">
        <v>532</v>
      </c>
      <c r="E32" s="18">
        <v>42579</v>
      </c>
      <c r="F32" s="19">
        <v>32222.05</v>
      </c>
      <c r="G32" s="20"/>
      <c r="H32" s="24">
        <v>42579</v>
      </c>
      <c r="I32" s="45">
        <v>130</v>
      </c>
      <c r="J32" s="26"/>
      <c r="K32" s="53"/>
      <c r="L32" s="304"/>
      <c r="M32" s="33">
        <v>21</v>
      </c>
      <c r="N32" s="30"/>
      <c r="O32" s="20"/>
      <c r="P32" s="20"/>
      <c r="Q32" s="20"/>
    </row>
    <row r="33" spans="1:17" x14ac:dyDescent="0.25">
      <c r="A33" s="14"/>
      <c r="B33" s="15">
        <v>42580</v>
      </c>
      <c r="C33" s="16">
        <v>50592.4</v>
      </c>
      <c r="D33" s="34" t="s">
        <v>533</v>
      </c>
      <c r="E33" s="18">
        <v>42580</v>
      </c>
      <c r="F33" s="19">
        <v>50625.99</v>
      </c>
      <c r="G33" s="20"/>
      <c r="H33" s="24">
        <v>42580</v>
      </c>
      <c r="I33" s="45">
        <v>0</v>
      </c>
      <c r="J33" s="26"/>
      <c r="K33" s="293"/>
      <c r="L33" s="367">
        <v>0</v>
      </c>
      <c r="M33" s="33">
        <v>33.5</v>
      </c>
      <c r="N33" s="21"/>
      <c r="O33" s="20"/>
      <c r="P33" s="20"/>
      <c r="Q33" s="20"/>
    </row>
    <row r="34" spans="1:17" x14ac:dyDescent="0.25">
      <c r="A34" s="14"/>
      <c r="B34" s="15">
        <v>42581</v>
      </c>
      <c r="C34" s="16"/>
      <c r="D34" s="17"/>
      <c r="E34" s="18">
        <v>42581</v>
      </c>
      <c r="F34" s="19"/>
      <c r="G34" s="20"/>
      <c r="H34" s="24">
        <v>42581</v>
      </c>
      <c r="I34" s="45"/>
      <c r="J34" s="26"/>
      <c r="K34" s="293"/>
      <c r="L34" s="368"/>
      <c r="M34" s="33"/>
      <c r="N34" s="21"/>
      <c r="O34" s="20"/>
    </row>
    <row r="35" spans="1:17" ht="15.75" thickBot="1" x14ac:dyDescent="0.3">
      <c r="A35" s="14"/>
      <c r="B35" s="15">
        <v>42582</v>
      </c>
      <c r="C35" s="16"/>
      <c r="D35" s="34"/>
      <c r="E35" s="18">
        <v>42582</v>
      </c>
      <c r="F35" s="19"/>
      <c r="G35" s="20"/>
      <c r="H35" s="24">
        <v>42582</v>
      </c>
      <c r="I35" s="45"/>
      <c r="J35" s="26"/>
      <c r="K35" s="371"/>
      <c r="L35" s="28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371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7059.5</v>
      </c>
    </row>
    <row r="38" spans="1:17" x14ac:dyDescent="0.25">
      <c r="B38" s="82" t="s">
        <v>16</v>
      </c>
      <c r="C38" s="83">
        <f>SUM(C5:C37)</f>
        <v>1231947.6499999999</v>
      </c>
      <c r="E38" s="316" t="s">
        <v>16</v>
      </c>
      <c r="F38" s="85">
        <f>SUM(F5:F37)</f>
        <v>1270729.0500000005</v>
      </c>
      <c r="H38" s="5" t="s">
        <v>16</v>
      </c>
      <c r="I38" s="86">
        <f>SUM(I5:I37)</f>
        <v>6083.02</v>
      </c>
      <c r="J38" s="86"/>
      <c r="K38" s="87" t="s">
        <v>16</v>
      </c>
      <c r="L38" s="88">
        <f>SUM(L5:L37)</f>
        <v>87900</v>
      </c>
    </row>
    <row r="40" spans="1:17" ht="15.75" x14ac:dyDescent="0.25">
      <c r="A40" s="89"/>
      <c r="B40" s="90"/>
      <c r="C40" s="26"/>
      <c r="D40" s="91"/>
      <c r="E40" s="92"/>
      <c r="F40" s="67"/>
      <c r="H40" s="356" t="s">
        <v>17</v>
      </c>
      <c r="I40" s="357"/>
      <c r="J40" s="318"/>
      <c r="K40" s="358">
        <f>I38+L38</f>
        <v>93983.02</v>
      </c>
      <c r="L40" s="359"/>
    </row>
    <row r="41" spans="1:17" ht="15.75" x14ac:dyDescent="0.25">
      <c r="B41" s="94"/>
      <c r="C41" s="67"/>
      <c r="D41" s="343" t="s">
        <v>18</v>
      </c>
      <c r="E41" s="343"/>
      <c r="F41" s="95">
        <f>F38-K40</f>
        <v>1176746.0300000005</v>
      </c>
      <c r="I41" s="96"/>
      <c r="J41" s="96"/>
    </row>
    <row r="42" spans="1:17" ht="15.75" x14ac:dyDescent="0.25">
      <c r="D42" s="344" t="s">
        <v>193</v>
      </c>
      <c r="E42" s="344"/>
      <c r="F42" s="95">
        <v>0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1176746.0300000005</v>
      </c>
      <c r="I44" s="345" t="s">
        <v>22</v>
      </c>
      <c r="J44" s="346"/>
      <c r="K44" s="349">
        <f>F48+L46</f>
        <v>1176746.0300000005</v>
      </c>
      <c r="L44" s="350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347"/>
      <c r="J45" s="348"/>
      <c r="K45" s="351"/>
      <c r="L45" s="352"/>
    </row>
    <row r="46" spans="1:17" ht="17.25" thickTop="1" thickBot="1" x14ac:dyDescent="0.3">
      <c r="C46" s="85"/>
      <c r="D46" s="353" t="s">
        <v>25</v>
      </c>
      <c r="E46" s="353"/>
      <c r="F46" s="101">
        <v>0</v>
      </c>
      <c r="I46" s="354"/>
      <c r="J46" s="354"/>
      <c r="K46" s="355"/>
      <c r="L46" s="102"/>
    </row>
    <row r="47" spans="1:17" ht="19.5" thickBot="1" x14ac:dyDescent="0.35">
      <c r="C47" s="85"/>
      <c r="D47" s="316"/>
      <c r="E47" s="316"/>
      <c r="F47" s="103"/>
      <c r="H47" s="104"/>
      <c r="I47" s="317" t="s">
        <v>26</v>
      </c>
      <c r="J47" s="317"/>
      <c r="K47" s="336">
        <f>-C4</f>
        <v>-211525.97</v>
      </c>
      <c r="L47" s="337"/>
    </row>
    <row r="48" spans="1:17" ht="17.25" thickTop="1" thickBot="1" x14ac:dyDescent="0.3">
      <c r="E48" s="106" t="s">
        <v>27</v>
      </c>
      <c r="F48" s="107">
        <f>F44+F45+F46</f>
        <v>1176746.0300000005</v>
      </c>
    </row>
    <row r="49" spans="2:14" ht="19.5" thickBot="1" x14ac:dyDescent="0.35">
      <c r="B49"/>
      <c r="C49"/>
      <c r="D49" s="338"/>
      <c r="E49" s="338"/>
      <c r="F49" s="67"/>
      <c r="I49" s="339" t="s">
        <v>28</v>
      </c>
      <c r="J49" s="340"/>
      <c r="K49" s="341">
        <f>K44+K47</f>
        <v>965220.06000000052</v>
      </c>
      <c r="L49" s="342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7"/>
  <sheetViews>
    <sheetView tabSelected="1" topLeftCell="A17" workbookViewId="0">
      <selection activeCell="B37" sqref="B37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1.42578125" style="324"/>
    <col min="11" max="11" width="12.5703125" bestFit="1" customWidth="1"/>
    <col min="12" max="12" width="13.28515625" customWidth="1"/>
    <col min="13" max="13" width="12.5703125" bestFit="1" customWidth="1"/>
    <col min="14" max="14" width="11.42578125" customWidth="1"/>
    <col min="15" max="16" width="16.7109375" customWidth="1"/>
    <col min="17" max="17" width="8.5703125" customWidth="1"/>
    <col min="18" max="18" width="20.140625" bestFit="1" customWidth="1"/>
    <col min="19" max="19" width="11.42578125" bestFit="1" customWidth="1"/>
    <col min="20" max="20" width="16.28515625" customWidth="1"/>
    <col min="23" max="23" width="13.85546875" bestFit="1" customWidth="1"/>
    <col min="24" max="24" width="9.85546875" bestFit="1" customWidth="1"/>
    <col min="25" max="25" width="14.85546875" customWidth="1"/>
    <col min="27" max="27" width="16.28515625" customWidth="1"/>
    <col min="28" max="28" width="20.140625" bestFit="1" customWidth="1"/>
  </cols>
  <sheetData>
    <row r="1" spans="1:29" ht="23.25" thickBot="1" x14ac:dyDescent="0.35">
      <c r="B1" s="109" t="s">
        <v>456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370" t="s">
        <v>460</v>
      </c>
      <c r="K1" s="370"/>
      <c r="O1" s="146" t="s">
        <v>46</v>
      </c>
      <c r="P1" s="147"/>
      <c r="Q1" s="148"/>
      <c r="R1" s="195">
        <v>42566</v>
      </c>
      <c r="S1" s="150"/>
      <c r="Y1" s="146" t="s">
        <v>46</v>
      </c>
      <c r="Z1" s="147"/>
      <c r="AA1" s="148"/>
      <c r="AB1" s="334">
        <v>42581</v>
      </c>
      <c r="AC1" s="150"/>
    </row>
    <row r="2" spans="1:29" ht="16.5" thickBot="1" x14ac:dyDescent="0.3">
      <c r="A2" s="112"/>
      <c r="B2" s="113"/>
      <c r="C2" s="114"/>
      <c r="D2" s="113"/>
      <c r="E2" s="114"/>
      <c r="F2" s="114"/>
      <c r="N2" s="151"/>
      <c r="O2" s="152"/>
      <c r="P2" s="151"/>
      <c r="Q2" s="153"/>
      <c r="R2" s="152"/>
      <c r="S2" s="154"/>
      <c r="X2" s="151"/>
      <c r="Y2" s="152"/>
      <c r="Z2" s="151"/>
      <c r="AA2" s="153"/>
      <c r="AB2" s="152"/>
      <c r="AC2" s="154"/>
    </row>
    <row r="3" spans="1:29" ht="15.75" x14ac:dyDescent="0.25">
      <c r="A3" s="115">
        <v>42552</v>
      </c>
      <c r="B3" s="123" t="s">
        <v>457</v>
      </c>
      <c r="C3" s="26">
        <v>58355.02</v>
      </c>
      <c r="D3" s="117">
        <v>42566</v>
      </c>
      <c r="E3" s="21">
        <v>58355.02</v>
      </c>
      <c r="F3" s="118">
        <f>C3-E3</f>
        <v>0</v>
      </c>
      <c r="N3" s="155" t="s">
        <v>47</v>
      </c>
      <c r="O3" s="152" t="s">
        <v>48</v>
      </c>
      <c r="P3" s="151"/>
      <c r="Q3" s="153" t="s">
        <v>49</v>
      </c>
      <c r="R3" s="152" t="s">
        <v>50</v>
      </c>
      <c r="S3" s="154"/>
      <c r="X3" s="155" t="s">
        <v>47</v>
      </c>
      <c r="Y3" s="152" t="s">
        <v>48</v>
      </c>
      <c r="Z3" s="151"/>
      <c r="AA3" s="153" t="s">
        <v>49</v>
      </c>
      <c r="AB3" s="152" t="s">
        <v>50</v>
      </c>
      <c r="AC3" s="154"/>
    </row>
    <row r="4" spans="1:29" ht="15.75" x14ac:dyDescent="0.25">
      <c r="A4" s="119">
        <v>42553</v>
      </c>
      <c r="B4" s="123" t="s">
        <v>458</v>
      </c>
      <c r="C4" s="21">
        <v>49211.17</v>
      </c>
      <c r="D4" s="117">
        <v>42566</v>
      </c>
      <c r="E4" s="21">
        <v>49211.17</v>
      </c>
      <c r="F4" s="122">
        <f>C4-E4</f>
        <v>0</v>
      </c>
      <c r="K4" s="30"/>
      <c r="M4" s="325">
        <f>25140+29000+13673.1</f>
        <v>67813.100000000006</v>
      </c>
      <c r="N4" s="123" t="s">
        <v>447</v>
      </c>
      <c r="O4" s="26">
        <v>67806.38</v>
      </c>
      <c r="P4" s="156" t="s">
        <v>111</v>
      </c>
      <c r="Q4" s="157">
        <v>3280942</v>
      </c>
      <c r="R4" s="238">
        <v>25140</v>
      </c>
      <c r="S4" s="239">
        <v>42551</v>
      </c>
      <c r="V4" s="328">
        <f>22010.6+17038.5</f>
        <v>39049.1</v>
      </c>
      <c r="W4" s="325">
        <v>17038.5</v>
      </c>
      <c r="X4" s="125" t="s">
        <v>502</v>
      </c>
      <c r="Y4" s="26">
        <v>16738.599999999999</v>
      </c>
      <c r="Z4" s="156" t="s">
        <v>51</v>
      </c>
      <c r="AA4" s="157" t="s">
        <v>52</v>
      </c>
      <c r="AB4" s="238">
        <v>27057</v>
      </c>
      <c r="AC4" s="239">
        <v>42573</v>
      </c>
    </row>
    <row r="5" spans="1:29" ht="15.75" x14ac:dyDescent="0.25">
      <c r="A5" s="124">
        <v>42554</v>
      </c>
      <c r="B5" s="123" t="s">
        <v>459</v>
      </c>
      <c r="C5" s="26">
        <v>53110.52</v>
      </c>
      <c r="D5" s="117">
        <v>42566</v>
      </c>
      <c r="E5" s="21">
        <v>53110.52</v>
      </c>
      <c r="F5" s="122">
        <f>C5-E5</f>
        <v>0</v>
      </c>
      <c r="K5" s="30"/>
      <c r="M5" s="30">
        <f>3248.4+35687.66</f>
        <v>38936.060000000005</v>
      </c>
      <c r="N5" s="123" t="s">
        <v>449</v>
      </c>
      <c r="O5" s="26">
        <v>38936.06</v>
      </c>
      <c r="P5" s="156"/>
      <c r="Q5" s="157" t="s">
        <v>52</v>
      </c>
      <c r="R5" s="238">
        <v>29000</v>
      </c>
      <c r="S5" s="239">
        <v>42552</v>
      </c>
      <c r="V5" s="328">
        <v>3013.2</v>
      </c>
      <c r="W5" s="30">
        <v>3013.2</v>
      </c>
      <c r="X5" s="125" t="s">
        <v>503</v>
      </c>
      <c r="Y5" s="26">
        <v>3013.2</v>
      </c>
      <c r="Z5" s="156"/>
      <c r="AA5" s="157" t="s">
        <v>52</v>
      </c>
      <c r="AB5" s="238">
        <v>44738.5</v>
      </c>
      <c r="AC5" s="239">
        <v>42576</v>
      </c>
    </row>
    <row r="6" spans="1:29" ht="15.75" x14ac:dyDescent="0.25">
      <c r="A6" s="119">
        <v>42555</v>
      </c>
      <c r="B6" s="123" t="s">
        <v>461</v>
      </c>
      <c r="C6" s="21">
        <v>55332.5</v>
      </c>
      <c r="D6" s="117">
        <v>42566</v>
      </c>
      <c r="E6" s="21">
        <v>55332.5</v>
      </c>
      <c r="F6" s="122">
        <f>C6-E6</f>
        <v>0</v>
      </c>
      <c r="K6" s="30"/>
      <c r="M6" s="30">
        <f>33000+13434.77</f>
        <v>46434.770000000004</v>
      </c>
      <c r="N6" s="123" t="s">
        <v>450</v>
      </c>
      <c r="O6" s="26">
        <v>46434.77</v>
      </c>
      <c r="P6" s="160"/>
      <c r="Q6" s="157" t="s">
        <v>52</v>
      </c>
      <c r="R6" s="238">
        <v>52076.5</v>
      </c>
      <c r="S6" s="239">
        <v>42553</v>
      </c>
      <c r="V6" s="328">
        <f>7005.5+40200.4</f>
        <v>47205.9</v>
      </c>
      <c r="W6" s="30">
        <f>7005.5+35052.5</f>
        <v>42058</v>
      </c>
      <c r="X6" s="125" t="s">
        <v>501</v>
      </c>
      <c r="Y6" s="26">
        <v>42322.720000000001</v>
      </c>
      <c r="Z6" s="161" t="s">
        <v>51</v>
      </c>
      <c r="AA6" s="157" t="s">
        <v>52</v>
      </c>
      <c r="AB6" s="238">
        <v>51000</v>
      </c>
      <c r="AC6" s="239">
        <v>42577</v>
      </c>
    </row>
    <row r="7" spans="1:29" ht="15.75" x14ac:dyDescent="0.25">
      <c r="A7" s="119">
        <v>42556</v>
      </c>
      <c r="B7" s="123" t="s">
        <v>462</v>
      </c>
      <c r="C7" s="21">
        <v>11891.64</v>
      </c>
      <c r="D7" s="117">
        <v>42566</v>
      </c>
      <c r="E7" s="21">
        <v>11891.64</v>
      </c>
      <c r="F7" s="122">
        <f t="shared" ref="F7:F33" si="0">C7-E7</f>
        <v>0</v>
      </c>
      <c r="K7" s="30"/>
      <c r="M7" s="30">
        <f>2716+34999.9</f>
        <v>37715.9</v>
      </c>
      <c r="N7" s="123" t="s">
        <v>453</v>
      </c>
      <c r="O7" s="26">
        <v>37715.9</v>
      </c>
      <c r="P7" s="161"/>
      <c r="Q7" s="157" t="s">
        <v>52</v>
      </c>
      <c r="R7" s="238">
        <v>3248.5</v>
      </c>
      <c r="S7" s="239">
        <v>42551</v>
      </c>
      <c r="W7" s="30">
        <f>9686+51000+15000</f>
        <v>75686</v>
      </c>
      <c r="X7" s="125" t="s">
        <v>504</v>
      </c>
      <c r="Y7" s="26">
        <v>75686.75</v>
      </c>
      <c r="Z7" s="161"/>
      <c r="AA7" s="157">
        <v>3280947</v>
      </c>
      <c r="AB7" s="238">
        <v>35000</v>
      </c>
      <c r="AC7" s="239">
        <v>42577</v>
      </c>
    </row>
    <row r="8" spans="1:29" ht="15.75" x14ac:dyDescent="0.25">
      <c r="A8" s="119">
        <v>42556</v>
      </c>
      <c r="B8" s="123" t="s">
        <v>463</v>
      </c>
      <c r="C8" s="21">
        <v>41710</v>
      </c>
      <c r="D8" s="117">
        <v>42573</v>
      </c>
      <c r="E8" s="26">
        <v>41710</v>
      </c>
      <c r="F8" s="122">
        <f t="shared" si="0"/>
        <v>0</v>
      </c>
      <c r="K8" s="30"/>
      <c r="M8" s="30">
        <f>35935.22+28000+3000</f>
        <v>66935.22</v>
      </c>
      <c r="N8" s="126" t="s">
        <v>454</v>
      </c>
      <c r="O8" s="21">
        <v>66935.22</v>
      </c>
      <c r="P8" s="161"/>
      <c r="Q8" s="157" t="s">
        <v>52</v>
      </c>
      <c r="R8" s="313">
        <v>68000</v>
      </c>
      <c r="S8" s="319">
        <v>42555</v>
      </c>
      <c r="V8" s="324"/>
      <c r="W8" s="30">
        <f>20000+18862.6</f>
        <v>38862.6</v>
      </c>
      <c r="X8" s="125" t="s">
        <v>505</v>
      </c>
      <c r="Y8" s="26">
        <v>38862.6</v>
      </c>
      <c r="Z8" s="161"/>
      <c r="AA8" s="157" t="s">
        <v>52</v>
      </c>
      <c r="AB8" s="313">
        <v>25162.5</v>
      </c>
      <c r="AC8" s="319">
        <v>42579</v>
      </c>
    </row>
    <row r="9" spans="1:29" ht="15.75" x14ac:dyDescent="0.25">
      <c r="A9" s="119">
        <v>42558</v>
      </c>
      <c r="B9" s="123" t="s">
        <v>464</v>
      </c>
      <c r="C9" s="21">
        <v>39471.599999999999</v>
      </c>
      <c r="D9" s="117">
        <v>42566</v>
      </c>
      <c r="E9" s="26">
        <v>39471.599999999999</v>
      </c>
      <c r="F9" s="122">
        <f t="shared" si="0"/>
        <v>0</v>
      </c>
      <c r="K9" s="30"/>
      <c r="M9" s="30">
        <f>13000+25404.8</f>
        <v>38404.800000000003</v>
      </c>
      <c r="N9" s="128" t="s">
        <v>455</v>
      </c>
      <c r="O9" s="26">
        <v>38404.800000000003</v>
      </c>
      <c r="P9" s="160"/>
      <c r="Q9" s="157" t="s">
        <v>52</v>
      </c>
      <c r="R9" s="313">
        <v>49370</v>
      </c>
      <c r="S9" s="319">
        <v>42555</v>
      </c>
      <c r="V9" s="324"/>
      <c r="W9" s="30">
        <f>3008+6448+6300+22339.26</f>
        <v>38095.259999999995</v>
      </c>
      <c r="X9" s="125" t="s">
        <v>515</v>
      </c>
      <c r="Y9" s="26">
        <v>38095.26</v>
      </c>
      <c r="Z9" s="160"/>
      <c r="AA9" s="157" t="s">
        <v>52</v>
      </c>
      <c r="AB9" s="313">
        <v>6448</v>
      </c>
      <c r="AC9" s="319">
        <v>42576</v>
      </c>
    </row>
    <row r="10" spans="1:29" ht="15.75" x14ac:dyDescent="0.25">
      <c r="A10" s="119">
        <v>42558</v>
      </c>
      <c r="B10" s="123" t="s">
        <v>465</v>
      </c>
      <c r="C10" s="26">
        <v>86920.98</v>
      </c>
      <c r="D10" s="117">
        <v>42573</v>
      </c>
      <c r="E10" s="26">
        <v>86920.98</v>
      </c>
      <c r="F10" s="122">
        <f t="shared" si="0"/>
        <v>0</v>
      </c>
      <c r="K10" s="30"/>
      <c r="M10" s="30">
        <f>3855.02+3033.6+1790.4+31900+17776</f>
        <v>58355.020000000004</v>
      </c>
      <c r="N10" s="123" t="s">
        <v>457</v>
      </c>
      <c r="O10" s="26">
        <v>58355.02</v>
      </c>
      <c r="P10" s="160"/>
      <c r="Q10" s="157" t="s">
        <v>52</v>
      </c>
      <c r="R10" s="313">
        <v>28000</v>
      </c>
      <c r="S10" s="319">
        <v>42556</v>
      </c>
      <c r="W10" s="30">
        <f>3896.83+35500+28500</f>
        <v>67896.83</v>
      </c>
      <c r="X10" s="123" t="s">
        <v>516</v>
      </c>
      <c r="Y10" s="21">
        <v>67896.83</v>
      </c>
      <c r="Z10" s="160"/>
      <c r="AA10" s="157" t="s">
        <v>52</v>
      </c>
      <c r="AB10" s="313">
        <v>3008</v>
      </c>
      <c r="AC10" s="319">
        <v>42573</v>
      </c>
    </row>
    <row r="11" spans="1:29" ht="15.75" x14ac:dyDescent="0.25">
      <c r="A11" s="119">
        <v>42559</v>
      </c>
      <c r="B11" s="125" t="s">
        <v>466</v>
      </c>
      <c r="C11" s="26">
        <v>3406.2</v>
      </c>
      <c r="D11" s="117">
        <v>42566</v>
      </c>
      <c r="E11" s="26">
        <v>3406.2</v>
      </c>
      <c r="F11" s="127">
        <f t="shared" si="0"/>
        <v>0</v>
      </c>
      <c r="K11" s="30"/>
      <c r="M11" s="30">
        <f>42000+7211.17</f>
        <v>49211.17</v>
      </c>
      <c r="N11" s="123" t="s">
        <v>458</v>
      </c>
      <c r="O11" s="21">
        <v>49211.17</v>
      </c>
      <c r="P11" s="160"/>
      <c r="Q11" s="157" t="s">
        <v>52</v>
      </c>
      <c r="R11" s="313">
        <v>16000</v>
      </c>
      <c r="S11" s="319">
        <v>42557</v>
      </c>
      <c r="W11" s="30">
        <f>3571+45850+2524.8+2217.6</f>
        <v>54163.4</v>
      </c>
      <c r="X11" s="123" t="s">
        <v>517</v>
      </c>
      <c r="Y11" s="21">
        <v>54197.04</v>
      </c>
      <c r="Z11" s="160" t="s">
        <v>60</v>
      </c>
      <c r="AA11" s="157" t="s">
        <v>52</v>
      </c>
      <c r="AB11" s="313">
        <v>26235</v>
      </c>
      <c r="AC11" s="319">
        <v>42579</v>
      </c>
    </row>
    <row r="12" spans="1:29" ht="15.75" x14ac:dyDescent="0.25">
      <c r="A12" s="119">
        <v>42560</v>
      </c>
      <c r="B12" s="125" t="s">
        <v>467</v>
      </c>
      <c r="C12" s="26">
        <v>44868.44</v>
      </c>
      <c r="D12" s="121" t="s">
        <v>514</v>
      </c>
      <c r="E12" s="26">
        <f>41874.72+2993.72</f>
        <v>44868.44</v>
      </c>
      <c r="F12" s="127">
        <f t="shared" si="0"/>
        <v>0</v>
      </c>
      <c r="K12" s="30"/>
      <c r="M12" s="30">
        <f>50000+3110.5</f>
        <v>53110.5</v>
      </c>
      <c r="N12" s="123" t="s">
        <v>459</v>
      </c>
      <c r="O12" s="26">
        <v>53110.52</v>
      </c>
      <c r="P12" s="160"/>
      <c r="Q12" s="157" t="s">
        <v>52</v>
      </c>
      <c r="R12" s="313">
        <v>29260</v>
      </c>
      <c r="S12" s="319">
        <v>42558</v>
      </c>
      <c r="W12" s="30"/>
      <c r="X12" s="123"/>
      <c r="Y12" s="21"/>
      <c r="Z12" s="160"/>
      <c r="AA12" s="157" t="s">
        <v>52</v>
      </c>
      <c r="AB12" s="313">
        <v>35500</v>
      </c>
      <c r="AC12" s="319">
        <v>42580</v>
      </c>
    </row>
    <row r="13" spans="1:29" ht="15.75" x14ac:dyDescent="0.25">
      <c r="A13" s="119">
        <v>42560</v>
      </c>
      <c r="B13" s="125" t="s">
        <v>468</v>
      </c>
      <c r="C13" s="26">
        <v>37695.42</v>
      </c>
      <c r="D13" s="117">
        <v>42573</v>
      </c>
      <c r="E13" s="26">
        <v>37695.42</v>
      </c>
      <c r="F13" s="127">
        <f t="shared" si="0"/>
        <v>0</v>
      </c>
      <c r="K13" s="30"/>
      <c r="M13" s="30">
        <f>31462+23870.5</f>
        <v>55332.5</v>
      </c>
      <c r="N13" s="123" t="s">
        <v>461</v>
      </c>
      <c r="O13" s="21">
        <v>55332.5</v>
      </c>
      <c r="P13" s="160"/>
      <c r="Q13" s="157">
        <v>3280940</v>
      </c>
      <c r="R13" s="313">
        <v>1790.5</v>
      </c>
      <c r="S13" s="319">
        <v>42558</v>
      </c>
      <c r="V13" s="324"/>
      <c r="W13" s="30"/>
      <c r="X13" s="123"/>
      <c r="Y13" s="21"/>
      <c r="Z13" s="160"/>
      <c r="AA13" s="157" t="s">
        <v>52</v>
      </c>
      <c r="AB13" s="313">
        <v>32071</v>
      </c>
      <c r="AC13" s="319">
        <v>42581</v>
      </c>
    </row>
    <row r="14" spans="1:29" ht="15.75" x14ac:dyDescent="0.25">
      <c r="A14" s="119">
        <v>42562</v>
      </c>
      <c r="B14" s="125" t="s">
        <v>469</v>
      </c>
      <c r="C14" s="26">
        <v>38900.400000000001</v>
      </c>
      <c r="D14" s="117">
        <v>42573</v>
      </c>
      <c r="E14" s="26">
        <v>38900.400000000001</v>
      </c>
      <c r="F14" s="127">
        <f t="shared" si="0"/>
        <v>0</v>
      </c>
      <c r="K14" s="30"/>
      <c r="M14" s="30">
        <v>11891.64</v>
      </c>
      <c r="N14" s="123" t="s">
        <v>462</v>
      </c>
      <c r="O14" s="21">
        <v>11891.64</v>
      </c>
      <c r="P14" s="160"/>
      <c r="Q14" s="157" t="s">
        <v>52</v>
      </c>
      <c r="R14" s="313">
        <v>3033.5</v>
      </c>
      <c r="S14" s="319">
        <v>42556</v>
      </c>
      <c r="V14" s="324"/>
      <c r="W14" s="30"/>
      <c r="X14" s="123"/>
      <c r="Y14" s="21"/>
      <c r="Z14" s="232"/>
      <c r="AA14" s="233" t="s">
        <v>52</v>
      </c>
      <c r="AB14" s="320">
        <v>45850</v>
      </c>
      <c r="AC14" s="321">
        <v>42581</v>
      </c>
    </row>
    <row r="15" spans="1:29" ht="15.75" x14ac:dyDescent="0.25">
      <c r="A15" s="124">
        <v>42562</v>
      </c>
      <c r="B15" s="123" t="s">
        <v>470</v>
      </c>
      <c r="C15" s="21">
        <v>61423.6</v>
      </c>
      <c r="D15" s="117">
        <v>42573</v>
      </c>
      <c r="E15" s="26">
        <v>61423.6</v>
      </c>
      <c r="F15" s="127">
        <f t="shared" si="0"/>
        <v>0</v>
      </c>
      <c r="K15" s="30"/>
      <c r="M15" s="3">
        <f>471.6+34500+4500</f>
        <v>39471.599999999999</v>
      </c>
      <c r="N15" s="123" t="s">
        <v>464</v>
      </c>
      <c r="O15" s="21">
        <v>39471.599999999999</v>
      </c>
      <c r="P15" s="232"/>
      <c r="Q15" s="233" t="s">
        <v>52</v>
      </c>
      <c r="R15" s="320">
        <v>31900</v>
      </c>
      <c r="S15" s="321">
        <v>42559</v>
      </c>
      <c r="V15" s="324"/>
      <c r="W15" s="3"/>
      <c r="X15" s="123"/>
      <c r="Y15" s="21"/>
      <c r="Z15" s="160"/>
      <c r="AA15" s="157" t="s">
        <v>52</v>
      </c>
      <c r="AB15" s="313">
        <v>2525</v>
      </c>
      <c r="AC15" s="319">
        <v>42577</v>
      </c>
    </row>
    <row r="16" spans="1:29" ht="15.75" x14ac:dyDescent="0.25">
      <c r="A16" s="119">
        <v>42566</v>
      </c>
      <c r="B16" s="125" t="s">
        <v>502</v>
      </c>
      <c r="C16" s="26">
        <v>38749.199999999997</v>
      </c>
      <c r="D16" s="117" t="s">
        <v>534</v>
      </c>
      <c r="E16" s="21">
        <f>22010.6+16738.6</f>
        <v>38749.199999999997</v>
      </c>
      <c r="F16" s="127">
        <f t="shared" si="0"/>
        <v>0</v>
      </c>
      <c r="K16" s="3"/>
      <c r="M16" s="3">
        <v>3406.2</v>
      </c>
      <c r="N16" s="125" t="s">
        <v>466</v>
      </c>
      <c r="O16" s="26">
        <v>3406.2</v>
      </c>
      <c r="P16" s="164"/>
      <c r="Q16" s="157" t="s">
        <v>52</v>
      </c>
      <c r="R16" s="238">
        <v>59776</v>
      </c>
      <c r="S16" s="239">
        <v>42560</v>
      </c>
      <c r="W16" s="241"/>
      <c r="X16" s="123"/>
      <c r="Y16" s="21"/>
      <c r="Z16" s="165"/>
      <c r="AA16" s="240" t="s">
        <v>52</v>
      </c>
      <c r="AB16" s="322">
        <v>2218</v>
      </c>
      <c r="AC16" s="319">
        <v>42578</v>
      </c>
    </row>
    <row r="17" spans="1:29" ht="15.75" x14ac:dyDescent="0.25">
      <c r="A17" s="119">
        <v>42567</v>
      </c>
      <c r="B17" s="125" t="s">
        <v>503</v>
      </c>
      <c r="C17" s="26">
        <v>3013.2</v>
      </c>
      <c r="D17" s="117">
        <v>42573</v>
      </c>
      <c r="E17" s="21">
        <v>3013.2</v>
      </c>
      <c r="F17" s="127">
        <f t="shared" si="0"/>
        <v>0</v>
      </c>
      <c r="K17" s="3"/>
      <c r="M17" s="3">
        <v>41868.44</v>
      </c>
      <c r="N17" s="125" t="s">
        <v>467</v>
      </c>
      <c r="O17" s="26">
        <v>41874.720000000001</v>
      </c>
      <c r="P17" s="164" t="s">
        <v>91</v>
      </c>
      <c r="Q17" s="157" t="s">
        <v>52</v>
      </c>
      <c r="R17" s="238">
        <v>57211</v>
      </c>
      <c r="S17" s="239">
        <v>42562</v>
      </c>
      <c r="X17" s="123"/>
      <c r="Y17" s="21"/>
      <c r="Z17" s="164"/>
      <c r="AA17" s="237"/>
      <c r="AB17" s="313">
        <v>0</v>
      </c>
      <c r="AC17" s="319"/>
    </row>
    <row r="18" spans="1:29" ht="15.75" x14ac:dyDescent="0.25">
      <c r="A18" s="119">
        <v>42567</v>
      </c>
      <c r="B18" s="125" t="s">
        <v>501</v>
      </c>
      <c r="C18" s="26">
        <v>82258</v>
      </c>
      <c r="D18" s="117" t="s">
        <v>534</v>
      </c>
      <c r="E18" s="329">
        <f>39905.28+42322.72</f>
        <v>82228</v>
      </c>
      <c r="F18" s="314">
        <f t="shared" si="0"/>
        <v>30</v>
      </c>
      <c r="H18" s="14">
        <v>42553</v>
      </c>
      <c r="I18" t="s">
        <v>416</v>
      </c>
      <c r="J18" s="324">
        <v>720</v>
      </c>
      <c r="K18" s="3"/>
      <c r="M18" s="30"/>
      <c r="N18" s="123"/>
      <c r="O18" s="21"/>
      <c r="P18" s="164"/>
      <c r="Q18" s="157" t="s">
        <v>52</v>
      </c>
      <c r="R18" s="238">
        <v>34572.5</v>
      </c>
      <c r="S18" s="239">
        <v>42562</v>
      </c>
      <c r="X18" s="123"/>
      <c r="Y18" s="21"/>
      <c r="Z18" s="165"/>
      <c r="AA18" s="165"/>
      <c r="AB18" s="313">
        <v>0</v>
      </c>
      <c r="AC18" s="165"/>
    </row>
    <row r="19" spans="1:29" ht="15.75" x14ac:dyDescent="0.25">
      <c r="A19" s="119">
        <v>42568</v>
      </c>
      <c r="B19" s="125" t="s">
        <v>504</v>
      </c>
      <c r="C19" s="26">
        <v>75686.75</v>
      </c>
      <c r="D19" s="117">
        <v>42581</v>
      </c>
      <c r="E19" s="21">
        <v>75686.75</v>
      </c>
      <c r="F19" s="127">
        <f t="shared" si="0"/>
        <v>0</v>
      </c>
      <c r="H19" s="14">
        <v>42557</v>
      </c>
      <c r="I19" t="s">
        <v>115</v>
      </c>
      <c r="J19" s="324">
        <v>650</v>
      </c>
      <c r="K19" s="3"/>
      <c r="M19" s="3"/>
      <c r="N19" s="123"/>
      <c r="O19" s="26"/>
      <c r="P19" s="164"/>
      <c r="Q19" s="157" t="s">
        <v>52</v>
      </c>
      <c r="R19" s="238">
        <v>39639.5</v>
      </c>
      <c r="S19" s="239">
        <v>42563</v>
      </c>
      <c r="X19" s="165"/>
      <c r="Y19" s="236">
        <v>0</v>
      </c>
      <c r="Z19" s="165"/>
      <c r="AA19" s="165"/>
      <c r="AB19" s="313">
        <v>0</v>
      </c>
      <c r="AC19" s="165"/>
    </row>
    <row r="20" spans="1:29" ht="15.75" x14ac:dyDescent="0.25">
      <c r="A20" s="119">
        <v>42569</v>
      </c>
      <c r="B20" s="125" t="s">
        <v>505</v>
      </c>
      <c r="C20" s="26">
        <v>38862.6</v>
      </c>
      <c r="D20" s="117">
        <v>42581</v>
      </c>
      <c r="E20" s="21">
        <v>38862.6</v>
      </c>
      <c r="F20" s="127">
        <f t="shared" si="0"/>
        <v>0</v>
      </c>
      <c r="H20" s="14">
        <v>42559</v>
      </c>
      <c r="I20" t="s">
        <v>489</v>
      </c>
      <c r="J20" s="324">
        <v>1153</v>
      </c>
      <c r="K20" s="3"/>
      <c r="M20" s="3"/>
      <c r="N20" s="125"/>
      <c r="O20" s="26"/>
      <c r="P20" s="164"/>
      <c r="Q20" s="157" t="s">
        <v>52</v>
      </c>
      <c r="R20" s="238">
        <v>34500</v>
      </c>
      <c r="S20" s="239">
        <v>42564</v>
      </c>
      <c r="W20" s="335">
        <f t="shared" ref="W20:Y20" si="1">SUM(W4:W19)</f>
        <v>336813.79000000004</v>
      </c>
      <c r="X20" s="335"/>
      <c r="Y20" s="335">
        <f t="shared" si="1"/>
        <v>336813</v>
      </c>
      <c r="Z20" s="335"/>
      <c r="AA20" s="335"/>
      <c r="AB20" s="335">
        <f>SUM(AB4:AB19)</f>
        <v>336813</v>
      </c>
      <c r="AC20" s="165"/>
    </row>
    <row r="21" spans="1:29" ht="15.75" x14ac:dyDescent="0.25">
      <c r="A21" s="119">
        <v>42570</v>
      </c>
      <c r="B21" s="125" t="s">
        <v>515</v>
      </c>
      <c r="C21" s="26">
        <v>38095.26</v>
      </c>
      <c r="D21" s="117">
        <v>42581</v>
      </c>
      <c r="E21" s="21">
        <v>38095.26</v>
      </c>
      <c r="F21" s="127">
        <f t="shared" si="0"/>
        <v>0</v>
      </c>
      <c r="H21" s="14">
        <v>42564</v>
      </c>
      <c r="I21" t="s">
        <v>499</v>
      </c>
      <c r="J21" s="324">
        <v>1292</v>
      </c>
      <c r="K21" s="3"/>
      <c r="M21" s="3"/>
      <c r="N21" s="125"/>
      <c r="O21" s="26"/>
      <c r="P21" s="164"/>
      <c r="Q21" s="157" t="s">
        <v>52</v>
      </c>
      <c r="R21" s="238">
        <v>46368.5</v>
      </c>
      <c r="S21" s="239">
        <v>42565</v>
      </c>
    </row>
    <row r="22" spans="1:29" ht="15.75" x14ac:dyDescent="0.25">
      <c r="A22" s="124">
        <v>42572</v>
      </c>
      <c r="B22" s="123" t="s">
        <v>516</v>
      </c>
      <c r="C22" s="21">
        <v>67896.83</v>
      </c>
      <c r="D22" s="117">
        <v>42581</v>
      </c>
      <c r="E22" s="21">
        <v>67896.83</v>
      </c>
      <c r="F22" s="127">
        <f t="shared" si="0"/>
        <v>0</v>
      </c>
      <c r="G22" s="268"/>
      <c r="H22" s="268">
        <v>42566</v>
      </c>
      <c r="I22" s="325" t="s">
        <v>82</v>
      </c>
      <c r="J22" s="324">
        <v>379.5</v>
      </c>
      <c r="K22" s="241"/>
      <c r="M22" s="241">
        <f>SUM(M4:M21)</f>
        <v>608886.91999999993</v>
      </c>
      <c r="N22" s="165"/>
      <c r="O22" s="166"/>
      <c r="P22" s="165"/>
      <c r="Q22" s="240"/>
      <c r="R22" s="322">
        <v>0</v>
      </c>
      <c r="S22" s="319"/>
    </row>
    <row r="23" spans="1:29" ht="15.75" x14ac:dyDescent="0.25">
      <c r="A23" s="124">
        <v>42573</v>
      </c>
      <c r="B23" s="123" t="s">
        <v>517</v>
      </c>
      <c r="C23" s="21">
        <v>61570.8</v>
      </c>
      <c r="D23" s="117">
        <v>42581</v>
      </c>
      <c r="E23" s="329">
        <v>54197.04</v>
      </c>
      <c r="F23" s="314">
        <f t="shared" si="0"/>
        <v>7373.760000000002</v>
      </c>
      <c r="G23" s="268"/>
      <c r="H23" s="268">
        <v>42567</v>
      </c>
      <c r="I23" s="325" t="s">
        <v>115</v>
      </c>
      <c r="J23" s="324">
        <v>801</v>
      </c>
      <c r="N23" s="196"/>
      <c r="O23" s="26">
        <f>SUM(O4:O22)</f>
        <v>608886.5</v>
      </c>
      <c r="P23" s="43"/>
      <c r="Q23" s="219"/>
      <c r="R23" s="220">
        <f>SUM(R4:R22)</f>
        <v>608886.5</v>
      </c>
      <c r="S23" s="218"/>
    </row>
    <row r="24" spans="1:29" x14ac:dyDescent="0.25">
      <c r="A24" s="124">
        <v>42574</v>
      </c>
      <c r="B24" s="123" t="s">
        <v>518</v>
      </c>
      <c r="C24" s="21">
        <v>49768.2</v>
      </c>
      <c r="D24" s="121"/>
      <c r="E24" s="21"/>
      <c r="F24" s="127">
        <f t="shared" si="0"/>
        <v>49768.2</v>
      </c>
      <c r="G24" s="268"/>
      <c r="H24" s="268">
        <v>42571</v>
      </c>
      <c r="I24" s="325" t="s">
        <v>115</v>
      </c>
      <c r="J24" s="324">
        <v>740</v>
      </c>
    </row>
    <row r="25" spans="1:29" x14ac:dyDescent="0.25">
      <c r="A25" s="124">
        <v>42574</v>
      </c>
      <c r="B25" s="123" t="s">
        <v>519</v>
      </c>
      <c r="C25" s="21">
        <v>36009.199999999997</v>
      </c>
      <c r="D25" s="121"/>
      <c r="E25" s="21"/>
      <c r="F25" s="127">
        <f t="shared" si="0"/>
        <v>36009.199999999997</v>
      </c>
      <c r="G25" s="268"/>
      <c r="H25" s="20"/>
      <c r="I25" s="30"/>
      <c r="J25" s="324">
        <v>0</v>
      </c>
    </row>
    <row r="26" spans="1:29" ht="15.75" thickBot="1" x14ac:dyDescent="0.3">
      <c r="A26" s="124">
        <v>42574</v>
      </c>
      <c r="B26" s="123" t="s">
        <v>520</v>
      </c>
      <c r="C26" s="21">
        <v>12163.5</v>
      </c>
      <c r="D26" s="117"/>
      <c r="E26" s="21"/>
      <c r="F26" s="127">
        <f t="shared" si="0"/>
        <v>12163.5</v>
      </c>
      <c r="G26" s="269"/>
      <c r="H26" s="268">
        <v>42572</v>
      </c>
      <c r="I26" s="325" t="s">
        <v>123</v>
      </c>
      <c r="J26" s="324">
        <v>378</v>
      </c>
    </row>
    <row r="27" spans="1:29" ht="19.5" thickBot="1" x14ac:dyDescent="0.35">
      <c r="A27" s="119">
        <v>42576</v>
      </c>
      <c r="B27" s="123" t="s">
        <v>521</v>
      </c>
      <c r="C27" s="21">
        <v>35338.68</v>
      </c>
      <c r="F27" s="331">
        <f t="shared" si="0"/>
        <v>35338.68</v>
      </c>
      <c r="H27" s="14">
        <v>42574</v>
      </c>
      <c r="I27" s="30" t="s">
        <v>385</v>
      </c>
      <c r="J27" s="324">
        <v>1300</v>
      </c>
      <c r="K27" s="30"/>
      <c r="O27" s="146" t="s">
        <v>46</v>
      </c>
      <c r="P27" s="147"/>
      <c r="Q27" s="148"/>
      <c r="R27" s="207">
        <v>42573</v>
      </c>
      <c r="S27" s="150"/>
    </row>
    <row r="28" spans="1:29" ht="15.75" x14ac:dyDescent="0.25">
      <c r="A28" s="119">
        <v>42577</v>
      </c>
      <c r="B28" s="123" t="s">
        <v>522</v>
      </c>
      <c r="C28" s="21">
        <v>7878.04</v>
      </c>
      <c r="F28" s="331">
        <f t="shared" si="0"/>
        <v>7878.04</v>
      </c>
      <c r="H28" s="14">
        <v>42578</v>
      </c>
      <c r="I28" t="s">
        <v>120</v>
      </c>
      <c r="J28" s="324">
        <v>1209.5999999999999</v>
      </c>
      <c r="K28" s="3"/>
      <c r="N28" s="151"/>
      <c r="O28" s="152"/>
      <c r="P28" s="151"/>
      <c r="Q28" s="153"/>
      <c r="R28" s="152"/>
      <c r="S28" s="154"/>
    </row>
    <row r="29" spans="1:29" ht="15.75" x14ac:dyDescent="0.25">
      <c r="A29" s="333">
        <v>42579</v>
      </c>
      <c r="B29" s="123" t="s">
        <v>523</v>
      </c>
      <c r="C29" s="21">
        <v>69001.2</v>
      </c>
      <c r="F29" s="331">
        <f t="shared" si="0"/>
        <v>69001.2</v>
      </c>
      <c r="K29" s="3"/>
      <c r="N29" s="155" t="s">
        <v>47</v>
      </c>
      <c r="O29" s="152" t="s">
        <v>48</v>
      </c>
      <c r="P29" s="151"/>
      <c r="Q29" s="153" t="s">
        <v>49</v>
      </c>
      <c r="R29" s="152" t="s">
        <v>50</v>
      </c>
      <c r="S29" s="154"/>
    </row>
    <row r="30" spans="1:29" ht="15.75" x14ac:dyDescent="0.25">
      <c r="A30" s="119">
        <v>42579</v>
      </c>
      <c r="B30" s="123" t="s">
        <v>524</v>
      </c>
      <c r="C30" s="21">
        <v>33096.5</v>
      </c>
      <c r="F30" s="331">
        <f t="shared" si="0"/>
        <v>33096.5</v>
      </c>
      <c r="K30" s="241"/>
      <c r="M30" s="325">
        <f>21500+20210</f>
        <v>41710</v>
      </c>
      <c r="N30" s="123" t="s">
        <v>463</v>
      </c>
      <c r="O30" s="21">
        <v>41710</v>
      </c>
      <c r="P30" s="156"/>
      <c r="Q30" s="157" t="s">
        <v>52</v>
      </c>
      <c r="R30" s="238">
        <v>47000</v>
      </c>
      <c r="S30" s="239">
        <v>42566</v>
      </c>
    </row>
    <row r="31" spans="1:29" ht="15.75" x14ac:dyDescent="0.25">
      <c r="A31" s="119">
        <v>42580</v>
      </c>
      <c r="B31" s="123" t="s">
        <v>535</v>
      </c>
      <c r="C31" s="21">
        <v>1160</v>
      </c>
      <c r="F31" s="331">
        <f t="shared" si="0"/>
        <v>1160</v>
      </c>
      <c r="M31" s="30">
        <f>44000+3456+3347.2+36118</f>
        <v>86921.2</v>
      </c>
      <c r="N31" s="123" t="s">
        <v>465</v>
      </c>
      <c r="O31" s="26">
        <v>86920.98</v>
      </c>
      <c r="P31" s="156"/>
      <c r="Q31" s="157" t="s">
        <v>52</v>
      </c>
      <c r="R31" s="238">
        <v>3347</v>
      </c>
      <c r="S31" s="239">
        <v>42562</v>
      </c>
    </row>
    <row r="32" spans="1:29" ht="15.75" x14ac:dyDescent="0.25">
      <c r="A32" s="119">
        <v>42581</v>
      </c>
      <c r="B32" s="123" t="s">
        <v>536</v>
      </c>
      <c r="C32" s="21">
        <v>34136.199999999997</v>
      </c>
      <c r="F32" s="331">
        <f t="shared" si="0"/>
        <v>34136.199999999997</v>
      </c>
      <c r="M32" s="30">
        <v>3000</v>
      </c>
      <c r="N32" s="125" t="s">
        <v>467</v>
      </c>
      <c r="O32" s="26">
        <v>2993.72</v>
      </c>
      <c r="P32" s="161" t="s">
        <v>51</v>
      </c>
      <c r="Q32" s="157" t="s">
        <v>52</v>
      </c>
      <c r="R32" s="238">
        <v>3456</v>
      </c>
      <c r="S32" s="239">
        <v>42563</v>
      </c>
    </row>
    <row r="33" spans="1:19" ht="15.75" x14ac:dyDescent="0.25">
      <c r="A33" s="119">
        <v>42582</v>
      </c>
      <c r="B33" s="123" t="s">
        <v>537</v>
      </c>
      <c r="C33" s="21">
        <v>60962.12</v>
      </c>
      <c r="F33" s="331">
        <f t="shared" si="0"/>
        <v>60962.12</v>
      </c>
      <c r="M33" s="30">
        <f>21000+16695.42</f>
        <v>37695.42</v>
      </c>
      <c r="N33" s="125" t="s">
        <v>468</v>
      </c>
      <c r="O33" s="26">
        <v>37695.42</v>
      </c>
      <c r="P33" s="161"/>
      <c r="Q33" s="157">
        <v>3280947</v>
      </c>
      <c r="R33" s="238">
        <v>57118</v>
      </c>
      <c r="S33" s="239">
        <v>42566</v>
      </c>
    </row>
    <row r="34" spans="1:19" ht="16.5" thickBot="1" x14ac:dyDescent="0.3">
      <c r="A34" s="332"/>
      <c r="B34" s="330"/>
      <c r="C34" s="142">
        <v>0</v>
      </c>
      <c r="D34" s="143"/>
      <c r="E34" s="144">
        <v>0</v>
      </c>
      <c r="F34" s="136">
        <f>C34-E34</f>
        <v>0</v>
      </c>
      <c r="L34" s="324"/>
      <c r="M34" s="30">
        <f>38900.4+4147.2+19000+15753.2</f>
        <v>77800.800000000003</v>
      </c>
      <c r="N34" s="125" t="s">
        <v>469</v>
      </c>
      <c r="O34" s="26">
        <v>38900.400000000001</v>
      </c>
      <c r="P34" s="161"/>
      <c r="Q34" s="157" t="s">
        <v>52</v>
      </c>
      <c r="R34" s="313">
        <v>74595</v>
      </c>
      <c r="S34" s="319">
        <v>42569</v>
      </c>
    </row>
    <row r="35" spans="1:19" ht="16.5" thickTop="1" x14ac:dyDescent="0.25">
      <c r="B35" s="37"/>
      <c r="C35" s="21">
        <f>SUM(C3:C34)</f>
        <v>1327943.7699999998</v>
      </c>
      <c r="D35" s="145"/>
      <c r="E35" s="30">
        <f>SUM(E3:E34)</f>
        <v>981026.36999999988</v>
      </c>
      <c r="F35" s="30">
        <f>SUM(F3:F34)</f>
        <v>346917.4</v>
      </c>
      <c r="L35" s="324"/>
      <c r="M35" s="30">
        <f>3500+36500+22423.6</f>
        <v>62423.6</v>
      </c>
      <c r="N35" s="123" t="s">
        <v>470</v>
      </c>
      <c r="O35" s="21">
        <v>61423.6</v>
      </c>
      <c r="P35" s="160"/>
      <c r="Q35" s="157" t="s">
        <v>52</v>
      </c>
      <c r="R35" s="313">
        <v>4147</v>
      </c>
      <c r="S35" s="319">
        <v>42566</v>
      </c>
    </row>
    <row r="36" spans="1:19" ht="15.75" x14ac:dyDescent="0.25">
      <c r="L36" s="328">
        <f>22010.6+17038.5</f>
        <v>39049.1</v>
      </c>
      <c r="M36" s="30">
        <f>3553+5257.6+13200</f>
        <v>22010.6</v>
      </c>
      <c r="N36" s="125" t="s">
        <v>502</v>
      </c>
      <c r="O36" s="26">
        <v>22010.6</v>
      </c>
      <c r="P36" s="160" t="s">
        <v>60</v>
      </c>
      <c r="Q36" s="157" t="s">
        <v>52</v>
      </c>
      <c r="R36" s="313">
        <v>37253</v>
      </c>
      <c r="S36" s="319">
        <v>42569</v>
      </c>
    </row>
    <row r="37" spans="1:19" ht="15.75" x14ac:dyDescent="0.25">
      <c r="L37" s="328">
        <v>3013.2</v>
      </c>
      <c r="M37" s="30"/>
      <c r="N37" s="125"/>
      <c r="O37" s="26"/>
      <c r="P37" s="160"/>
      <c r="Q37" s="157" t="s">
        <v>52</v>
      </c>
      <c r="R37" s="313">
        <v>23710</v>
      </c>
      <c r="S37" s="319">
        <v>42570</v>
      </c>
    </row>
    <row r="38" spans="1:19" ht="15.75" x14ac:dyDescent="0.25">
      <c r="K38" s="30"/>
      <c r="L38" s="328">
        <f>7005.5+40200.4</f>
        <v>47205.9</v>
      </c>
      <c r="M38" s="30"/>
      <c r="N38" s="125" t="s">
        <v>501</v>
      </c>
      <c r="O38" s="26">
        <v>39905.279999999999</v>
      </c>
      <c r="P38" s="160" t="s">
        <v>60</v>
      </c>
      <c r="Q38" s="157" t="s">
        <v>52</v>
      </c>
      <c r="R38" s="313">
        <v>36500</v>
      </c>
      <c r="S38" s="319">
        <v>42571</v>
      </c>
    </row>
    <row r="39" spans="1:19" ht="15.75" x14ac:dyDescent="0.25">
      <c r="A39"/>
      <c r="B39"/>
      <c r="C39"/>
      <c r="D39"/>
      <c r="E39"/>
      <c r="F39"/>
      <c r="G39"/>
      <c r="K39" s="30"/>
      <c r="L39" s="324"/>
      <c r="M39" s="30"/>
      <c r="N39" s="125"/>
      <c r="O39" s="26"/>
      <c r="P39" s="160"/>
      <c r="Q39" s="157" t="s">
        <v>52</v>
      </c>
      <c r="R39" s="313">
        <v>5257.5</v>
      </c>
      <c r="S39" s="319">
        <v>42569</v>
      </c>
    </row>
    <row r="40" spans="1:19" ht="15.75" x14ac:dyDescent="0.25">
      <c r="A40"/>
      <c r="B40"/>
      <c r="C40"/>
      <c r="D40"/>
      <c r="E40"/>
      <c r="F40"/>
      <c r="G40"/>
      <c r="K40" s="30"/>
      <c r="L40" s="324"/>
      <c r="M40" s="30"/>
      <c r="N40" s="125"/>
      <c r="O40" s="26"/>
      <c r="P40" s="160"/>
      <c r="Q40" s="157" t="s">
        <v>52</v>
      </c>
      <c r="R40" s="313">
        <v>3553</v>
      </c>
      <c r="S40" s="319">
        <v>42570</v>
      </c>
    </row>
    <row r="41" spans="1:19" ht="15.75" x14ac:dyDescent="0.25">
      <c r="A41"/>
      <c r="B41"/>
      <c r="C41"/>
      <c r="D41"/>
      <c r="E41"/>
      <c r="F41"/>
      <c r="G41"/>
      <c r="K41" s="30"/>
      <c r="L41" s="324"/>
      <c r="M41" s="3"/>
      <c r="N41" s="123"/>
      <c r="O41" s="21"/>
      <c r="P41" s="232"/>
      <c r="Q41" s="233" t="s">
        <v>52</v>
      </c>
      <c r="R41" s="320">
        <v>35623.5</v>
      </c>
      <c r="S41" s="321">
        <v>42572</v>
      </c>
    </row>
    <row r="42" spans="1:19" ht="15.75" x14ac:dyDescent="0.25">
      <c r="A42"/>
      <c r="B42"/>
      <c r="C42"/>
      <c r="D42"/>
      <c r="E42"/>
      <c r="F42"/>
      <c r="G42"/>
      <c r="K42" s="30"/>
      <c r="M42" s="241">
        <f>SUM(M30:M41)</f>
        <v>331561.61999999994</v>
      </c>
      <c r="N42" s="165"/>
      <c r="O42" s="166"/>
      <c r="P42" s="165"/>
      <c r="Q42" s="240"/>
      <c r="R42" s="322">
        <v>0</v>
      </c>
      <c r="S42" s="319"/>
    </row>
    <row r="43" spans="1:19" ht="15.75" x14ac:dyDescent="0.25">
      <c r="A43"/>
      <c r="B43"/>
      <c r="C43"/>
      <c r="D43"/>
      <c r="E43"/>
      <c r="F43"/>
      <c r="G43"/>
      <c r="K43" s="30"/>
      <c r="N43" s="196"/>
      <c r="O43" s="26">
        <f>SUM(O30:O42)</f>
        <v>331560</v>
      </c>
      <c r="P43" s="43"/>
      <c r="Q43" s="219"/>
      <c r="R43" s="220">
        <f>SUM(R30:R42)</f>
        <v>331560</v>
      </c>
      <c r="S43" s="218"/>
    </row>
    <row r="44" spans="1:19" x14ac:dyDescent="0.25">
      <c r="A44"/>
      <c r="B44"/>
      <c r="C44"/>
      <c r="D44"/>
      <c r="E44"/>
      <c r="F44"/>
      <c r="G44"/>
      <c r="K44" s="3"/>
    </row>
    <row r="45" spans="1:19" x14ac:dyDescent="0.25">
      <c r="A45"/>
      <c r="B45"/>
      <c r="C45"/>
      <c r="D45"/>
      <c r="E45"/>
      <c r="F45"/>
      <c r="G45"/>
      <c r="K45" s="3"/>
    </row>
    <row r="46" spans="1:19" x14ac:dyDescent="0.25">
      <c r="A46"/>
      <c r="B46"/>
      <c r="C46"/>
      <c r="D46"/>
      <c r="E46"/>
      <c r="F46"/>
      <c r="G46"/>
      <c r="K46" s="241"/>
    </row>
    <row r="47" spans="1:19" x14ac:dyDescent="0.25">
      <c r="A47"/>
      <c r="B47"/>
      <c r="C47"/>
      <c r="D47"/>
      <c r="E47"/>
      <c r="F47"/>
      <c r="G47"/>
    </row>
  </sheetData>
  <sortState ref="A15:C20">
    <sortCondition ref="B15:B20"/>
  </sortState>
  <mergeCells count="1">
    <mergeCell ref="J1:K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3:M28"/>
  <sheetViews>
    <sheetView topLeftCell="A4" workbookViewId="0">
      <selection activeCell="L27" sqref="L27"/>
    </sheetView>
  </sheetViews>
  <sheetFormatPr baseColWidth="10" defaultRowHeight="15" x14ac:dyDescent="0.25"/>
  <cols>
    <col min="2" max="2" width="12.42578125" bestFit="1" customWidth="1"/>
    <col min="4" max="4" width="3.85546875" customWidth="1"/>
    <col min="5" max="5" width="11.42578125" style="3"/>
    <col min="9" max="9" width="12.42578125" bestFit="1" customWidth="1"/>
    <col min="11" max="11" width="3.85546875" customWidth="1"/>
    <col min="12" max="12" width="11.42578125" style="3"/>
  </cols>
  <sheetData>
    <row r="3" spans="1:13" ht="18.75" x14ac:dyDescent="0.3">
      <c r="B3" s="209">
        <v>42407</v>
      </c>
      <c r="I3" s="209"/>
    </row>
    <row r="4" spans="1:13" ht="18.75" x14ac:dyDescent="0.3">
      <c r="B4" s="255" t="s">
        <v>135</v>
      </c>
      <c r="C4" s="256"/>
      <c r="D4" s="165"/>
      <c r="E4" s="211" t="s">
        <v>137</v>
      </c>
      <c r="F4" s="212" t="s">
        <v>138</v>
      </c>
      <c r="I4" s="216" t="s">
        <v>144</v>
      </c>
      <c r="J4" s="252">
        <v>42393</v>
      </c>
      <c r="K4" s="165"/>
      <c r="L4" s="211" t="s">
        <v>137</v>
      </c>
      <c r="M4" s="212" t="s">
        <v>138</v>
      </c>
    </row>
    <row r="5" spans="1:13" ht="15.75" x14ac:dyDescent="0.25">
      <c r="B5" s="165" t="s">
        <v>136</v>
      </c>
      <c r="C5" s="213">
        <v>3000</v>
      </c>
      <c r="D5" s="165"/>
      <c r="E5" s="214">
        <v>0</v>
      </c>
      <c r="F5" s="254">
        <f>C5-E5</f>
        <v>3000</v>
      </c>
      <c r="I5" s="165" t="s">
        <v>136</v>
      </c>
      <c r="J5" s="213">
        <v>1500</v>
      </c>
      <c r="K5" s="165"/>
      <c r="L5" s="214">
        <v>0</v>
      </c>
      <c r="M5" s="254">
        <f>J5-L5</f>
        <v>1500</v>
      </c>
    </row>
    <row r="6" spans="1:13" ht="15.75" x14ac:dyDescent="0.25">
      <c r="B6" s="165"/>
      <c r="C6" s="215"/>
      <c r="D6" s="165"/>
      <c r="E6" s="214"/>
      <c r="F6" s="254">
        <f>F5-E6</f>
        <v>3000</v>
      </c>
      <c r="I6" s="165"/>
      <c r="J6" s="215"/>
      <c r="K6" s="165"/>
      <c r="L6" s="214"/>
      <c r="M6" s="254">
        <f>M5+J6-L6</f>
        <v>1500</v>
      </c>
    </row>
    <row r="7" spans="1:13" ht="15.75" x14ac:dyDescent="0.25">
      <c r="A7" s="89" t="s">
        <v>194</v>
      </c>
      <c r="B7" s="257">
        <v>42414</v>
      </c>
      <c r="C7" s="215">
        <v>0</v>
      </c>
      <c r="D7" s="165"/>
      <c r="E7" s="214"/>
      <c r="F7" s="254">
        <f t="shared" ref="F7:F25" si="0">F6-E7</f>
        <v>3000</v>
      </c>
      <c r="I7" s="165"/>
      <c r="J7" s="215"/>
      <c r="K7" s="165"/>
      <c r="L7" s="214"/>
      <c r="M7" s="254">
        <f t="shared" ref="M7:M28" si="1">M6+J7-L7</f>
        <v>1500</v>
      </c>
    </row>
    <row r="8" spans="1:13" ht="15.75" x14ac:dyDescent="0.25">
      <c r="A8" s="89" t="s">
        <v>194</v>
      </c>
      <c r="B8" s="257">
        <v>42421</v>
      </c>
      <c r="C8" s="215">
        <v>0</v>
      </c>
      <c r="D8" s="165"/>
      <c r="E8" s="214"/>
      <c r="F8" s="254">
        <f t="shared" si="0"/>
        <v>3000</v>
      </c>
      <c r="I8" s="253">
        <v>42407</v>
      </c>
      <c r="J8" s="215"/>
      <c r="K8" s="165"/>
      <c r="L8" s="214">
        <v>300</v>
      </c>
      <c r="M8" s="254">
        <f t="shared" si="1"/>
        <v>1200</v>
      </c>
    </row>
    <row r="9" spans="1:13" ht="15.75" x14ac:dyDescent="0.25">
      <c r="A9" s="89" t="s">
        <v>194</v>
      </c>
      <c r="B9" s="257">
        <v>42428</v>
      </c>
      <c r="C9" s="215">
        <v>0</v>
      </c>
      <c r="D9" s="165"/>
      <c r="E9" s="214"/>
      <c r="F9" s="254">
        <f t="shared" si="0"/>
        <v>3000</v>
      </c>
      <c r="I9" s="253">
        <v>42414</v>
      </c>
      <c r="J9" s="215"/>
      <c r="K9" s="165"/>
      <c r="L9" s="214">
        <v>300</v>
      </c>
      <c r="M9" s="254">
        <f t="shared" si="1"/>
        <v>900</v>
      </c>
    </row>
    <row r="10" spans="1:13" ht="15.75" x14ac:dyDescent="0.25">
      <c r="A10" s="89" t="s">
        <v>194</v>
      </c>
      <c r="B10" s="257">
        <v>42435</v>
      </c>
      <c r="C10" s="215">
        <v>0</v>
      </c>
      <c r="D10" s="165"/>
      <c r="E10" s="214"/>
      <c r="F10" s="254">
        <f t="shared" si="0"/>
        <v>3000</v>
      </c>
      <c r="I10" s="253">
        <v>42421</v>
      </c>
      <c r="J10" s="215"/>
      <c r="K10" s="165"/>
      <c r="L10" s="214">
        <v>300</v>
      </c>
      <c r="M10" s="254">
        <f t="shared" si="1"/>
        <v>600</v>
      </c>
    </row>
    <row r="11" spans="1:13" ht="15.75" x14ac:dyDescent="0.25">
      <c r="A11" s="89" t="s">
        <v>194</v>
      </c>
      <c r="B11" s="257">
        <v>42442</v>
      </c>
      <c r="C11" s="215">
        <v>0</v>
      </c>
      <c r="D11" s="165"/>
      <c r="E11" s="214"/>
      <c r="F11" s="254">
        <f t="shared" si="0"/>
        <v>3000</v>
      </c>
      <c r="I11" s="253">
        <v>42448</v>
      </c>
      <c r="J11" s="215"/>
      <c r="K11" s="165"/>
      <c r="L11" s="214">
        <v>300</v>
      </c>
      <c r="M11" s="254">
        <f t="shared" si="1"/>
        <v>300</v>
      </c>
    </row>
    <row r="12" spans="1:13" ht="15.75" x14ac:dyDescent="0.25">
      <c r="B12" s="257"/>
      <c r="C12" s="215"/>
      <c r="D12" s="165"/>
      <c r="E12" s="214"/>
      <c r="F12" s="254">
        <f t="shared" si="0"/>
        <v>3000</v>
      </c>
      <c r="I12" s="253">
        <v>42451</v>
      </c>
      <c r="J12" s="215"/>
      <c r="K12" s="165"/>
      <c r="L12" s="214">
        <v>300</v>
      </c>
      <c r="M12" s="254">
        <f t="shared" si="1"/>
        <v>0</v>
      </c>
    </row>
    <row r="13" spans="1:13" ht="15.75" x14ac:dyDescent="0.25">
      <c r="B13" s="257">
        <v>42451</v>
      </c>
      <c r="C13" s="215"/>
      <c r="D13" s="165"/>
      <c r="E13" s="214">
        <v>3000</v>
      </c>
      <c r="F13" s="254">
        <f t="shared" si="0"/>
        <v>0</v>
      </c>
      <c r="I13" s="253"/>
      <c r="J13" s="215"/>
      <c r="K13" s="165"/>
      <c r="L13" s="214"/>
      <c r="M13" s="254">
        <f t="shared" si="1"/>
        <v>0</v>
      </c>
    </row>
    <row r="14" spans="1:13" ht="15.75" x14ac:dyDescent="0.25">
      <c r="B14" s="257"/>
      <c r="C14" s="215"/>
      <c r="D14" s="165"/>
      <c r="E14" s="214"/>
      <c r="F14" s="254">
        <f t="shared" si="0"/>
        <v>0</v>
      </c>
      <c r="I14" s="253">
        <v>42450</v>
      </c>
      <c r="J14" s="215">
        <v>2500</v>
      </c>
      <c r="K14" s="165"/>
      <c r="L14" s="214"/>
      <c r="M14" s="254">
        <f t="shared" si="1"/>
        <v>2500</v>
      </c>
    </row>
    <row r="15" spans="1:13" ht="15.75" x14ac:dyDescent="0.25">
      <c r="B15" s="257"/>
      <c r="C15" s="215"/>
      <c r="D15" s="165"/>
      <c r="E15" s="214"/>
      <c r="F15" s="254">
        <f t="shared" si="0"/>
        <v>0</v>
      </c>
      <c r="I15" s="253">
        <v>42457</v>
      </c>
      <c r="J15" s="215"/>
      <c r="K15" s="165"/>
      <c r="L15" s="214">
        <v>500</v>
      </c>
      <c r="M15" s="254">
        <f t="shared" si="1"/>
        <v>2000</v>
      </c>
    </row>
    <row r="16" spans="1:13" ht="15.75" x14ac:dyDescent="0.25">
      <c r="B16" s="257"/>
      <c r="C16" s="215"/>
      <c r="D16" s="165"/>
      <c r="E16" s="214"/>
      <c r="F16" s="254">
        <f t="shared" si="0"/>
        <v>0</v>
      </c>
      <c r="I16" s="253">
        <v>42474</v>
      </c>
      <c r="J16" s="215"/>
      <c r="K16" s="165"/>
      <c r="L16" s="214">
        <v>500</v>
      </c>
      <c r="M16" s="254">
        <f t="shared" si="1"/>
        <v>1500</v>
      </c>
    </row>
    <row r="17" spans="2:13" ht="15.75" x14ac:dyDescent="0.25">
      <c r="B17" s="257"/>
      <c r="C17" s="215"/>
      <c r="D17" s="165"/>
      <c r="E17" s="214"/>
      <c r="F17" s="254">
        <f t="shared" si="0"/>
        <v>0</v>
      </c>
      <c r="I17" s="253">
        <v>42485</v>
      </c>
      <c r="J17" s="215"/>
      <c r="K17" s="165"/>
      <c r="L17" s="214">
        <v>500</v>
      </c>
      <c r="M17" s="254">
        <f t="shared" si="1"/>
        <v>1000</v>
      </c>
    </row>
    <row r="18" spans="2:13" ht="15.75" x14ac:dyDescent="0.25">
      <c r="B18" s="257"/>
      <c r="C18" s="215"/>
      <c r="D18" s="165"/>
      <c r="E18" s="214"/>
      <c r="F18" s="254">
        <f t="shared" si="0"/>
        <v>0</v>
      </c>
      <c r="I18" s="253">
        <v>42498</v>
      </c>
      <c r="J18" s="215"/>
      <c r="K18" s="165"/>
      <c r="L18" s="214">
        <v>500</v>
      </c>
      <c r="M18" s="254">
        <f t="shared" si="1"/>
        <v>500</v>
      </c>
    </row>
    <row r="19" spans="2:13" ht="15.75" x14ac:dyDescent="0.25">
      <c r="B19" s="257"/>
      <c r="C19" s="215"/>
      <c r="D19" s="165"/>
      <c r="E19" s="214"/>
      <c r="F19" s="254">
        <f t="shared" si="0"/>
        <v>0</v>
      </c>
      <c r="I19" s="253">
        <v>42506</v>
      </c>
      <c r="J19" s="215"/>
      <c r="K19" s="165"/>
      <c r="L19" s="214">
        <v>500</v>
      </c>
      <c r="M19" s="254">
        <f t="shared" si="1"/>
        <v>0</v>
      </c>
    </row>
    <row r="20" spans="2:13" ht="15.75" x14ac:dyDescent="0.25">
      <c r="B20" s="257"/>
      <c r="C20" s="215"/>
      <c r="D20" s="165"/>
      <c r="E20" s="214"/>
      <c r="F20" s="254">
        <f t="shared" si="0"/>
        <v>0</v>
      </c>
      <c r="I20" s="253"/>
      <c r="J20" s="215"/>
      <c r="K20" s="165"/>
      <c r="L20" s="214"/>
      <c r="M20" s="254">
        <f t="shared" si="1"/>
        <v>0</v>
      </c>
    </row>
    <row r="21" spans="2:13" ht="15.75" x14ac:dyDescent="0.25">
      <c r="B21" s="257"/>
      <c r="C21" s="215"/>
      <c r="D21" s="165"/>
      <c r="E21" s="214"/>
      <c r="F21" s="254">
        <f t="shared" si="0"/>
        <v>0</v>
      </c>
      <c r="I21" s="253">
        <v>42535</v>
      </c>
      <c r="J21" s="215">
        <v>3300</v>
      </c>
      <c r="K21" s="165"/>
      <c r="L21" s="214"/>
      <c r="M21" s="254">
        <f>J21</f>
        <v>3300</v>
      </c>
    </row>
    <row r="22" spans="2:13" ht="15.75" x14ac:dyDescent="0.25">
      <c r="B22" s="257"/>
      <c r="C22" s="215"/>
      <c r="D22" s="165"/>
      <c r="E22" s="214"/>
      <c r="F22" s="254">
        <f t="shared" si="0"/>
        <v>0</v>
      </c>
      <c r="I22" s="253">
        <v>42549</v>
      </c>
      <c r="J22" s="215"/>
      <c r="K22" s="165"/>
      <c r="L22" s="214">
        <v>600</v>
      </c>
      <c r="M22" s="254">
        <f t="shared" si="1"/>
        <v>2700</v>
      </c>
    </row>
    <row r="23" spans="2:13" ht="15.75" x14ac:dyDescent="0.25">
      <c r="B23" s="257"/>
      <c r="C23" s="215"/>
      <c r="D23" s="165"/>
      <c r="E23" s="214"/>
      <c r="F23" s="254">
        <f t="shared" si="0"/>
        <v>0</v>
      </c>
      <c r="I23" s="253">
        <v>42554</v>
      </c>
      <c r="J23" s="315"/>
      <c r="K23" s="165"/>
      <c r="L23" s="214">
        <v>500</v>
      </c>
      <c r="M23" s="254">
        <f t="shared" si="1"/>
        <v>2200</v>
      </c>
    </row>
    <row r="24" spans="2:13" ht="15.75" x14ac:dyDescent="0.25">
      <c r="B24" s="257"/>
      <c r="C24" s="215"/>
      <c r="D24" s="165"/>
      <c r="E24" s="214"/>
      <c r="F24" s="254">
        <f t="shared" si="0"/>
        <v>0</v>
      </c>
      <c r="I24" s="253">
        <v>42561</v>
      </c>
      <c r="J24" s="215"/>
      <c r="K24" s="165"/>
      <c r="L24" s="214">
        <v>500</v>
      </c>
      <c r="M24" s="254">
        <f t="shared" si="1"/>
        <v>1700</v>
      </c>
    </row>
    <row r="25" spans="2:13" x14ac:dyDescent="0.25">
      <c r="B25" s="257"/>
      <c r="C25" s="165"/>
      <c r="D25" s="165"/>
      <c r="E25" s="214"/>
      <c r="F25" s="254">
        <f t="shared" si="0"/>
        <v>0</v>
      </c>
      <c r="I25" s="253">
        <v>42568</v>
      </c>
      <c r="J25" s="165"/>
      <c r="K25" s="165"/>
      <c r="L25" s="214">
        <v>500</v>
      </c>
      <c r="M25" s="254">
        <f t="shared" si="1"/>
        <v>1200</v>
      </c>
    </row>
    <row r="26" spans="2:13" x14ac:dyDescent="0.25">
      <c r="B26" s="257"/>
      <c r="C26" s="165"/>
      <c r="D26" s="165"/>
      <c r="E26" s="214"/>
      <c r="F26" s="165"/>
      <c r="I26" s="253">
        <v>42575</v>
      </c>
      <c r="J26" s="165"/>
      <c r="K26" s="165"/>
      <c r="L26" s="214">
        <v>500</v>
      </c>
      <c r="M26" s="254">
        <f t="shared" si="1"/>
        <v>700</v>
      </c>
    </row>
    <row r="27" spans="2:13" x14ac:dyDescent="0.25">
      <c r="B27" s="165"/>
      <c r="C27" s="165"/>
      <c r="D27" s="165"/>
      <c r="E27" s="214"/>
      <c r="F27" s="165"/>
      <c r="I27" s="253"/>
      <c r="J27" s="165"/>
      <c r="K27" s="165"/>
      <c r="L27" s="214"/>
      <c r="M27" s="254">
        <f t="shared" si="1"/>
        <v>700</v>
      </c>
    </row>
    <row r="28" spans="2:13" x14ac:dyDescent="0.25">
      <c r="B28" s="165"/>
      <c r="C28" s="165"/>
      <c r="D28" s="165"/>
      <c r="E28" s="214"/>
      <c r="F28" s="165"/>
      <c r="I28" s="165"/>
      <c r="J28" s="165"/>
      <c r="K28" s="165"/>
      <c r="L28" s="214"/>
      <c r="M28" s="254">
        <f t="shared" si="1"/>
        <v>700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topLeftCell="A19" workbookViewId="0">
      <selection activeCell="B38" sqref="B3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29" t="s">
        <v>114</v>
      </c>
      <c r="E27" s="36">
        <f>41782.12+600+12847.53</f>
        <v>55229.65</v>
      </c>
      <c r="F27" s="127">
        <f t="shared" si="0"/>
        <v>0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91">
        <v>42411</v>
      </c>
      <c r="E28" s="36">
        <v>29941.8</v>
      </c>
      <c r="F28" s="127">
        <f t="shared" si="0"/>
        <v>0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91">
        <v>42411</v>
      </c>
      <c r="E29" s="36">
        <v>28839.3</v>
      </c>
      <c r="F29" s="127">
        <f t="shared" si="0"/>
        <v>0</v>
      </c>
      <c r="K29" s="146" t="s">
        <v>46</v>
      </c>
      <c r="L29" s="147"/>
      <c r="M29" s="148"/>
      <c r="N29" s="181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91">
        <v>42411</v>
      </c>
      <c r="E30" s="36">
        <v>59720.89</v>
      </c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91">
        <v>42411</v>
      </c>
      <c r="E31" s="36">
        <v>96222.69</v>
      </c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91">
        <v>42411</v>
      </c>
      <c r="E32" s="36">
        <v>7469</v>
      </c>
      <c r="F32" s="127">
        <f t="shared" si="0"/>
        <v>0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91">
        <v>42411</v>
      </c>
      <c r="E33" s="192">
        <v>57210.3</v>
      </c>
      <c r="F33" s="127">
        <f t="shared" si="0"/>
        <v>0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91">
        <v>42411</v>
      </c>
      <c r="E34" s="192">
        <v>52572.05</v>
      </c>
      <c r="F34" s="127">
        <f>C34-E34</f>
        <v>0</v>
      </c>
      <c r="J34" s="123" t="s">
        <v>63</v>
      </c>
      <c r="K34" s="21">
        <v>25994.7</v>
      </c>
      <c r="L34" s="160"/>
      <c r="M34" s="182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91">
        <v>42411</v>
      </c>
      <c r="E35" s="192">
        <v>128791.35</v>
      </c>
      <c r="F35" s="127">
        <f>C35-E35</f>
        <v>0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1612419.943</v>
      </c>
      <c r="F45" s="30">
        <f>SUM(F3:F44)</f>
        <v>0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customFormat="1" x14ac:dyDescent="0.25">
      <c r="A49" s="20"/>
      <c r="B49" s="20"/>
      <c r="C49" s="30"/>
      <c r="D49" s="20"/>
      <c r="E49" s="30"/>
      <c r="F49" s="30"/>
      <c r="G49" s="20"/>
    </row>
    <row r="50" spans="1:7" customFormat="1" x14ac:dyDescent="0.25">
      <c r="A50" s="20"/>
      <c r="B50" s="20"/>
      <c r="C50" s="20"/>
      <c r="D50" s="20"/>
      <c r="E50" s="20"/>
      <c r="F50" s="20"/>
      <c r="G50" s="20"/>
    </row>
    <row r="51" spans="1:7" customFormat="1" x14ac:dyDescent="0.25">
      <c r="A51" s="20"/>
      <c r="B51" s="20"/>
      <c r="C51" s="20"/>
      <c r="D51" s="20"/>
      <c r="E51" s="20"/>
      <c r="F51" s="20"/>
      <c r="G51" s="20"/>
    </row>
    <row r="52" spans="1:7" customFormat="1" x14ac:dyDescent="0.25">
      <c r="A52" s="20"/>
      <c r="B52" s="20"/>
      <c r="C52" s="20"/>
      <c r="D52" s="20"/>
      <c r="E52" s="20"/>
      <c r="F52" s="20"/>
      <c r="G52" s="20"/>
    </row>
    <row r="53" spans="1:7" customFormat="1" x14ac:dyDescent="0.25">
      <c r="A53" s="20"/>
      <c r="B53" s="20"/>
      <c r="C53" s="20"/>
      <c r="D53" s="20"/>
      <c r="E53" s="20"/>
      <c r="F53" s="20"/>
      <c r="G53" s="20"/>
    </row>
    <row r="54" spans="1:7" customFormat="1" x14ac:dyDescent="0.25">
      <c r="A54" s="20"/>
      <c r="B54" s="20"/>
      <c r="C54" s="20"/>
      <c r="D54" s="20"/>
      <c r="E54" s="20"/>
      <c r="F54" s="20"/>
    </row>
    <row r="55" spans="1:7" customFormat="1" x14ac:dyDescent="0.25">
      <c r="A55" s="20"/>
      <c r="B55" s="20"/>
      <c r="C55" s="20"/>
      <c r="D55" s="20"/>
      <c r="E55" s="20"/>
      <c r="F55" s="20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A19" workbookViewId="0">
      <selection activeCell="N22" sqref="N2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60" t="s">
        <v>102</v>
      </c>
      <c r="D1" s="360"/>
      <c r="E1" s="360"/>
      <c r="F1" s="360"/>
      <c r="G1" s="360"/>
      <c r="H1" s="360"/>
      <c r="I1" s="360"/>
      <c r="J1" s="360"/>
      <c r="K1" s="360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170511.25</v>
      </c>
      <c r="D4" s="12"/>
      <c r="E4" s="361" t="s">
        <v>3</v>
      </c>
      <c r="F4" s="362"/>
      <c r="I4" s="363" t="s">
        <v>4</v>
      </c>
      <c r="J4" s="364"/>
      <c r="K4" s="364"/>
      <c r="L4" s="364"/>
      <c r="M4" s="13" t="s">
        <v>5</v>
      </c>
    </row>
    <row r="5" spans="1:19" ht="15.75" thickTop="1" x14ac:dyDescent="0.25">
      <c r="A5" s="14"/>
      <c r="B5" s="15">
        <v>42401</v>
      </c>
      <c r="C5" s="16">
        <f>430+388</f>
        <v>818</v>
      </c>
      <c r="D5" s="17" t="s">
        <v>120</v>
      </c>
      <c r="E5" s="18">
        <v>42401</v>
      </c>
      <c r="F5" s="19">
        <v>49040.75</v>
      </c>
      <c r="G5" s="20"/>
      <c r="H5" s="186">
        <v>42401</v>
      </c>
      <c r="I5" s="187">
        <f>500+350</f>
        <v>850</v>
      </c>
      <c r="J5" s="176"/>
      <c r="K5" s="188"/>
      <c r="L5" s="189"/>
      <c r="M5" s="190">
        <v>50303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42402</v>
      </c>
      <c r="C6" s="16">
        <v>384</v>
      </c>
      <c r="D6" s="22" t="s">
        <v>121</v>
      </c>
      <c r="E6" s="18">
        <v>42402</v>
      </c>
      <c r="F6" s="19">
        <v>32848.54</v>
      </c>
      <c r="G6" s="23"/>
      <c r="H6" s="24">
        <v>42402</v>
      </c>
      <c r="I6" s="25">
        <v>100</v>
      </c>
      <c r="J6" s="26"/>
      <c r="K6" s="27" t="s">
        <v>7</v>
      </c>
      <c r="L6" s="28">
        <v>538</v>
      </c>
      <c r="M6" s="33">
        <v>41933</v>
      </c>
      <c r="N6" s="30"/>
      <c r="O6" s="20"/>
      <c r="P6" s="20"/>
      <c r="Q6" s="20"/>
    </row>
    <row r="7" spans="1:19" x14ac:dyDescent="0.25">
      <c r="A7" s="14"/>
      <c r="B7" s="15">
        <v>42403</v>
      </c>
      <c r="C7" s="16">
        <v>640</v>
      </c>
      <c r="D7" s="17" t="s">
        <v>122</v>
      </c>
      <c r="E7" s="18">
        <v>42403</v>
      </c>
      <c r="F7" s="19">
        <v>46508.71</v>
      </c>
      <c r="G7" s="20"/>
      <c r="H7" s="24">
        <v>42403</v>
      </c>
      <c r="I7" s="25">
        <v>0</v>
      </c>
      <c r="J7" s="26"/>
      <c r="K7" s="31" t="s">
        <v>8</v>
      </c>
      <c r="L7" s="28">
        <v>11837</v>
      </c>
      <c r="M7" s="33">
        <v>49690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42404</v>
      </c>
      <c r="C8" s="16">
        <v>0</v>
      </c>
      <c r="D8" s="17"/>
      <c r="E8" s="18">
        <v>42404</v>
      </c>
      <c r="F8" s="19">
        <v>39236.910000000003</v>
      </c>
      <c r="G8" s="20"/>
      <c r="H8" s="24">
        <v>42404</v>
      </c>
      <c r="I8" s="25">
        <v>762.49</v>
      </c>
      <c r="J8" s="26"/>
      <c r="K8" s="27" t="s">
        <v>10</v>
      </c>
      <c r="L8" s="32">
        <v>28750</v>
      </c>
      <c r="M8" s="33">
        <v>43575</v>
      </c>
      <c r="N8" s="21"/>
      <c r="O8" s="20"/>
      <c r="P8" s="20"/>
      <c r="Q8" s="20"/>
    </row>
    <row r="9" spans="1:19" x14ac:dyDescent="0.25">
      <c r="A9" s="14"/>
      <c r="B9" s="15">
        <v>42405</v>
      </c>
      <c r="C9" s="16">
        <v>0</v>
      </c>
      <c r="D9" s="34"/>
      <c r="E9" s="18">
        <v>42405</v>
      </c>
      <c r="F9" s="19">
        <v>64256.12</v>
      </c>
      <c r="G9" s="20"/>
      <c r="H9" s="24">
        <v>42405</v>
      </c>
      <c r="I9" s="25">
        <v>84</v>
      </c>
      <c r="J9" s="35"/>
      <c r="K9" s="27" t="s">
        <v>140</v>
      </c>
      <c r="L9" s="28">
        <v>11150</v>
      </c>
      <c r="M9" s="33">
        <v>67723</v>
      </c>
      <c r="N9" s="21"/>
      <c r="O9" s="37"/>
      <c r="P9" s="20"/>
      <c r="Q9" s="20"/>
    </row>
    <row r="10" spans="1:19" x14ac:dyDescent="0.25">
      <c r="A10" s="14"/>
      <c r="B10" s="15">
        <v>42406</v>
      </c>
      <c r="C10" s="16">
        <v>2140</v>
      </c>
      <c r="D10" s="34" t="s">
        <v>134</v>
      </c>
      <c r="E10" s="18">
        <v>42406</v>
      </c>
      <c r="F10" s="19">
        <v>75264.73</v>
      </c>
      <c r="G10" s="20"/>
      <c r="H10" s="24">
        <v>42406</v>
      </c>
      <c r="I10" s="25">
        <v>500</v>
      </c>
      <c r="J10" s="35"/>
      <c r="K10" s="27" t="s">
        <v>139</v>
      </c>
      <c r="L10" s="19">
        <v>11150</v>
      </c>
      <c r="M10" s="33">
        <f>28882.21+63000+2085.44</f>
        <v>93967.65</v>
      </c>
      <c r="N10" s="208">
        <v>2085.44</v>
      </c>
      <c r="O10" s="20"/>
      <c r="P10" s="20"/>
      <c r="Q10" s="20"/>
    </row>
    <row r="11" spans="1:19" x14ac:dyDescent="0.25">
      <c r="A11" s="14"/>
      <c r="B11" s="15">
        <v>42407</v>
      </c>
      <c r="C11" s="16">
        <v>318</v>
      </c>
      <c r="D11" s="34" t="s">
        <v>123</v>
      </c>
      <c r="E11" s="18">
        <v>42407</v>
      </c>
      <c r="F11" s="19">
        <v>65213.57</v>
      </c>
      <c r="G11" s="20"/>
      <c r="H11" s="24">
        <v>42407</v>
      </c>
      <c r="I11" s="25">
        <v>0</v>
      </c>
      <c r="J11" s="35"/>
      <c r="K11" s="27" t="s">
        <v>141</v>
      </c>
      <c r="L11" s="19">
        <v>11442</v>
      </c>
      <c r="M11" s="33">
        <v>52845</v>
      </c>
      <c r="N11" s="36"/>
      <c r="O11" s="20"/>
      <c r="P11" s="20"/>
      <c r="Q11" s="20"/>
    </row>
    <row r="12" spans="1:19" x14ac:dyDescent="0.25">
      <c r="A12" s="14"/>
      <c r="B12" s="15">
        <v>42408</v>
      </c>
      <c r="C12" s="16">
        <v>0</v>
      </c>
      <c r="D12" s="17"/>
      <c r="E12" s="18">
        <v>42408</v>
      </c>
      <c r="F12" s="19">
        <v>41950.68</v>
      </c>
      <c r="G12" s="20"/>
      <c r="H12" s="24">
        <v>42408</v>
      </c>
      <c r="I12" s="25">
        <v>0</v>
      </c>
      <c r="J12" s="35" t="s">
        <v>79</v>
      </c>
      <c r="K12" s="27" t="s">
        <v>142</v>
      </c>
      <c r="L12" s="19">
        <v>11150</v>
      </c>
      <c r="M12" s="33">
        <v>41950.5</v>
      </c>
      <c r="N12" s="21"/>
      <c r="O12" s="37"/>
      <c r="P12" s="38"/>
      <c r="Q12" s="20"/>
    </row>
    <row r="13" spans="1:19" x14ac:dyDescent="0.25">
      <c r="A13" s="14"/>
      <c r="B13" s="15">
        <v>42409</v>
      </c>
      <c r="C13" s="16">
        <v>0</v>
      </c>
      <c r="D13" s="34"/>
      <c r="E13" s="18">
        <v>42409</v>
      </c>
      <c r="F13" s="19">
        <v>34910.25</v>
      </c>
      <c r="G13" s="20"/>
      <c r="H13" s="24">
        <v>42409</v>
      </c>
      <c r="I13" s="25">
        <v>100</v>
      </c>
      <c r="J13" s="35"/>
      <c r="K13" s="27"/>
      <c r="L13" s="19">
        <v>0</v>
      </c>
      <c r="M13" s="33">
        <v>34810</v>
      </c>
      <c r="N13" s="21"/>
      <c r="O13" s="20"/>
      <c r="P13" s="20"/>
      <c r="Q13" s="20"/>
    </row>
    <row r="14" spans="1:19" x14ac:dyDescent="0.25">
      <c r="A14" s="14"/>
      <c r="B14" s="15">
        <v>42410</v>
      </c>
      <c r="C14" s="16">
        <v>0</v>
      </c>
      <c r="D14" s="17"/>
      <c r="E14" s="18">
        <v>42410</v>
      </c>
      <c r="F14" s="19">
        <v>27869.439999999999</v>
      </c>
      <c r="G14" s="20"/>
      <c r="H14" s="24">
        <v>42410</v>
      </c>
      <c r="I14" s="25">
        <v>100</v>
      </c>
      <c r="J14" s="35"/>
      <c r="K14" s="39"/>
      <c r="L14" s="19">
        <v>0</v>
      </c>
      <c r="M14" s="33">
        <v>27231</v>
      </c>
      <c r="N14" s="21"/>
      <c r="O14" s="20"/>
      <c r="P14" s="20"/>
      <c r="Q14" s="20"/>
    </row>
    <row r="15" spans="1:19" x14ac:dyDescent="0.25">
      <c r="A15" s="14"/>
      <c r="B15" s="15">
        <v>42411</v>
      </c>
      <c r="C15" s="16">
        <v>354</v>
      </c>
      <c r="D15" s="17" t="s">
        <v>123</v>
      </c>
      <c r="E15" s="18">
        <v>42411</v>
      </c>
      <c r="F15" s="19">
        <v>36307.03</v>
      </c>
      <c r="G15" s="20"/>
      <c r="H15" s="24">
        <v>42411</v>
      </c>
      <c r="I15" s="25">
        <v>0</v>
      </c>
      <c r="J15" s="35"/>
      <c r="K15" s="40" t="s">
        <v>11</v>
      </c>
      <c r="L15" s="19">
        <v>0</v>
      </c>
      <c r="M15" s="33">
        <v>35953</v>
      </c>
      <c r="N15" s="30"/>
      <c r="O15" s="20"/>
      <c r="P15" s="20"/>
      <c r="Q15" s="20"/>
    </row>
    <row r="16" spans="1:19" x14ac:dyDescent="0.25">
      <c r="A16" s="14"/>
      <c r="B16" s="15">
        <v>42412</v>
      </c>
      <c r="C16" s="16">
        <v>0</v>
      </c>
      <c r="D16" s="34"/>
      <c r="E16" s="18">
        <v>42412</v>
      </c>
      <c r="F16" s="19">
        <v>71453.2</v>
      </c>
      <c r="G16" s="20"/>
      <c r="H16" s="24">
        <v>42412</v>
      </c>
      <c r="I16" s="25">
        <v>0</v>
      </c>
      <c r="J16" s="35"/>
      <c r="K16" s="41" t="s">
        <v>81</v>
      </c>
      <c r="L16" s="42">
        <v>0</v>
      </c>
      <c r="M16" s="33">
        <f>69960.2+100</f>
        <v>70060.2</v>
      </c>
      <c r="N16" s="30">
        <v>100</v>
      </c>
      <c r="O16" s="20" t="s">
        <v>124</v>
      </c>
      <c r="P16" s="20"/>
      <c r="Q16" s="20"/>
    </row>
    <row r="17" spans="1:18" x14ac:dyDescent="0.25">
      <c r="A17" s="14"/>
      <c r="B17" s="15">
        <v>42413</v>
      </c>
      <c r="C17" s="16">
        <v>336</v>
      </c>
      <c r="D17" s="17" t="s">
        <v>66</v>
      </c>
      <c r="E17" s="18">
        <v>42413</v>
      </c>
      <c r="F17" s="19">
        <v>66193.09</v>
      </c>
      <c r="G17" s="20"/>
      <c r="H17" s="24">
        <v>42413</v>
      </c>
      <c r="I17" s="25">
        <f>300+350+512.34</f>
        <v>1162.3400000000001</v>
      </c>
      <c r="J17" s="35"/>
      <c r="K17" s="180"/>
      <c r="L17" s="19">
        <v>0</v>
      </c>
      <c r="M17" s="33">
        <v>64695</v>
      </c>
      <c r="N17" s="30"/>
      <c r="O17" s="20"/>
      <c r="P17" s="20"/>
      <c r="Q17" s="20"/>
    </row>
    <row r="18" spans="1:18" x14ac:dyDescent="0.25">
      <c r="A18" s="14"/>
      <c r="B18" s="15">
        <v>42414</v>
      </c>
      <c r="C18" s="16">
        <v>25</v>
      </c>
      <c r="D18" s="17" t="s">
        <v>66</v>
      </c>
      <c r="E18" s="18">
        <v>42414</v>
      </c>
      <c r="F18" s="19">
        <v>71565.119999999995</v>
      </c>
      <c r="G18" s="20"/>
      <c r="H18" s="24">
        <v>42414</v>
      </c>
      <c r="I18" s="25">
        <v>39.5</v>
      </c>
      <c r="J18" s="35"/>
      <c r="K18" s="41" t="s">
        <v>12</v>
      </c>
      <c r="L18" s="19">
        <v>0</v>
      </c>
      <c r="M18" s="33">
        <v>67541</v>
      </c>
      <c r="N18" s="21"/>
      <c r="O18" s="37"/>
      <c r="P18" s="20"/>
      <c r="Q18" s="20"/>
    </row>
    <row r="19" spans="1:18" x14ac:dyDescent="0.25">
      <c r="A19" s="14"/>
      <c r="B19" s="15">
        <v>42415</v>
      </c>
      <c r="C19" s="16">
        <v>1032</v>
      </c>
      <c r="D19" s="34" t="s">
        <v>120</v>
      </c>
      <c r="E19" s="18">
        <v>42415</v>
      </c>
      <c r="F19" s="19">
        <v>53089.75</v>
      </c>
      <c r="G19" s="20"/>
      <c r="H19" s="24">
        <v>42415</v>
      </c>
      <c r="I19" s="25">
        <v>78</v>
      </c>
      <c r="J19" s="35"/>
      <c r="K19" s="43" t="s">
        <v>13</v>
      </c>
      <c r="L19" s="44">
        <v>0</v>
      </c>
      <c r="M19" s="33">
        <v>51980</v>
      </c>
      <c r="N19" s="21"/>
      <c r="O19" s="20"/>
      <c r="P19" s="20"/>
      <c r="Q19" s="20"/>
    </row>
    <row r="20" spans="1:18" x14ac:dyDescent="0.25">
      <c r="A20" s="14"/>
      <c r="B20" s="15">
        <v>42416</v>
      </c>
      <c r="C20" s="16">
        <v>0</v>
      </c>
      <c r="D20" s="22"/>
      <c r="E20" s="18">
        <v>42416</v>
      </c>
      <c r="F20" s="19">
        <v>43152.57</v>
      </c>
      <c r="G20" s="20"/>
      <c r="H20" s="24">
        <v>42416</v>
      </c>
      <c r="I20" s="45">
        <v>100</v>
      </c>
      <c r="J20" s="35"/>
      <c r="K20" s="46" t="s">
        <v>14</v>
      </c>
      <c r="L20" s="42">
        <v>0</v>
      </c>
      <c r="M20" s="33">
        <v>43052.5</v>
      </c>
      <c r="N20" s="30"/>
      <c r="O20" s="20"/>
      <c r="P20" s="20"/>
      <c r="Q20" s="20"/>
    </row>
    <row r="21" spans="1:18" x14ac:dyDescent="0.25">
      <c r="A21" s="14"/>
      <c r="B21" s="15">
        <v>42417</v>
      </c>
      <c r="C21" s="16">
        <v>850</v>
      </c>
      <c r="D21" s="17" t="s">
        <v>146</v>
      </c>
      <c r="E21" s="18">
        <v>42417</v>
      </c>
      <c r="F21" s="19">
        <v>35438.53</v>
      </c>
      <c r="G21" s="20"/>
      <c r="H21" s="24">
        <v>42417</v>
      </c>
      <c r="I21" s="45">
        <v>0</v>
      </c>
      <c r="J21" s="35"/>
      <c r="K21" s="47" t="s">
        <v>15</v>
      </c>
      <c r="L21" s="42">
        <v>0</v>
      </c>
      <c r="M21" s="33">
        <v>34588.5</v>
      </c>
      <c r="N21" s="30"/>
      <c r="O21" s="37"/>
      <c r="P21" s="37"/>
      <c r="Q21" s="37"/>
      <c r="R21" s="37"/>
    </row>
    <row r="22" spans="1:18" x14ac:dyDescent="0.25">
      <c r="A22" s="14"/>
      <c r="B22" s="15">
        <v>42418</v>
      </c>
      <c r="C22" s="16">
        <v>0</v>
      </c>
      <c r="D22" s="34"/>
      <c r="E22" s="18">
        <v>42418</v>
      </c>
      <c r="F22" s="19">
        <v>43213.78</v>
      </c>
      <c r="G22" s="20"/>
      <c r="H22" s="24">
        <v>42418</v>
      </c>
      <c r="I22" s="45">
        <v>250</v>
      </c>
      <c r="J22" s="48"/>
      <c r="K22" s="49" t="s">
        <v>29</v>
      </c>
      <c r="L22" s="42">
        <v>0</v>
      </c>
      <c r="M22" s="33">
        <v>42964</v>
      </c>
      <c r="N22" s="30"/>
      <c r="O22" s="20"/>
      <c r="P22" s="20"/>
      <c r="Q22" s="20"/>
    </row>
    <row r="23" spans="1:18" x14ac:dyDescent="0.25">
      <c r="A23" s="14"/>
      <c r="B23" s="15">
        <v>42419</v>
      </c>
      <c r="C23" s="16">
        <v>365</v>
      </c>
      <c r="D23" s="34" t="s">
        <v>123</v>
      </c>
      <c r="E23" s="18">
        <v>42419</v>
      </c>
      <c r="F23" s="19">
        <v>57760.42</v>
      </c>
      <c r="G23" s="20"/>
      <c r="H23" s="24">
        <v>42419</v>
      </c>
      <c r="I23" s="45">
        <v>0</v>
      </c>
      <c r="J23" s="26"/>
      <c r="K23" s="249" t="s">
        <v>183</v>
      </c>
      <c r="L23" s="250">
        <v>3000</v>
      </c>
      <c r="M23" s="33">
        <v>57395</v>
      </c>
      <c r="N23" s="30"/>
      <c r="O23" s="20"/>
      <c r="P23" s="20"/>
      <c r="Q23" s="20"/>
    </row>
    <row r="24" spans="1:18" x14ac:dyDescent="0.25">
      <c r="A24" s="14"/>
      <c r="B24" s="15">
        <v>42420</v>
      </c>
      <c r="C24" s="16">
        <v>468</v>
      </c>
      <c r="D24" s="34" t="s">
        <v>83</v>
      </c>
      <c r="E24" s="18">
        <v>42420</v>
      </c>
      <c r="F24" s="19">
        <v>64592.53</v>
      </c>
      <c r="G24" s="20"/>
      <c r="H24" s="24">
        <v>42420</v>
      </c>
      <c r="I24" s="45">
        <v>400</v>
      </c>
      <c r="J24" s="35"/>
      <c r="K24" s="51" t="s">
        <v>143</v>
      </c>
      <c r="L24" s="42">
        <v>2000</v>
      </c>
      <c r="M24" s="33">
        <v>63724.5</v>
      </c>
      <c r="N24" s="30"/>
      <c r="O24" s="20"/>
      <c r="P24" s="20"/>
      <c r="Q24" s="20"/>
    </row>
    <row r="25" spans="1:18" x14ac:dyDescent="0.25">
      <c r="A25" s="14"/>
      <c r="B25" s="15">
        <v>42421</v>
      </c>
      <c r="C25" s="16">
        <v>0</v>
      </c>
      <c r="D25" s="17"/>
      <c r="E25" s="18">
        <v>42421</v>
      </c>
      <c r="F25" s="19">
        <v>53361.96</v>
      </c>
      <c r="G25" s="20"/>
      <c r="H25" s="24">
        <v>42421</v>
      </c>
      <c r="I25" s="45">
        <v>21</v>
      </c>
      <c r="J25" s="26"/>
      <c r="K25" s="51" t="s">
        <v>145</v>
      </c>
      <c r="L25" s="42">
        <v>3000</v>
      </c>
      <c r="M25" s="33">
        <v>43000</v>
      </c>
      <c r="N25" s="21"/>
      <c r="O25" s="20"/>
      <c r="P25" s="20"/>
      <c r="Q25" s="20"/>
    </row>
    <row r="26" spans="1:18" x14ac:dyDescent="0.25">
      <c r="A26" s="14"/>
      <c r="B26" s="15">
        <v>42422</v>
      </c>
      <c r="C26" s="16">
        <v>0</v>
      </c>
      <c r="D26" s="17"/>
      <c r="E26" s="18">
        <v>42422</v>
      </c>
      <c r="F26" s="19">
        <v>68602.44</v>
      </c>
      <c r="G26" s="20"/>
      <c r="H26" s="24">
        <v>42422</v>
      </c>
      <c r="I26" s="45">
        <v>100</v>
      </c>
      <c r="J26" s="52"/>
      <c r="K26" s="50" t="s">
        <v>147</v>
      </c>
      <c r="L26" s="42">
        <v>3000</v>
      </c>
      <c r="M26" s="33">
        <f>35380+11663.5+1877+5675+2856+11051.2</f>
        <v>68502.7</v>
      </c>
      <c r="N26" s="21"/>
      <c r="O26" s="37"/>
      <c r="P26" s="38"/>
      <c r="Q26" s="20"/>
    </row>
    <row r="27" spans="1:18" x14ac:dyDescent="0.25">
      <c r="A27" s="14"/>
      <c r="B27" s="15">
        <v>42423</v>
      </c>
      <c r="C27" s="16">
        <v>456</v>
      </c>
      <c r="D27" s="17" t="s">
        <v>83</v>
      </c>
      <c r="E27" s="18">
        <v>42423</v>
      </c>
      <c r="F27" s="19">
        <v>38520.32</v>
      </c>
      <c r="G27" s="20"/>
      <c r="H27" s="24">
        <v>42423</v>
      </c>
      <c r="I27" s="45">
        <v>724.69</v>
      </c>
      <c r="J27" s="26"/>
      <c r="K27" s="53"/>
      <c r="L27" s="42">
        <v>0</v>
      </c>
      <c r="M27" s="33">
        <v>37340</v>
      </c>
      <c r="N27" s="21"/>
      <c r="O27" s="20"/>
      <c r="P27" s="20"/>
      <c r="Q27" s="20"/>
    </row>
    <row r="28" spans="1:18" x14ac:dyDescent="0.25">
      <c r="A28" s="14"/>
      <c r="B28" s="15">
        <v>42424</v>
      </c>
      <c r="C28" s="16">
        <v>0</v>
      </c>
      <c r="D28" s="17"/>
      <c r="E28" s="18">
        <v>42424</v>
      </c>
      <c r="F28" s="19">
        <v>30373.61</v>
      </c>
      <c r="G28" s="20"/>
      <c r="H28" s="24">
        <v>42424</v>
      </c>
      <c r="I28" s="45">
        <v>184</v>
      </c>
      <c r="J28" s="26"/>
      <c r="K28" s="54"/>
      <c r="L28" s="42">
        <v>0</v>
      </c>
      <c r="M28" s="33">
        <v>30189.5</v>
      </c>
      <c r="N28" s="30"/>
      <c r="O28" s="20"/>
      <c r="P28" s="20"/>
      <c r="Q28" s="20"/>
    </row>
    <row r="29" spans="1:18" x14ac:dyDescent="0.25">
      <c r="A29" s="14"/>
      <c r="B29" s="15">
        <v>42425</v>
      </c>
      <c r="C29" s="16">
        <v>0</v>
      </c>
      <c r="D29" s="17"/>
      <c r="E29" s="18">
        <v>42425</v>
      </c>
      <c r="F29" s="19">
        <v>35886.39</v>
      </c>
      <c r="G29" s="20"/>
      <c r="H29" s="24">
        <v>42425</v>
      </c>
      <c r="I29" s="45">
        <v>0</v>
      </c>
      <c r="J29" s="26"/>
      <c r="K29" s="55"/>
      <c r="L29" s="56">
        <v>0</v>
      </c>
      <c r="M29" s="33">
        <v>35886.5</v>
      </c>
      <c r="N29" s="30"/>
      <c r="O29" s="20"/>
      <c r="P29" s="20"/>
      <c r="Q29" s="20"/>
    </row>
    <row r="30" spans="1:18" ht="15.75" thickBot="1" x14ac:dyDescent="0.3">
      <c r="A30" s="14"/>
      <c r="B30" s="15">
        <v>42426</v>
      </c>
      <c r="C30" s="16">
        <v>575</v>
      </c>
      <c r="D30" s="17" t="s">
        <v>148</v>
      </c>
      <c r="E30" s="18">
        <v>42426</v>
      </c>
      <c r="F30" s="19">
        <v>62939.86</v>
      </c>
      <c r="G30" s="20"/>
      <c r="H30" s="24">
        <v>42426</v>
      </c>
      <c r="I30" s="45">
        <v>100</v>
      </c>
      <c r="J30" s="52"/>
      <c r="K30" s="54"/>
      <c r="L30" s="56">
        <v>0</v>
      </c>
      <c r="M30" s="33">
        <v>62365</v>
      </c>
      <c r="N30" s="30"/>
      <c r="O30" s="20"/>
      <c r="P30" s="20"/>
      <c r="Q30" s="20"/>
    </row>
    <row r="31" spans="1:18" x14ac:dyDescent="0.25">
      <c r="A31" s="14"/>
      <c r="B31" s="15">
        <v>42427</v>
      </c>
      <c r="C31" s="16">
        <v>480</v>
      </c>
      <c r="D31" s="17" t="s">
        <v>85</v>
      </c>
      <c r="E31" s="18">
        <v>42427</v>
      </c>
      <c r="F31" s="19">
        <v>59741.99</v>
      </c>
      <c r="G31" s="20"/>
      <c r="H31" s="24">
        <v>42427</v>
      </c>
      <c r="I31" s="45">
        <v>123.6</v>
      </c>
      <c r="J31" s="35"/>
      <c r="K31" s="57"/>
      <c r="L31" s="365">
        <v>0</v>
      </c>
      <c r="M31" s="33">
        <v>59138.39</v>
      </c>
      <c r="N31" s="21"/>
      <c r="O31" s="20"/>
      <c r="P31" s="20"/>
      <c r="Q31" s="20"/>
    </row>
    <row r="32" spans="1:18" ht="15.75" thickBot="1" x14ac:dyDescent="0.3">
      <c r="A32" s="14"/>
      <c r="B32" s="15">
        <v>42428</v>
      </c>
      <c r="C32" s="16">
        <v>269</v>
      </c>
      <c r="D32" s="17" t="s">
        <v>123</v>
      </c>
      <c r="E32" s="18">
        <v>42428</v>
      </c>
      <c r="F32" s="19">
        <v>65022.9</v>
      </c>
      <c r="G32" s="20"/>
      <c r="H32" s="24">
        <v>42428</v>
      </c>
      <c r="I32" s="45">
        <v>400</v>
      </c>
      <c r="J32" s="26"/>
      <c r="K32" s="53"/>
      <c r="L32" s="366"/>
      <c r="M32" s="33">
        <v>57304</v>
      </c>
      <c r="N32" s="30"/>
      <c r="O32" s="20"/>
      <c r="P32" s="20"/>
      <c r="Q32" s="20"/>
    </row>
    <row r="33" spans="1:17" x14ac:dyDescent="0.25">
      <c r="A33" s="14"/>
      <c r="B33" s="15">
        <v>42429</v>
      </c>
      <c r="C33" s="16">
        <v>446</v>
      </c>
      <c r="D33" s="34" t="s">
        <v>83</v>
      </c>
      <c r="E33" s="18">
        <v>42429</v>
      </c>
      <c r="F33" s="19">
        <v>43185.81</v>
      </c>
      <c r="G33" s="20"/>
      <c r="H33" s="24">
        <v>42429</v>
      </c>
      <c r="I33" s="45">
        <v>350</v>
      </c>
      <c r="J33" s="26"/>
      <c r="K33" s="58"/>
      <c r="L33" s="367">
        <v>0</v>
      </c>
      <c r="M33" s="33">
        <f>35620+6770</f>
        <v>42390</v>
      </c>
      <c r="N33" s="21"/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368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1472097.94</v>
      </c>
    </row>
    <row r="38" spans="1:17" x14ac:dyDescent="0.25">
      <c r="B38" s="82" t="s">
        <v>16</v>
      </c>
      <c r="C38" s="83">
        <f>SUM(C5:C37)</f>
        <v>9956</v>
      </c>
      <c r="E38" s="183" t="s">
        <v>16</v>
      </c>
      <c r="F38" s="85">
        <f>SUM(F5:F37)</f>
        <v>1477501</v>
      </c>
      <c r="H38" s="5" t="s">
        <v>16</v>
      </c>
      <c r="I38" s="86">
        <f>SUM(I5:I37)</f>
        <v>6529.6200000000008</v>
      </c>
      <c r="J38" s="86"/>
      <c r="K38" s="87" t="s">
        <v>16</v>
      </c>
      <c r="L38" s="88">
        <f>SUM(L5:L37)</f>
        <v>97017</v>
      </c>
    </row>
    <row r="40" spans="1:17" ht="15.75" x14ac:dyDescent="0.25">
      <c r="A40" s="89"/>
      <c r="B40" s="90"/>
      <c r="C40" s="26"/>
      <c r="D40" s="91"/>
      <c r="E40" s="92"/>
      <c r="F40" s="67"/>
      <c r="H40" s="356" t="s">
        <v>17</v>
      </c>
      <c r="I40" s="357"/>
      <c r="J40" s="185"/>
      <c r="K40" s="358">
        <f>I38+L38</f>
        <v>103546.62</v>
      </c>
      <c r="L40" s="359"/>
    </row>
    <row r="41" spans="1:17" ht="15.75" x14ac:dyDescent="0.25">
      <c r="B41" s="94"/>
      <c r="C41" s="67"/>
      <c r="D41" s="343" t="s">
        <v>18</v>
      </c>
      <c r="E41" s="343"/>
      <c r="F41" s="95">
        <f>F38-K40</f>
        <v>1373954.38</v>
      </c>
      <c r="I41" s="96"/>
      <c r="J41" s="96"/>
    </row>
    <row r="42" spans="1:17" ht="15.75" x14ac:dyDescent="0.25">
      <c r="D42" s="344" t="s">
        <v>19</v>
      </c>
      <c r="E42" s="344"/>
      <c r="F42" s="95">
        <v>-1321124.3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52830.079999999842</v>
      </c>
      <c r="I44" s="345" t="s">
        <v>22</v>
      </c>
      <c r="J44" s="346"/>
      <c r="K44" s="349">
        <f>F48+L46</f>
        <v>216330.54999999984</v>
      </c>
      <c r="L44" s="350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347"/>
      <c r="J45" s="348"/>
      <c r="K45" s="351"/>
      <c r="L45" s="352"/>
    </row>
    <row r="46" spans="1:17" ht="17.25" thickTop="1" thickBot="1" x14ac:dyDescent="0.3">
      <c r="C46" s="85"/>
      <c r="D46" s="353" t="s">
        <v>25</v>
      </c>
      <c r="E46" s="353"/>
      <c r="F46" s="101">
        <v>114962.92</v>
      </c>
      <c r="I46" s="354"/>
      <c r="J46" s="354"/>
      <c r="K46" s="355"/>
      <c r="L46" s="102"/>
    </row>
    <row r="47" spans="1:17" ht="19.5" thickBot="1" x14ac:dyDescent="0.35">
      <c r="C47" s="85"/>
      <c r="D47" s="183"/>
      <c r="E47" s="183"/>
      <c r="F47" s="103"/>
      <c r="H47" s="104"/>
      <c r="I47" s="184" t="s">
        <v>26</v>
      </c>
      <c r="J47" s="184"/>
      <c r="K47" s="336">
        <f>-C4</f>
        <v>-170511.25</v>
      </c>
      <c r="L47" s="337"/>
    </row>
    <row r="48" spans="1:17" ht="17.25" thickTop="1" thickBot="1" x14ac:dyDescent="0.3">
      <c r="E48" s="106" t="s">
        <v>27</v>
      </c>
      <c r="F48" s="107">
        <f>F44+F45+F46</f>
        <v>216330.54999999984</v>
      </c>
    </row>
    <row r="49" spans="2:14" ht="19.5" thickBot="1" x14ac:dyDescent="0.35">
      <c r="B49"/>
      <c r="C49"/>
      <c r="D49" s="338"/>
      <c r="E49" s="338"/>
      <c r="F49" s="67"/>
      <c r="I49" s="339" t="s">
        <v>28</v>
      </c>
      <c r="J49" s="340"/>
      <c r="K49" s="341">
        <f>K44+K47</f>
        <v>45819.299999999843</v>
      </c>
      <c r="L49" s="342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5"/>
  <sheetViews>
    <sheetView topLeftCell="G1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103</v>
      </c>
      <c r="C1" s="110"/>
      <c r="D1" s="111"/>
      <c r="E1" s="110"/>
      <c r="K1" s="146" t="s">
        <v>46</v>
      </c>
      <c r="L1" s="147"/>
      <c r="M1" s="148"/>
      <c r="N1" s="149">
        <v>42411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42401</v>
      </c>
      <c r="B3" s="123" t="s">
        <v>112</v>
      </c>
      <c r="C3" s="21">
        <v>55626.400000000001</v>
      </c>
      <c r="D3" s="117">
        <v>42411</v>
      </c>
      <c r="E3" s="21">
        <v>55626.400000000001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42403</v>
      </c>
      <c r="B4" s="123" t="s">
        <v>106</v>
      </c>
      <c r="C4" s="21">
        <v>13526.47</v>
      </c>
      <c r="D4" s="117">
        <v>42411</v>
      </c>
      <c r="E4" s="21">
        <v>13526.47</v>
      </c>
      <c r="F4" s="122">
        <f t="shared" si="0"/>
        <v>0</v>
      </c>
      <c r="J4" s="123" t="s">
        <v>87</v>
      </c>
      <c r="K4" s="21">
        <v>13447.53</v>
      </c>
      <c r="L4" s="156" t="s">
        <v>111</v>
      </c>
      <c r="M4" s="157">
        <v>3238156</v>
      </c>
      <c r="N4" s="158">
        <v>60428</v>
      </c>
      <c r="O4" s="159">
        <v>42369</v>
      </c>
    </row>
    <row r="5" spans="1:16" ht="15.75" x14ac:dyDescent="0.25">
      <c r="A5" s="119">
        <v>42403</v>
      </c>
      <c r="B5" s="123" t="s">
        <v>104</v>
      </c>
      <c r="C5" s="21">
        <v>135863</v>
      </c>
      <c r="D5" s="117">
        <v>42411</v>
      </c>
      <c r="E5" s="21">
        <v>135863</v>
      </c>
      <c r="F5" s="122">
        <f t="shared" si="0"/>
        <v>0</v>
      </c>
      <c r="J5" s="123" t="s">
        <v>94</v>
      </c>
      <c r="K5" s="21">
        <v>29941.8</v>
      </c>
      <c r="L5" s="160"/>
      <c r="M5" s="157" t="s">
        <v>52</v>
      </c>
      <c r="N5" s="158">
        <v>97647</v>
      </c>
      <c r="O5" s="159">
        <v>42376</v>
      </c>
    </row>
    <row r="6" spans="1:16" ht="15.75" x14ac:dyDescent="0.25">
      <c r="A6" s="119">
        <v>42402</v>
      </c>
      <c r="B6" s="123" t="s">
        <v>105</v>
      </c>
      <c r="C6" s="21">
        <v>530.4</v>
      </c>
      <c r="D6" s="117">
        <v>42411</v>
      </c>
      <c r="E6" s="21">
        <v>530.4</v>
      </c>
      <c r="F6" s="122">
        <f t="shared" si="0"/>
        <v>0</v>
      </c>
      <c r="J6" s="123" t="s">
        <v>95</v>
      </c>
      <c r="K6" s="21">
        <v>28839.3</v>
      </c>
      <c r="L6" s="160"/>
      <c r="M6" s="157" t="s">
        <v>52</v>
      </c>
      <c r="N6" s="158">
        <v>17000</v>
      </c>
      <c r="O6" s="159">
        <v>42376</v>
      </c>
      <c r="P6" s="14"/>
    </row>
    <row r="7" spans="1:16" ht="15.75" x14ac:dyDescent="0.25">
      <c r="A7" s="119">
        <v>42404</v>
      </c>
      <c r="B7" s="123" t="s">
        <v>107</v>
      </c>
      <c r="C7" s="21">
        <v>15903.6</v>
      </c>
      <c r="D7" s="117">
        <v>42411</v>
      </c>
      <c r="E7" s="21">
        <v>15903.6</v>
      </c>
      <c r="F7" s="122">
        <f t="shared" si="0"/>
        <v>0</v>
      </c>
      <c r="J7" s="123" t="s">
        <v>96</v>
      </c>
      <c r="K7" s="21">
        <v>59720.89</v>
      </c>
      <c r="L7" s="161"/>
      <c r="M7" s="157" t="s">
        <v>52</v>
      </c>
      <c r="N7" s="158">
        <v>40794</v>
      </c>
      <c r="O7" s="159">
        <v>42390</v>
      </c>
      <c r="P7" s="14">
        <v>42389</v>
      </c>
    </row>
    <row r="8" spans="1:16" ht="15.75" x14ac:dyDescent="0.25">
      <c r="A8" s="119">
        <v>42406</v>
      </c>
      <c r="B8" s="123" t="s">
        <v>108</v>
      </c>
      <c r="C8" s="26">
        <v>145223.54</v>
      </c>
      <c r="D8" s="117">
        <v>42411</v>
      </c>
      <c r="E8" s="26">
        <v>145223.54</v>
      </c>
      <c r="F8" s="122">
        <f t="shared" si="0"/>
        <v>0</v>
      </c>
      <c r="J8" s="123" t="s">
        <v>98</v>
      </c>
      <c r="K8" s="21">
        <v>7469</v>
      </c>
      <c r="L8" s="160"/>
      <c r="M8" s="157" t="s">
        <v>52</v>
      </c>
      <c r="N8" s="162">
        <v>39452</v>
      </c>
      <c r="O8" s="163">
        <v>42391</v>
      </c>
      <c r="P8" s="14">
        <v>42390</v>
      </c>
    </row>
    <row r="9" spans="1:16" ht="15.75" x14ac:dyDescent="0.25">
      <c r="A9" s="119">
        <v>42407</v>
      </c>
      <c r="B9" s="123" t="s">
        <v>109</v>
      </c>
      <c r="C9" s="26">
        <v>1665</v>
      </c>
      <c r="D9" s="117">
        <v>42411</v>
      </c>
      <c r="E9" s="26">
        <v>1665</v>
      </c>
      <c r="F9" s="122">
        <f t="shared" si="0"/>
        <v>0</v>
      </c>
      <c r="J9" s="123" t="s">
        <v>97</v>
      </c>
      <c r="K9" s="21">
        <v>96222.69</v>
      </c>
      <c r="L9" s="160"/>
      <c r="M9" s="157" t="s">
        <v>52</v>
      </c>
      <c r="N9" s="162">
        <v>42.5</v>
      </c>
      <c r="O9" s="163">
        <v>42388</v>
      </c>
      <c r="P9" s="14">
        <v>42390</v>
      </c>
    </row>
    <row r="10" spans="1:16" ht="15.75" x14ac:dyDescent="0.25">
      <c r="A10" s="124">
        <v>42408</v>
      </c>
      <c r="B10" s="123" t="s">
        <v>110</v>
      </c>
      <c r="C10" s="26">
        <v>2664</v>
      </c>
      <c r="D10" s="117">
        <v>42411</v>
      </c>
      <c r="E10" s="26">
        <v>2664</v>
      </c>
      <c r="F10" s="122">
        <f t="shared" si="0"/>
        <v>0</v>
      </c>
      <c r="J10" s="123" t="s">
        <v>99</v>
      </c>
      <c r="K10" s="26">
        <v>57210.3</v>
      </c>
      <c r="L10" s="160"/>
      <c r="M10" s="157" t="s">
        <v>52</v>
      </c>
      <c r="N10" s="162">
        <v>83170</v>
      </c>
      <c r="O10" s="163">
        <v>42395</v>
      </c>
      <c r="P10" s="14">
        <v>42391</v>
      </c>
    </row>
    <row r="11" spans="1:16" ht="15.75" x14ac:dyDescent="0.25">
      <c r="A11" s="119">
        <v>42409</v>
      </c>
      <c r="B11" s="125" t="s">
        <v>113</v>
      </c>
      <c r="C11" s="26">
        <v>82994.34</v>
      </c>
      <c r="D11" s="117" t="s">
        <v>127</v>
      </c>
      <c r="E11" s="26">
        <f>79946.68+3047.66</f>
        <v>82994.34</v>
      </c>
      <c r="F11" s="127">
        <f t="shared" si="0"/>
        <v>0</v>
      </c>
      <c r="J11" s="123" t="s">
        <v>100</v>
      </c>
      <c r="K11" s="26">
        <v>52572.05</v>
      </c>
      <c r="L11" s="160"/>
      <c r="M11" s="157" t="s">
        <v>52</v>
      </c>
      <c r="N11" s="162">
        <v>900</v>
      </c>
      <c r="O11" s="163">
        <v>42404</v>
      </c>
      <c r="P11" s="14">
        <v>42380</v>
      </c>
    </row>
    <row r="12" spans="1:16" ht="15.75" x14ac:dyDescent="0.25">
      <c r="A12" s="119">
        <v>42411</v>
      </c>
      <c r="B12" s="125" t="s">
        <v>116</v>
      </c>
      <c r="C12" s="26">
        <v>104091.66</v>
      </c>
      <c r="D12" s="117">
        <v>42418</v>
      </c>
      <c r="E12" s="26">
        <v>104091.66</v>
      </c>
      <c r="F12" s="127">
        <f t="shared" si="0"/>
        <v>0</v>
      </c>
      <c r="J12" s="123" t="s">
        <v>101</v>
      </c>
      <c r="K12" s="26">
        <v>128791.35</v>
      </c>
      <c r="L12" s="160"/>
      <c r="M12" s="157" t="s">
        <v>52</v>
      </c>
      <c r="N12" s="162">
        <v>29378.5</v>
      </c>
      <c r="O12" s="163">
        <v>42396</v>
      </c>
      <c r="P12" s="14">
        <v>42394</v>
      </c>
    </row>
    <row r="13" spans="1:16" ht="15.75" x14ac:dyDescent="0.25">
      <c r="A13" s="119">
        <v>42415</v>
      </c>
      <c r="B13" s="125" t="s">
        <v>125</v>
      </c>
      <c r="C13" s="26">
        <v>59107.199999999997</v>
      </c>
      <c r="D13" s="117">
        <v>42418</v>
      </c>
      <c r="E13" s="26">
        <v>59107.199999999997</v>
      </c>
      <c r="F13" s="127">
        <f t="shared" si="0"/>
        <v>0</v>
      </c>
      <c r="J13" s="123" t="s">
        <v>112</v>
      </c>
      <c r="K13" s="21">
        <v>55626.400000000001</v>
      </c>
      <c r="L13" s="160"/>
      <c r="M13" s="157" t="s">
        <v>52</v>
      </c>
      <c r="N13" s="162">
        <v>29308</v>
      </c>
      <c r="O13" s="163">
        <v>42397</v>
      </c>
      <c r="P13" s="14">
        <v>42396</v>
      </c>
    </row>
    <row r="14" spans="1:16" ht="15.75" x14ac:dyDescent="0.25">
      <c r="A14" s="119">
        <v>42416</v>
      </c>
      <c r="B14" s="125" t="s">
        <v>126</v>
      </c>
      <c r="C14" s="26">
        <v>40796.21</v>
      </c>
      <c r="D14" s="121" t="s">
        <v>130</v>
      </c>
      <c r="E14" s="26">
        <f>34178.48+6617.73</f>
        <v>40796.210000000006</v>
      </c>
      <c r="F14" s="127">
        <f t="shared" si="0"/>
        <v>0</v>
      </c>
      <c r="J14" s="123" t="s">
        <v>106</v>
      </c>
      <c r="K14" s="21">
        <v>13526.47</v>
      </c>
      <c r="L14" s="160"/>
      <c r="M14" s="157" t="s">
        <v>52</v>
      </c>
      <c r="N14" s="162">
        <v>43510</v>
      </c>
      <c r="O14" s="163">
        <v>42398</v>
      </c>
      <c r="P14" s="14">
        <v>42397</v>
      </c>
    </row>
    <row r="15" spans="1:16" ht="15.75" x14ac:dyDescent="0.25">
      <c r="A15" s="119">
        <v>42418</v>
      </c>
      <c r="B15" s="125" t="s">
        <v>128</v>
      </c>
      <c r="C15" s="26">
        <v>130674.79</v>
      </c>
      <c r="D15" s="121" t="s">
        <v>133</v>
      </c>
      <c r="E15" s="26">
        <f>112926.77+17748.02</f>
        <v>130674.79000000001</v>
      </c>
      <c r="F15" s="127">
        <f t="shared" si="0"/>
        <v>0</v>
      </c>
      <c r="J15" s="123" t="s">
        <v>104</v>
      </c>
      <c r="K15" s="21">
        <v>135863</v>
      </c>
      <c r="L15" s="160"/>
      <c r="M15" s="157">
        <v>3261901</v>
      </c>
      <c r="N15" s="162">
        <v>80245.5</v>
      </c>
      <c r="O15" s="163">
        <v>42398</v>
      </c>
    </row>
    <row r="16" spans="1:16" ht="15.75" x14ac:dyDescent="0.25">
      <c r="A16" s="124">
        <v>42419</v>
      </c>
      <c r="B16" s="123" t="s">
        <v>129</v>
      </c>
      <c r="C16" s="21">
        <v>2425</v>
      </c>
      <c r="D16" s="117">
        <v>42420</v>
      </c>
      <c r="E16" s="21">
        <v>2425</v>
      </c>
      <c r="F16" s="127">
        <f t="shared" si="0"/>
        <v>0</v>
      </c>
      <c r="J16" s="123" t="s">
        <v>105</v>
      </c>
      <c r="K16" s="21">
        <v>530.4</v>
      </c>
      <c r="L16" s="164"/>
      <c r="M16" s="157">
        <v>3261905</v>
      </c>
      <c r="N16" s="158">
        <v>91470</v>
      </c>
      <c r="O16" s="159">
        <v>42399</v>
      </c>
    </row>
    <row r="17" spans="1:16" ht="15.75" x14ac:dyDescent="0.25">
      <c r="A17" s="124">
        <v>42412</v>
      </c>
      <c r="B17" s="123" t="s">
        <v>158</v>
      </c>
      <c r="C17" s="21">
        <v>12618.76</v>
      </c>
      <c r="D17" s="191">
        <v>42432</v>
      </c>
      <c r="E17" s="36">
        <v>12618.76</v>
      </c>
      <c r="F17" s="127">
        <f t="shared" ref="F17:F27" si="1">C17-E17</f>
        <v>0</v>
      </c>
      <c r="J17" s="123" t="s">
        <v>107</v>
      </c>
      <c r="K17" s="21">
        <v>15903.6</v>
      </c>
      <c r="L17" s="164"/>
      <c r="M17" s="157">
        <v>3261906</v>
      </c>
      <c r="N17" s="162">
        <v>59619</v>
      </c>
      <c r="O17" s="163">
        <v>42400</v>
      </c>
    </row>
    <row r="18" spans="1:16" ht="15.75" x14ac:dyDescent="0.25">
      <c r="A18" s="124">
        <v>42412</v>
      </c>
      <c r="B18" s="123" t="s">
        <v>159</v>
      </c>
      <c r="C18" s="21">
        <v>105.6</v>
      </c>
      <c r="D18" s="191">
        <v>42432</v>
      </c>
      <c r="E18" s="36">
        <v>105.6</v>
      </c>
      <c r="F18" s="127">
        <f t="shared" si="1"/>
        <v>0</v>
      </c>
      <c r="J18" s="123" t="s">
        <v>108</v>
      </c>
      <c r="K18" s="26">
        <v>145223.54</v>
      </c>
      <c r="L18" s="164"/>
      <c r="M18" s="157">
        <v>3261904</v>
      </c>
      <c r="N18" s="162">
        <v>50303</v>
      </c>
      <c r="O18" s="163">
        <v>42401</v>
      </c>
    </row>
    <row r="19" spans="1:16" ht="15.75" x14ac:dyDescent="0.25">
      <c r="A19" s="124">
        <v>42413</v>
      </c>
      <c r="B19" s="123" t="s">
        <v>160</v>
      </c>
      <c r="C19" s="21">
        <v>119002.3</v>
      </c>
      <c r="D19" s="191">
        <v>42432</v>
      </c>
      <c r="E19" s="36">
        <v>119002.3</v>
      </c>
      <c r="F19" s="127">
        <f t="shared" si="1"/>
        <v>0</v>
      </c>
      <c r="J19" s="123" t="s">
        <v>109</v>
      </c>
      <c r="K19" s="26">
        <v>1665</v>
      </c>
      <c r="L19" s="164"/>
      <c r="M19" s="157" t="s">
        <v>52</v>
      </c>
      <c r="N19" s="162">
        <v>41933</v>
      </c>
      <c r="O19" s="163">
        <v>42403</v>
      </c>
      <c r="P19" s="14">
        <v>42402</v>
      </c>
    </row>
    <row r="20" spans="1:16" ht="15.75" x14ac:dyDescent="0.25">
      <c r="A20" s="124">
        <v>42420</v>
      </c>
      <c r="B20" s="123" t="s">
        <v>131</v>
      </c>
      <c r="C20" s="21">
        <v>134065.49</v>
      </c>
      <c r="D20" s="129" t="s">
        <v>161</v>
      </c>
      <c r="E20" s="36">
        <f>123537.48+10528.01</f>
        <v>134065.49</v>
      </c>
      <c r="F20" s="127">
        <f t="shared" si="1"/>
        <v>0</v>
      </c>
      <c r="J20" s="123" t="s">
        <v>110</v>
      </c>
      <c r="K20" s="26">
        <v>2664</v>
      </c>
      <c r="L20" s="164"/>
      <c r="M20" s="157" t="s">
        <v>52</v>
      </c>
      <c r="N20" s="162">
        <v>49690</v>
      </c>
      <c r="O20" s="163">
        <v>42404</v>
      </c>
      <c r="P20" s="14">
        <v>42403</v>
      </c>
    </row>
    <row r="21" spans="1:16" ht="15.75" x14ac:dyDescent="0.25">
      <c r="A21" s="124">
        <v>42423</v>
      </c>
      <c r="B21" s="123" t="s">
        <v>132</v>
      </c>
      <c r="C21" s="21">
        <v>65431.35</v>
      </c>
      <c r="D21" s="191">
        <v>42432</v>
      </c>
      <c r="E21" s="36">
        <v>65431.35</v>
      </c>
      <c r="F21" s="127">
        <f t="shared" si="1"/>
        <v>0</v>
      </c>
      <c r="J21" s="125" t="s">
        <v>113</v>
      </c>
      <c r="K21" s="26">
        <v>79346.679999999993</v>
      </c>
      <c r="L21" s="164" t="s">
        <v>60</v>
      </c>
      <c r="M21" s="157" t="s">
        <v>52</v>
      </c>
      <c r="N21" s="162">
        <v>67723</v>
      </c>
      <c r="O21" s="163">
        <v>42406</v>
      </c>
      <c r="P21" s="14">
        <v>42405</v>
      </c>
    </row>
    <row r="22" spans="1:16" ht="15.75" x14ac:dyDescent="0.25">
      <c r="A22" s="124">
        <v>42424</v>
      </c>
      <c r="B22" s="123" t="s">
        <v>149</v>
      </c>
      <c r="C22" s="21">
        <v>12741.8</v>
      </c>
      <c r="D22" s="191">
        <v>42432</v>
      </c>
      <c r="E22" s="36">
        <v>12741.8</v>
      </c>
      <c r="F22" s="127">
        <f t="shared" si="1"/>
        <v>0</v>
      </c>
      <c r="J22" s="125"/>
      <c r="K22" s="26"/>
      <c r="L22" s="164"/>
      <c r="M22" s="157" t="s">
        <v>52</v>
      </c>
      <c r="N22" s="162">
        <v>41950.5</v>
      </c>
      <c r="O22" s="163">
        <v>42409</v>
      </c>
      <c r="P22" s="14">
        <v>42408</v>
      </c>
    </row>
    <row r="23" spans="1:16" ht="15.75" x14ac:dyDescent="0.25">
      <c r="A23" s="124">
        <v>42425</v>
      </c>
      <c r="B23" s="123" t="s">
        <v>150</v>
      </c>
      <c r="C23" s="21">
        <v>64164.800000000003</v>
      </c>
      <c r="D23" s="191">
        <v>42432</v>
      </c>
      <c r="E23" s="36">
        <v>64164.800000000003</v>
      </c>
      <c r="F23" s="127">
        <f t="shared" si="1"/>
        <v>0</v>
      </c>
      <c r="J23" s="123"/>
      <c r="K23" s="21"/>
      <c r="L23" s="164"/>
      <c r="M23" s="157"/>
      <c r="N23" s="162">
        <v>0</v>
      </c>
      <c r="O23" s="163"/>
      <c r="P23" s="14"/>
    </row>
    <row r="24" spans="1:16" ht="15.75" x14ac:dyDescent="0.25">
      <c r="A24" s="124">
        <v>42426</v>
      </c>
      <c r="B24" s="123" t="s">
        <v>151</v>
      </c>
      <c r="C24" s="21">
        <v>14097.5</v>
      </c>
      <c r="D24" s="191">
        <v>42432</v>
      </c>
      <c r="E24" s="36">
        <v>14097.5</v>
      </c>
      <c r="F24" s="127">
        <f t="shared" si="1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42427</v>
      </c>
      <c r="B25" s="123" t="s">
        <v>152</v>
      </c>
      <c r="C25" s="21">
        <v>96805.29</v>
      </c>
      <c r="D25" s="191">
        <v>42432</v>
      </c>
      <c r="E25" s="36">
        <v>96805.29</v>
      </c>
      <c r="F25" s="127">
        <f t="shared" si="1"/>
        <v>0</v>
      </c>
      <c r="J25" s="165"/>
      <c r="K25" s="166">
        <f>SUM(K4:K24)</f>
        <v>924564</v>
      </c>
      <c r="L25" s="165"/>
      <c r="M25" s="165"/>
      <c r="N25" s="166">
        <f>SUM(N4:N24)</f>
        <v>924564</v>
      </c>
      <c r="O25" s="165"/>
    </row>
    <row r="26" spans="1:16" x14ac:dyDescent="0.25">
      <c r="A26" s="124">
        <v>42428</v>
      </c>
      <c r="B26" s="123" t="s">
        <v>153</v>
      </c>
      <c r="C26" s="21">
        <v>6537.6</v>
      </c>
      <c r="D26" s="191">
        <v>42432</v>
      </c>
      <c r="E26" s="36">
        <v>6537.6</v>
      </c>
      <c r="F26" s="127">
        <f t="shared" si="1"/>
        <v>0</v>
      </c>
    </row>
    <row r="27" spans="1:16" x14ac:dyDescent="0.25">
      <c r="A27" s="124">
        <v>42428</v>
      </c>
      <c r="B27" s="123" t="s">
        <v>154</v>
      </c>
      <c r="C27" s="21">
        <v>4462.2</v>
      </c>
      <c r="D27" s="191">
        <v>42432</v>
      </c>
      <c r="E27" s="36">
        <v>4462.2</v>
      </c>
      <c r="F27" s="127">
        <f t="shared" si="1"/>
        <v>0</v>
      </c>
    </row>
    <row r="28" spans="1:16" ht="15.75" thickBot="1" x14ac:dyDescent="0.3">
      <c r="A28" s="124"/>
      <c r="B28" s="123"/>
      <c r="C28" s="21"/>
      <c r="D28" s="191"/>
      <c r="E28" s="36"/>
      <c r="F28" s="127">
        <f t="shared" si="0"/>
        <v>0</v>
      </c>
    </row>
    <row r="29" spans="1:16" ht="19.5" thickBot="1" x14ac:dyDescent="0.35">
      <c r="A29" s="124"/>
      <c r="B29" s="123"/>
      <c r="C29" s="21"/>
      <c r="D29" s="117"/>
      <c r="E29" s="21"/>
      <c r="F29" s="127">
        <f t="shared" si="0"/>
        <v>0</v>
      </c>
      <c r="K29" s="146" t="s">
        <v>46</v>
      </c>
      <c r="L29" s="147"/>
      <c r="M29" s="148"/>
      <c r="N29" s="195">
        <v>42418</v>
      </c>
      <c r="O29" s="150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/>
      <c r="B31" s="123"/>
      <c r="C31" s="21"/>
      <c r="D31" s="121"/>
      <c r="E31" s="36"/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/>
      <c r="B32" s="123"/>
      <c r="C32" s="21"/>
      <c r="D32" s="129"/>
      <c r="E32" s="36"/>
      <c r="F32" s="127">
        <f t="shared" si="0"/>
        <v>0</v>
      </c>
      <c r="J32" s="123" t="s">
        <v>113</v>
      </c>
      <c r="K32" s="21">
        <v>3047.66</v>
      </c>
      <c r="L32" s="156" t="s">
        <v>51</v>
      </c>
      <c r="M32" s="157">
        <v>3261911</v>
      </c>
      <c r="N32" s="158">
        <v>43575</v>
      </c>
      <c r="O32" s="159">
        <v>42404</v>
      </c>
    </row>
    <row r="33" spans="1:16" ht="15.75" x14ac:dyDescent="0.25">
      <c r="A33" s="124"/>
      <c r="B33" s="123"/>
      <c r="C33" s="26"/>
      <c r="D33" s="130"/>
      <c r="E33" s="131"/>
      <c r="F33" s="127">
        <f t="shared" si="0"/>
        <v>0</v>
      </c>
      <c r="J33" s="125" t="s">
        <v>116</v>
      </c>
      <c r="K33" s="26">
        <v>104091.66</v>
      </c>
      <c r="L33" s="160"/>
      <c r="M33" s="157" t="s">
        <v>52</v>
      </c>
      <c r="N33" s="158">
        <v>34810</v>
      </c>
      <c r="O33" s="159">
        <v>42410</v>
      </c>
      <c r="P33" s="14">
        <v>42409</v>
      </c>
    </row>
    <row r="34" spans="1:16" ht="15.75" x14ac:dyDescent="0.25">
      <c r="A34" s="132"/>
      <c r="B34" s="123"/>
      <c r="C34" s="26"/>
      <c r="D34" s="130"/>
      <c r="E34" s="131"/>
      <c r="F34" s="127">
        <f>C34-E34</f>
        <v>0</v>
      </c>
      <c r="J34" s="125" t="s">
        <v>125</v>
      </c>
      <c r="K34" s="26">
        <v>59107.199999999997</v>
      </c>
      <c r="L34" s="160"/>
      <c r="M34" s="157" t="s">
        <v>52</v>
      </c>
      <c r="N34" s="158">
        <v>70060</v>
      </c>
      <c r="O34" s="159">
        <v>42413</v>
      </c>
      <c r="P34" s="14">
        <v>42412</v>
      </c>
    </row>
    <row r="35" spans="1:16" ht="15.75" x14ac:dyDescent="0.25">
      <c r="A35" s="124"/>
      <c r="B35" s="123"/>
      <c r="C35" s="26"/>
      <c r="D35" s="133"/>
      <c r="E35" s="134"/>
      <c r="F35" s="127">
        <f>C35-E35</f>
        <v>0</v>
      </c>
      <c r="J35" s="125" t="s">
        <v>126</v>
      </c>
      <c r="K35" s="26">
        <v>34178.480000000003</v>
      </c>
      <c r="L35" s="161" t="s">
        <v>91</v>
      </c>
      <c r="M35" s="157" t="s">
        <v>52</v>
      </c>
      <c r="N35" s="158">
        <v>51980</v>
      </c>
      <c r="O35" s="159">
        <v>42416</v>
      </c>
      <c r="P35" s="14">
        <v>42415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/>
      <c r="K36" s="21">
        <v>0</v>
      </c>
      <c r="L36" s="160"/>
      <c r="M36" s="157" t="s">
        <v>52</v>
      </c>
      <c r="N36" s="162">
        <v>0</v>
      </c>
      <c r="O36" s="163"/>
    </row>
    <row r="37" spans="1:16" ht="16.5" thickBot="1" x14ac:dyDescent="0.3">
      <c r="A37" s="124"/>
      <c r="B37" s="123"/>
      <c r="C37" s="26"/>
      <c r="D37" s="121"/>
      <c r="E37" s="21"/>
      <c r="F37" s="127">
        <f>C37-E37</f>
        <v>0</v>
      </c>
      <c r="J37" s="202"/>
      <c r="K37" s="142">
        <v>0</v>
      </c>
      <c r="L37" s="203"/>
      <c r="M37" s="204" t="s">
        <v>52</v>
      </c>
      <c r="N37" s="205"/>
      <c r="O37" s="206"/>
    </row>
    <row r="38" spans="1:16" ht="15.75" thickTop="1" x14ac:dyDescent="0.25">
      <c r="A38" s="135"/>
      <c r="B38" s="126"/>
      <c r="C38" s="21"/>
      <c r="D38" s="133"/>
      <c r="E38" s="134"/>
      <c r="F38" s="136">
        <f>C38-E38</f>
        <v>0</v>
      </c>
      <c r="J38" s="196"/>
      <c r="K38" s="26">
        <f>SUM(K32:K37)</f>
        <v>200425.00000000003</v>
      </c>
      <c r="L38" s="26"/>
      <c r="M38" s="26"/>
      <c r="N38" s="26">
        <f>SUM(N32:N37)</f>
        <v>200425</v>
      </c>
      <c r="O38" s="200"/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96"/>
      <c r="K39" s="26"/>
      <c r="L39" s="197"/>
      <c r="M39" s="198"/>
      <c r="N39" s="199"/>
      <c r="O39" s="200"/>
    </row>
    <row r="40" spans="1:16" ht="16.5" thickBot="1" x14ac:dyDescent="0.3">
      <c r="A40" s="137"/>
      <c r="B40" s="128"/>
      <c r="C40" s="26"/>
      <c r="D40" s="138"/>
      <c r="E40" s="26"/>
      <c r="F40" s="136">
        <f t="shared" si="0"/>
        <v>0</v>
      </c>
      <c r="J40" s="196"/>
      <c r="K40" s="26"/>
      <c r="L40" s="197"/>
      <c r="M40" s="198"/>
      <c r="N40" s="199"/>
      <c r="O40" s="200"/>
    </row>
    <row r="41" spans="1:16" ht="19.5" thickBot="1" x14ac:dyDescent="0.35">
      <c r="A41" s="119"/>
      <c r="B41" s="139"/>
      <c r="C41" s="26"/>
      <c r="D41" s="138"/>
      <c r="E41" s="26"/>
      <c r="F41" s="136">
        <f t="shared" si="0"/>
        <v>0</v>
      </c>
      <c r="K41" s="146" t="s">
        <v>46</v>
      </c>
      <c r="L41" s="147"/>
      <c r="M41" s="148"/>
      <c r="N41" s="207">
        <v>42420</v>
      </c>
      <c r="O41" s="150"/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51"/>
      <c r="K42" s="152"/>
      <c r="L42" s="151"/>
      <c r="M42" s="153"/>
      <c r="N42" s="152"/>
      <c r="O42" s="154"/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55" t="s">
        <v>47</v>
      </c>
      <c r="K43" s="152" t="s">
        <v>48</v>
      </c>
      <c r="L43" s="151"/>
      <c r="M43" s="153" t="s">
        <v>49</v>
      </c>
      <c r="N43" s="152" t="s">
        <v>50</v>
      </c>
      <c r="O43" s="154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 t="s">
        <v>126</v>
      </c>
      <c r="K44" s="21">
        <v>6617.73</v>
      </c>
      <c r="L44" s="156" t="s">
        <v>51</v>
      </c>
      <c r="M44" s="157" t="s">
        <v>52</v>
      </c>
      <c r="N44" s="158">
        <v>35953</v>
      </c>
      <c r="O44" s="159">
        <v>42411</v>
      </c>
    </row>
    <row r="45" spans="1:16" ht="16.5" thickTop="1" x14ac:dyDescent="0.25">
      <c r="B45" s="37"/>
      <c r="C45" s="21">
        <f>SUM(C3:C44)</f>
        <v>1321124.3000000003</v>
      </c>
      <c r="D45" s="145"/>
      <c r="E45" s="30">
        <f>SUM(E3:E44)</f>
        <v>1321124.3000000003</v>
      </c>
      <c r="F45" s="30">
        <f>SUM(F3:F44)</f>
        <v>0</v>
      </c>
      <c r="J45" s="125" t="s">
        <v>128</v>
      </c>
      <c r="K45" s="26">
        <v>112926.77</v>
      </c>
      <c r="L45" s="160" t="s">
        <v>91</v>
      </c>
      <c r="M45" s="157" t="s">
        <v>52</v>
      </c>
      <c r="N45" s="158">
        <v>43052.5</v>
      </c>
      <c r="O45" s="159">
        <v>42417</v>
      </c>
    </row>
    <row r="46" spans="1:16" ht="15.75" x14ac:dyDescent="0.25">
      <c r="A46" s="20"/>
      <c r="J46" s="123" t="s">
        <v>129</v>
      </c>
      <c r="K46" s="21">
        <v>2425</v>
      </c>
      <c r="L46" s="160"/>
      <c r="M46" s="157" t="s">
        <v>52</v>
      </c>
      <c r="N46" s="158">
        <v>42964</v>
      </c>
      <c r="O46" s="159">
        <v>42415</v>
      </c>
    </row>
    <row r="47" spans="1:16" ht="15.75" x14ac:dyDescent="0.25">
      <c r="A47" s="20"/>
      <c r="J47" s="125"/>
      <c r="K47" s="26">
        <v>0</v>
      </c>
      <c r="L47" s="161"/>
      <c r="M47" s="157" t="s">
        <v>52</v>
      </c>
      <c r="N47" s="158"/>
      <c r="O47" s="159"/>
    </row>
    <row r="48" spans="1:16" ht="15.75" x14ac:dyDescent="0.25">
      <c r="A48" s="20"/>
      <c r="J48" s="123"/>
      <c r="K48" s="21">
        <v>0</v>
      </c>
      <c r="L48" s="160"/>
      <c r="M48" s="157" t="s">
        <v>52</v>
      </c>
      <c r="N48" s="162">
        <v>0</v>
      </c>
      <c r="O48" s="163"/>
    </row>
    <row r="49" spans="1:16" ht="16.5" thickBot="1" x14ac:dyDescent="0.3">
      <c r="A49" s="20"/>
      <c r="J49" s="202"/>
      <c r="K49" s="142">
        <v>0</v>
      </c>
      <c r="L49" s="203"/>
      <c r="M49" s="204" t="s">
        <v>52</v>
      </c>
      <c r="N49" s="205"/>
      <c r="O49" s="206"/>
    </row>
    <row r="50" spans="1:16" ht="15.75" thickTop="1" x14ac:dyDescent="0.25">
      <c r="A50" s="20"/>
      <c r="C50" s="20"/>
      <c r="E50" s="20"/>
      <c r="F50" s="20"/>
      <c r="J50" s="196"/>
      <c r="K50" s="26">
        <f>SUM(K44:K49)</f>
        <v>121969.5</v>
      </c>
      <c r="L50" s="26"/>
      <c r="M50" s="26"/>
      <c r="N50" s="26">
        <f>SUM(N44:N49)</f>
        <v>121969.5</v>
      </c>
      <c r="O50" s="200"/>
    </row>
    <row r="51" spans="1:16" ht="15.75" x14ac:dyDescent="0.25">
      <c r="A51" s="20"/>
      <c r="C51" s="20"/>
      <c r="E51" s="20"/>
      <c r="F51" s="20"/>
      <c r="J51" s="196"/>
      <c r="K51" s="26"/>
      <c r="L51" s="43"/>
      <c r="M51" s="198"/>
      <c r="N51" s="199"/>
      <c r="O51" s="200"/>
    </row>
    <row r="52" spans="1:16" ht="15.75" x14ac:dyDescent="0.25">
      <c r="A52" s="20"/>
      <c r="C52" s="20"/>
      <c r="E52" s="20"/>
      <c r="F52" s="20"/>
      <c r="J52" s="201"/>
      <c r="K52" s="26"/>
      <c r="L52" s="43"/>
      <c r="M52" s="198"/>
      <c r="N52" s="199"/>
      <c r="O52" s="200"/>
    </row>
    <row r="53" spans="1:16" ht="15.75" thickBot="1" x14ac:dyDescent="0.3">
      <c r="A53" s="20"/>
      <c r="C53" s="20"/>
      <c r="E53" s="20"/>
      <c r="F53" s="20"/>
      <c r="J53" s="92"/>
      <c r="K53" s="95"/>
      <c r="L53" s="92"/>
      <c r="M53" s="92"/>
      <c r="N53" s="95"/>
      <c r="O53" s="92"/>
    </row>
    <row r="54" spans="1:16" ht="19.5" thickBot="1" x14ac:dyDescent="0.35">
      <c r="A54" s="20"/>
      <c r="C54" s="20"/>
      <c r="E54" s="20"/>
      <c r="F54" s="20"/>
      <c r="G54"/>
      <c r="K54" s="146" t="s">
        <v>46</v>
      </c>
      <c r="L54" s="147"/>
      <c r="M54" s="148"/>
      <c r="N54" s="195">
        <v>42425</v>
      </c>
      <c r="O54" s="150"/>
    </row>
    <row r="55" spans="1:16" ht="15.75" x14ac:dyDescent="0.25">
      <c r="A55" s="20"/>
      <c r="C55" s="20"/>
      <c r="E55" s="20"/>
      <c r="F55" s="20"/>
      <c r="G55"/>
      <c r="J55" s="151"/>
      <c r="K55" s="152"/>
      <c r="L55" s="151"/>
      <c r="M55" s="153"/>
      <c r="N55" s="152"/>
      <c r="O55" s="154"/>
    </row>
    <row r="56" spans="1:16" ht="15.75" x14ac:dyDescent="0.25">
      <c r="J56" s="155" t="s">
        <v>47</v>
      </c>
      <c r="K56" s="152" t="s">
        <v>48</v>
      </c>
      <c r="L56" s="151"/>
      <c r="M56" s="153" t="s">
        <v>49</v>
      </c>
      <c r="N56" s="152" t="s">
        <v>50</v>
      </c>
      <c r="O56" s="154"/>
    </row>
    <row r="57" spans="1:16" ht="15.75" x14ac:dyDescent="0.25">
      <c r="J57" s="123" t="s">
        <v>128</v>
      </c>
      <c r="K57" s="21">
        <v>17748.02</v>
      </c>
      <c r="L57" s="156" t="s">
        <v>51</v>
      </c>
      <c r="M57" s="157" t="s">
        <v>52</v>
      </c>
      <c r="N57" s="158">
        <v>27231</v>
      </c>
      <c r="O57" s="159">
        <v>42411</v>
      </c>
      <c r="P57" s="14">
        <v>42410</v>
      </c>
    </row>
    <row r="58" spans="1:16" ht="15.75" x14ac:dyDescent="0.25">
      <c r="J58" s="123" t="s">
        <v>131</v>
      </c>
      <c r="K58" s="21">
        <v>123537.48</v>
      </c>
      <c r="L58" s="160" t="s">
        <v>60</v>
      </c>
      <c r="M58" s="157" t="s">
        <v>52</v>
      </c>
      <c r="N58" s="158">
        <v>57395</v>
      </c>
      <c r="O58" s="159">
        <v>42422</v>
      </c>
      <c r="P58" s="14">
        <v>42419</v>
      </c>
    </row>
    <row r="59" spans="1:16" ht="15.75" x14ac:dyDescent="0.25">
      <c r="J59" s="123"/>
      <c r="K59" s="21">
        <v>0</v>
      </c>
      <c r="L59" s="160" t="s">
        <v>20</v>
      </c>
      <c r="M59" s="157" t="s">
        <v>52</v>
      </c>
      <c r="N59" s="158">
        <v>34588</v>
      </c>
      <c r="O59" s="159">
        <v>42418</v>
      </c>
      <c r="P59" s="14">
        <v>42417</v>
      </c>
    </row>
    <row r="60" spans="1:16" ht="15.75" x14ac:dyDescent="0.25">
      <c r="J60" s="123"/>
      <c r="K60" s="21"/>
      <c r="L60" s="160"/>
      <c r="M60" s="157" t="s">
        <v>52</v>
      </c>
      <c r="N60" s="158">
        <v>11663.5</v>
      </c>
      <c r="O60" s="159">
        <v>42420</v>
      </c>
      <c r="P60" s="14">
        <v>42422</v>
      </c>
    </row>
    <row r="61" spans="1:16" ht="15.75" x14ac:dyDescent="0.25">
      <c r="J61" s="123"/>
      <c r="K61" s="21"/>
      <c r="L61" s="160"/>
      <c r="M61" s="157" t="s">
        <v>52</v>
      </c>
      <c r="N61" s="158">
        <v>1877</v>
      </c>
      <c r="O61" s="159">
        <v>42419</v>
      </c>
      <c r="P61" s="14">
        <v>42422</v>
      </c>
    </row>
    <row r="62" spans="1:16" ht="15.75" x14ac:dyDescent="0.25">
      <c r="J62" s="123"/>
      <c r="K62" s="21"/>
      <c r="L62" s="160"/>
      <c r="M62" s="157" t="s">
        <v>52</v>
      </c>
      <c r="N62" s="158">
        <v>5675</v>
      </c>
      <c r="O62" s="159">
        <v>42422</v>
      </c>
    </row>
    <row r="63" spans="1:16" ht="15.75" x14ac:dyDescent="0.25">
      <c r="J63" s="123"/>
      <c r="K63" s="21"/>
      <c r="L63" s="160"/>
      <c r="M63" s="157" t="s">
        <v>52</v>
      </c>
      <c r="N63" s="158">
        <v>2856</v>
      </c>
      <c r="O63" s="159">
        <v>42418</v>
      </c>
      <c r="P63" s="14">
        <v>42422</v>
      </c>
    </row>
    <row r="64" spans="1:16" ht="16.5" thickBot="1" x14ac:dyDescent="0.3">
      <c r="J64" s="202"/>
      <c r="K64" s="142">
        <v>0</v>
      </c>
      <c r="L64" s="203"/>
      <c r="M64" s="204" t="s">
        <v>52</v>
      </c>
      <c r="N64" s="205"/>
      <c r="O64" s="206"/>
    </row>
    <row r="65" spans="10:15" customFormat="1" ht="15.75" thickTop="1" x14ac:dyDescent="0.25">
      <c r="J65" s="196"/>
      <c r="K65" s="26">
        <f>SUM(K57:K64)</f>
        <v>141285.5</v>
      </c>
      <c r="L65" s="26"/>
      <c r="M65" s="26"/>
      <c r="N65" s="26">
        <f>SUM(N57:N64)</f>
        <v>141285.5</v>
      </c>
      <c r="O65" s="20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28" workbookViewId="0">
      <selection activeCell="H52" sqref="H5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60" t="s">
        <v>170</v>
      </c>
      <c r="D1" s="360"/>
      <c r="E1" s="360"/>
      <c r="F1" s="360"/>
      <c r="G1" s="360"/>
      <c r="H1" s="360"/>
      <c r="I1" s="360"/>
      <c r="J1" s="360"/>
      <c r="K1" s="360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114962.92</v>
      </c>
      <c r="D4" s="12"/>
      <c r="E4" s="361" t="s">
        <v>3</v>
      </c>
      <c r="F4" s="362"/>
      <c r="I4" s="363" t="s">
        <v>4</v>
      </c>
      <c r="J4" s="364"/>
      <c r="K4" s="364"/>
      <c r="L4" s="364"/>
      <c r="M4" s="13" t="s">
        <v>5</v>
      </c>
    </row>
    <row r="5" spans="1:19" ht="15.75" thickTop="1" x14ac:dyDescent="0.25">
      <c r="A5" s="14"/>
      <c r="B5" s="15">
        <v>42430</v>
      </c>
      <c r="C5" s="16">
        <v>916</v>
      </c>
      <c r="D5" s="17" t="s">
        <v>120</v>
      </c>
      <c r="E5" s="18">
        <v>42430</v>
      </c>
      <c r="F5" s="19">
        <v>33613.129999999997</v>
      </c>
      <c r="G5" s="20"/>
      <c r="H5" s="186">
        <v>42430</v>
      </c>
      <c r="I5" s="187">
        <v>540</v>
      </c>
      <c r="J5" s="266"/>
      <c r="K5" s="188"/>
      <c r="L5" s="189"/>
      <c r="M5" s="190">
        <v>35516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42431</v>
      </c>
      <c r="C6" s="16">
        <v>745</v>
      </c>
      <c r="D6" s="22" t="s">
        <v>180</v>
      </c>
      <c r="E6" s="18">
        <v>42431</v>
      </c>
      <c r="F6" s="19">
        <v>30666.99</v>
      </c>
      <c r="G6" s="23"/>
      <c r="H6" s="24">
        <v>42431</v>
      </c>
      <c r="I6" s="25">
        <v>559</v>
      </c>
      <c r="J6" s="26"/>
      <c r="K6" s="27" t="s">
        <v>7</v>
      </c>
      <c r="L6" s="28">
        <v>537</v>
      </c>
      <c r="M6" s="33">
        <v>29828</v>
      </c>
      <c r="N6" s="30"/>
      <c r="O6" s="20"/>
      <c r="P6" s="20"/>
      <c r="Q6" s="20"/>
    </row>
    <row r="7" spans="1:19" x14ac:dyDescent="0.25">
      <c r="A7" s="14"/>
      <c r="B7" s="15">
        <v>42432</v>
      </c>
      <c r="C7" s="16">
        <v>0</v>
      </c>
      <c r="D7" s="17"/>
      <c r="E7" s="18">
        <v>42432</v>
      </c>
      <c r="F7" s="19">
        <v>40703.06</v>
      </c>
      <c r="G7" s="20"/>
      <c r="H7" s="24">
        <v>42432</v>
      </c>
      <c r="I7" s="25">
        <v>100</v>
      </c>
      <c r="J7" s="26"/>
      <c r="K7" s="31" t="s">
        <v>8</v>
      </c>
      <c r="L7" s="28">
        <v>11472</v>
      </c>
      <c r="M7" s="33">
        <v>39803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42433</v>
      </c>
      <c r="C8" s="16">
        <v>548</v>
      </c>
      <c r="D8" s="17" t="s">
        <v>181</v>
      </c>
      <c r="E8" s="18">
        <v>42433</v>
      </c>
      <c r="F8" s="19">
        <v>70555.240000000005</v>
      </c>
      <c r="G8" s="20"/>
      <c r="H8" s="24">
        <v>42433</v>
      </c>
      <c r="I8" s="25">
        <v>370</v>
      </c>
      <c r="J8" s="26"/>
      <c r="K8" s="27" t="s">
        <v>10</v>
      </c>
      <c r="L8" s="32">
        <v>28750</v>
      </c>
      <c r="M8" s="33">
        <v>68477</v>
      </c>
      <c r="N8" s="21"/>
      <c r="O8" s="20"/>
      <c r="P8" s="20"/>
      <c r="Q8" s="20"/>
    </row>
    <row r="9" spans="1:19" x14ac:dyDescent="0.25">
      <c r="A9" s="14"/>
      <c r="B9" s="15">
        <v>42434</v>
      </c>
      <c r="C9" s="16">
        <v>66317.600000000006</v>
      </c>
      <c r="D9" s="17" t="s">
        <v>182</v>
      </c>
      <c r="E9" s="18">
        <v>42434</v>
      </c>
      <c r="F9" s="19">
        <v>69084.67</v>
      </c>
      <c r="G9" s="20"/>
      <c r="H9" s="24">
        <v>42434</v>
      </c>
      <c r="I9" s="25">
        <v>400</v>
      </c>
      <c r="J9" s="35"/>
      <c r="K9" s="27" t="s">
        <v>188</v>
      </c>
      <c r="L9" s="28">
        <v>9950</v>
      </c>
      <c r="M9" s="33">
        <f>10665.5+4059</f>
        <v>14724.5</v>
      </c>
      <c r="N9" s="21"/>
      <c r="O9" s="37"/>
      <c r="P9" s="20"/>
      <c r="Q9" s="20"/>
    </row>
    <row r="10" spans="1:19" x14ac:dyDescent="0.25">
      <c r="A10" s="14"/>
      <c r="B10" s="15">
        <v>42435</v>
      </c>
      <c r="C10" s="16">
        <v>55000</v>
      </c>
      <c r="D10" s="34" t="s">
        <v>184</v>
      </c>
      <c r="E10" s="18">
        <v>42435</v>
      </c>
      <c r="F10" s="19">
        <v>65042.49</v>
      </c>
      <c r="G10" s="20"/>
      <c r="H10" s="24">
        <v>42435</v>
      </c>
      <c r="I10" s="25">
        <v>92</v>
      </c>
      <c r="J10" s="35"/>
      <c r="K10" s="27" t="s">
        <v>189</v>
      </c>
      <c r="L10" s="19">
        <v>10350</v>
      </c>
      <c r="M10" s="33">
        <v>4100.5</v>
      </c>
      <c r="N10" s="21"/>
      <c r="O10" s="20"/>
      <c r="P10" s="20"/>
      <c r="Q10" s="20"/>
    </row>
    <row r="11" spans="1:19" x14ac:dyDescent="0.25">
      <c r="A11" s="14"/>
      <c r="B11" s="15">
        <v>42436</v>
      </c>
      <c r="C11" s="16">
        <v>33342</v>
      </c>
      <c r="D11" s="34" t="s">
        <v>184</v>
      </c>
      <c r="E11" s="18">
        <v>42436</v>
      </c>
      <c r="F11" s="19">
        <v>32457.21</v>
      </c>
      <c r="G11" s="20"/>
      <c r="H11" s="24">
        <v>42436</v>
      </c>
      <c r="I11" s="25">
        <v>100</v>
      </c>
      <c r="J11" s="35"/>
      <c r="K11" s="27" t="s">
        <v>190</v>
      </c>
      <c r="L11" s="19">
        <v>10950</v>
      </c>
      <c r="M11" s="33">
        <v>615</v>
      </c>
      <c r="N11" s="36"/>
      <c r="O11" s="20"/>
      <c r="P11" s="20"/>
      <c r="Q11" s="20"/>
    </row>
    <row r="12" spans="1:19" x14ac:dyDescent="0.25">
      <c r="A12" s="14"/>
      <c r="B12" s="15">
        <v>42437</v>
      </c>
      <c r="C12" s="16">
        <v>42108.5</v>
      </c>
      <c r="D12" s="17" t="s">
        <v>185</v>
      </c>
      <c r="E12" s="18">
        <v>42437</v>
      </c>
      <c r="F12" s="19">
        <v>43690.22</v>
      </c>
      <c r="G12" s="20"/>
      <c r="H12" s="24">
        <v>42437</v>
      </c>
      <c r="I12" s="25">
        <v>531.5</v>
      </c>
      <c r="J12" s="35"/>
      <c r="K12" s="27" t="s">
        <v>191</v>
      </c>
      <c r="L12" s="19">
        <v>12898</v>
      </c>
      <c r="M12" s="33">
        <v>1550</v>
      </c>
      <c r="N12" s="21"/>
      <c r="O12" s="37"/>
      <c r="P12" s="38"/>
      <c r="Q12" s="20"/>
    </row>
    <row r="13" spans="1:19" x14ac:dyDescent="0.25">
      <c r="A13" s="14"/>
      <c r="B13" s="15">
        <v>42438</v>
      </c>
      <c r="C13" s="16">
        <v>22000</v>
      </c>
      <c r="D13" s="34" t="s">
        <v>186</v>
      </c>
      <c r="E13" s="18">
        <v>42438</v>
      </c>
      <c r="F13" s="19">
        <v>22453.51</v>
      </c>
      <c r="G13" s="20"/>
      <c r="H13" s="24">
        <v>42438</v>
      </c>
      <c r="I13" s="25">
        <v>591</v>
      </c>
      <c r="J13" s="35"/>
      <c r="K13" s="27"/>
      <c r="L13" s="19">
        <v>0</v>
      </c>
      <c r="M13" s="33">
        <v>880</v>
      </c>
      <c r="N13" s="21"/>
      <c r="O13" s="20"/>
      <c r="P13" s="20"/>
      <c r="Q13" s="20"/>
    </row>
    <row r="14" spans="1:19" x14ac:dyDescent="0.25">
      <c r="A14" s="14"/>
      <c r="B14" s="15">
        <v>42439</v>
      </c>
      <c r="C14" s="16">
        <v>28025</v>
      </c>
      <c r="D14" s="17" t="s">
        <v>186</v>
      </c>
      <c r="E14" s="18">
        <v>42439</v>
      </c>
      <c r="F14" s="19">
        <v>28752.41</v>
      </c>
      <c r="G14" s="20"/>
      <c r="H14" s="24">
        <v>42439</v>
      </c>
      <c r="I14" s="25">
        <v>375</v>
      </c>
      <c r="J14" s="35"/>
      <c r="K14" s="40" t="s">
        <v>212</v>
      </c>
      <c r="L14" s="19">
        <v>1607.14</v>
      </c>
      <c r="M14" s="33">
        <v>352</v>
      </c>
      <c r="N14" s="21"/>
      <c r="O14" s="20"/>
      <c r="P14" s="20"/>
      <c r="Q14" s="20"/>
    </row>
    <row r="15" spans="1:19" ht="15.75" x14ac:dyDescent="0.25">
      <c r="A15" s="14"/>
      <c r="B15" s="15">
        <v>42440</v>
      </c>
      <c r="C15" s="16">
        <v>40621</v>
      </c>
      <c r="D15" s="17" t="s">
        <v>186</v>
      </c>
      <c r="E15" s="18">
        <v>42440</v>
      </c>
      <c r="F15" s="19">
        <v>53988.75</v>
      </c>
      <c r="G15" s="20"/>
      <c r="H15" s="24">
        <v>42440</v>
      </c>
      <c r="I15" s="25">
        <v>100</v>
      </c>
      <c r="J15" s="35"/>
      <c r="K15" s="226" t="s">
        <v>11</v>
      </c>
      <c r="L15" s="19">
        <v>11785.6</v>
      </c>
      <c r="M15" s="33">
        <v>1482</v>
      </c>
      <c r="N15" s="30"/>
      <c r="O15" s="20"/>
      <c r="P15" s="20"/>
      <c r="Q15" s="20"/>
    </row>
    <row r="16" spans="1:19" ht="15.75" x14ac:dyDescent="0.25">
      <c r="A16" s="14"/>
      <c r="B16" s="15">
        <v>42441</v>
      </c>
      <c r="C16" s="16">
        <v>61551</v>
      </c>
      <c r="D16" s="17" t="s">
        <v>187</v>
      </c>
      <c r="E16" s="18">
        <v>42441</v>
      </c>
      <c r="F16" s="19">
        <v>63234.9</v>
      </c>
      <c r="G16" s="20"/>
      <c r="H16" s="24">
        <v>42441</v>
      </c>
      <c r="I16" s="25">
        <v>150</v>
      </c>
      <c r="J16" s="35"/>
      <c r="K16" s="251">
        <v>42440</v>
      </c>
      <c r="L16" s="42">
        <v>0</v>
      </c>
      <c r="M16" s="33">
        <v>1534</v>
      </c>
      <c r="N16" s="30"/>
      <c r="O16" s="20"/>
      <c r="P16" s="20"/>
      <c r="Q16" s="20"/>
    </row>
    <row r="17" spans="1:18" x14ac:dyDescent="0.25">
      <c r="A17" s="14"/>
      <c r="B17" s="15">
        <v>42442</v>
      </c>
      <c r="C17" s="16">
        <v>52000</v>
      </c>
      <c r="D17" s="17" t="s">
        <v>192</v>
      </c>
      <c r="E17" s="18">
        <v>42442</v>
      </c>
      <c r="F17" s="19">
        <v>59427.88</v>
      </c>
      <c r="G17" s="20"/>
      <c r="H17" s="24">
        <v>42442</v>
      </c>
      <c r="I17" s="25">
        <v>900</v>
      </c>
      <c r="J17" s="35"/>
      <c r="K17" s="261" t="s">
        <v>209</v>
      </c>
      <c r="L17" s="19">
        <v>2500</v>
      </c>
      <c r="M17" s="33">
        <v>278</v>
      </c>
      <c r="N17" s="30"/>
      <c r="O17" s="20"/>
      <c r="P17" s="20"/>
      <c r="Q17" s="20"/>
    </row>
    <row r="18" spans="1:18" x14ac:dyDescent="0.25">
      <c r="A18" s="14"/>
      <c r="B18" s="15">
        <v>42443</v>
      </c>
      <c r="C18" s="16">
        <v>30410.39</v>
      </c>
      <c r="D18" s="17" t="s">
        <v>202</v>
      </c>
      <c r="E18" s="18">
        <v>42443</v>
      </c>
      <c r="F18" s="19">
        <v>30926.69</v>
      </c>
      <c r="G18" s="20"/>
      <c r="H18" s="24">
        <v>42443</v>
      </c>
      <c r="I18" s="25">
        <v>84</v>
      </c>
      <c r="J18" s="35"/>
      <c r="K18" s="41" t="s">
        <v>12</v>
      </c>
      <c r="L18" s="19">
        <v>0</v>
      </c>
      <c r="M18" s="33">
        <v>432</v>
      </c>
      <c r="N18" s="21"/>
      <c r="O18" s="37"/>
      <c r="P18" s="20"/>
      <c r="Q18" s="20"/>
    </row>
    <row r="19" spans="1:18" x14ac:dyDescent="0.25">
      <c r="A19" s="14"/>
      <c r="B19" s="15">
        <v>42444</v>
      </c>
      <c r="C19" s="16">
        <v>40000</v>
      </c>
      <c r="D19" s="34" t="s">
        <v>203</v>
      </c>
      <c r="E19" s="18">
        <v>42444</v>
      </c>
      <c r="F19" s="19">
        <v>39210.71</v>
      </c>
      <c r="G19" s="20"/>
      <c r="H19" s="24">
        <v>42444</v>
      </c>
      <c r="I19" s="25">
        <v>0</v>
      </c>
      <c r="J19" s="35"/>
      <c r="K19" s="43" t="s">
        <v>13</v>
      </c>
      <c r="L19" s="44">
        <v>0</v>
      </c>
      <c r="M19" s="33">
        <v>210</v>
      </c>
      <c r="N19" s="21"/>
      <c r="O19" s="20"/>
      <c r="P19" s="20"/>
      <c r="Q19" s="20"/>
    </row>
    <row r="20" spans="1:18" x14ac:dyDescent="0.25">
      <c r="A20" s="14"/>
      <c r="B20" s="15">
        <v>42445</v>
      </c>
      <c r="C20" s="16">
        <v>32217.35</v>
      </c>
      <c r="D20" s="22" t="s">
        <v>203</v>
      </c>
      <c r="E20" s="18">
        <v>42445</v>
      </c>
      <c r="F20" s="19">
        <f>27519.73+2335.98+3987.16</f>
        <v>33842.869999999995</v>
      </c>
      <c r="G20" s="20"/>
      <c r="H20" s="24">
        <v>42445</v>
      </c>
      <c r="I20" s="45">
        <v>0</v>
      </c>
      <c r="J20" s="35"/>
      <c r="K20" s="46" t="s">
        <v>14</v>
      </c>
      <c r="L20" s="42">
        <v>0</v>
      </c>
      <c r="M20" s="33">
        <f>F20-C20-0.02</f>
        <v>1625.4999999999968</v>
      </c>
      <c r="N20" s="30"/>
      <c r="O20" s="20"/>
      <c r="P20" s="20"/>
      <c r="Q20" s="20"/>
    </row>
    <row r="21" spans="1:18" x14ac:dyDescent="0.25">
      <c r="A21" s="14"/>
      <c r="B21" s="15">
        <v>42446</v>
      </c>
      <c r="C21" s="16">
        <f>605+43814.54</f>
        <v>44419.54</v>
      </c>
      <c r="D21" s="17" t="s">
        <v>204</v>
      </c>
      <c r="E21" s="18">
        <v>42446</v>
      </c>
      <c r="F21" s="19">
        <f>37556.44+589.47+7820.95</f>
        <v>45966.86</v>
      </c>
      <c r="G21" s="20"/>
      <c r="H21" s="24">
        <v>42446</v>
      </c>
      <c r="I21" s="45">
        <f>570.95+220</f>
        <v>790.95</v>
      </c>
      <c r="J21" s="35"/>
      <c r="K21" s="47" t="s">
        <v>15</v>
      </c>
      <c r="L21" s="42">
        <v>0</v>
      </c>
      <c r="M21" s="33">
        <v>769.5</v>
      </c>
      <c r="N21" s="30"/>
      <c r="O21" s="37"/>
      <c r="P21" s="37"/>
      <c r="Q21" s="37"/>
      <c r="R21" s="37"/>
    </row>
    <row r="22" spans="1:18" x14ac:dyDescent="0.25">
      <c r="A22" s="14"/>
      <c r="B22" s="15">
        <v>42447</v>
      </c>
      <c r="C22" s="16">
        <f>505+66155.2</f>
        <v>66660.2</v>
      </c>
      <c r="D22" s="17" t="s">
        <v>205</v>
      </c>
      <c r="E22" s="18">
        <v>42447</v>
      </c>
      <c r="F22" s="19">
        <f>54049.44+5336.3+8734.34</f>
        <v>68120.08</v>
      </c>
      <c r="G22" s="20"/>
      <c r="H22" s="24">
        <v>42447</v>
      </c>
      <c r="I22" s="45">
        <f>355.8+140+350</f>
        <v>845.8</v>
      </c>
      <c r="J22" s="48"/>
      <c r="K22" s="49" t="s">
        <v>29</v>
      </c>
      <c r="L22" s="42">
        <v>800</v>
      </c>
      <c r="M22" s="33">
        <v>614</v>
      </c>
      <c r="N22" s="30"/>
      <c r="O22" s="20"/>
      <c r="P22" s="20"/>
      <c r="Q22" s="20"/>
    </row>
    <row r="23" spans="1:18" x14ac:dyDescent="0.25">
      <c r="A23" s="14"/>
      <c r="B23" s="15">
        <v>42448</v>
      </c>
      <c r="C23" s="16">
        <f>331+61024.5</f>
        <v>61355.5</v>
      </c>
      <c r="D23" s="259" t="s">
        <v>207</v>
      </c>
      <c r="E23" s="18">
        <v>42448</v>
      </c>
      <c r="F23" s="19">
        <f>52683.79+6897.43+5570.36</f>
        <v>65151.58</v>
      </c>
      <c r="G23" s="20"/>
      <c r="H23" s="24">
        <v>42448</v>
      </c>
      <c r="I23" s="45">
        <v>400</v>
      </c>
      <c r="J23" s="26"/>
      <c r="K23" s="50">
        <v>42432</v>
      </c>
      <c r="L23" s="42">
        <v>0</v>
      </c>
      <c r="M23" s="33">
        <v>900</v>
      </c>
      <c r="N23" s="30"/>
      <c r="O23" s="20"/>
      <c r="P23" s="20"/>
      <c r="Q23" s="20"/>
    </row>
    <row r="24" spans="1:18" x14ac:dyDescent="0.25">
      <c r="A24" s="14"/>
      <c r="B24" s="15">
        <v>42449</v>
      </c>
      <c r="C24" s="16">
        <v>45579</v>
      </c>
      <c r="D24" s="34" t="s">
        <v>208</v>
      </c>
      <c r="E24" s="18">
        <v>42449</v>
      </c>
      <c r="F24" s="19">
        <f>46507.27+440.2+445.72</f>
        <v>47393.189999999995</v>
      </c>
      <c r="G24" s="20"/>
      <c r="H24" s="24">
        <v>42449</v>
      </c>
      <c r="I24" s="45">
        <v>0</v>
      </c>
      <c r="J24" s="35"/>
      <c r="K24" s="51" t="s">
        <v>206</v>
      </c>
      <c r="L24" s="42">
        <v>2500</v>
      </c>
      <c r="M24" s="33">
        <v>719</v>
      </c>
      <c r="N24" s="30"/>
      <c r="O24" s="20"/>
      <c r="P24" s="20"/>
      <c r="Q24" s="20"/>
    </row>
    <row r="25" spans="1:18" x14ac:dyDescent="0.25">
      <c r="A25" s="14"/>
      <c r="B25" s="15">
        <v>42450</v>
      </c>
      <c r="C25" s="16">
        <v>31605</v>
      </c>
      <c r="D25" s="259" t="s">
        <v>208</v>
      </c>
      <c r="E25" s="18">
        <v>42450</v>
      </c>
      <c r="F25" s="19">
        <v>35257.94</v>
      </c>
      <c r="G25" s="20"/>
      <c r="H25" s="24">
        <v>42450</v>
      </c>
      <c r="I25" s="45">
        <v>100</v>
      </c>
      <c r="J25" s="26"/>
      <c r="K25" s="51"/>
      <c r="L25" s="42">
        <v>0</v>
      </c>
      <c r="M25" s="33">
        <v>1053</v>
      </c>
      <c r="N25" s="21"/>
      <c r="O25" s="20"/>
      <c r="P25" s="20"/>
      <c r="Q25" s="20"/>
    </row>
    <row r="26" spans="1:18" x14ac:dyDescent="0.25">
      <c r="A26" s="14"/>
      <c r="B26" s="15">
        <v>42451</v>
      </c>
      <c r="C26" s="16">
        <v>32000</v>
      </c>
      <c r="D26" s="17" t="s">
        <v>210</v>
      </c>
      <c r="E26" s="18">
        <v>42451</v>
      </c>
      <c r="F26" s="19">
        <v>32625.79</v>
      </c>
      <c r="G26" s="20"/>
      <c r="H26" s="24">
        <v>42451</v>
      </c>
      <c r="I26" s="45">
        <v>31.6</v>
      </c>
      <c r="J26" s="52"/>
      <c r="K26" s="50"/>
      <c r="L26" s="42">
        <v>0</v>
      </c>
      <c r="M26" s="33">
        <v>594</v>
      </c>
      <c r="N26" s="21"/>
      <c r="O26" s="37"/>
      <c r="P26" s="38"/>
      <c r="Q26" s="20"/>
    </row>
    <row r="27" spans="1:18" x14ac:dyDescent="0.25">
      <c r="A27" s="14"/>
      <c r="B27" s="15">
        <v>42452</v>
      </c>
      <c r="C27" s="16">
        <v>26020</v>
      </c>
      <c r="D27" s="17" t="s">
        <v>211</v>
      </c>
      <c r="E27" s="18">
        <v>42452</v>
      </c>
      <c r="F27" s="19">
        <v>26638.31</v>
      </c>
      <c r="G27" s="20"/>
      <c r="H27" s="24">
        <v>42452</v>
      </c>
      <c r="I27" s="45">
        <v>100</v>
      </c>
      <c r="J27" s="26"/>
      <c r="K27" s="53"/>
      <c r="L27" s="42">
        <v>0</v>
      </c>
      <c r="M27" s="33">
        <v>518</v>
      </c>
      <c r="N27" s="21"/>
      <c r="O27" s="20"/>
      <c r="P27" s="20"/>
      <c r="Q27" s="20"/>
    </row>
    <row r="28" spans="1:18" x14ac:dyDescent="0.25">
      <c r="A28" s="14"/>
      <c r="B28" s="15">
        <v>42453</v>
      </c>
      <c r="C28" s="16">
        <v>34000</v>
      </c>
      <c r="D28" s="17" t="s">
        <v>210</v>
      </c>
      <c r="E28" s="18">
        <v>42453</v>
      </c>
      <c r="F28" s="19">
        <v>34822.19</v>
      </c>
      <c r="G28" s="20"/>
      <c r="H28" s="24">
        <v>42453</v>
      </c>
      <c r="I28" s="45">
        <v>0</v>
      </c>
      <c r="J28" s="26"/>
      <c r="K28" s="54"/>
      <c r="L28" s="42">
        <v>0</v>
      </c>
      <c r="M28" s="33">
        <v>822</v>
      </c>
      <c r="N28" s="30"/>
      <c r="O28" s="20"/>
      <c r="P28" s="20"/>
      <c r="Q28" s="20"/>
    </row>
    <row r="29" spans="1:18" x14ac:dyDescent="0.25">
      <c r="A29" s="14"/>
      <c r="B29" s="15">
        <v>42454</v>
      </c>
      <c r="C29" s="16">
        <v>12500</v>
      </c>
      <c r="D29" s="17" t="s">
        <v>210</v>
      </c>
      <c r="E29" s="18">
        <v>42454</v>
      </c>
      <c r="F29" s="19">
        <v>14400.3</v>
      </c>
      <c r="G29" s="20"/>
      <c r="H29" s="24">
        <v>42454</v>
      </c>
      <c r="I29" s="45">
        <v>0</v>
      </c>
      <c r="J29" s="26"/>
      <c r="K29" s="55"/>
      <c r="L29" s="56">
        <v>0</v>
      </c>
      <c r="M29" s="33">
        <v>293</v>
      </c>
      <c r="N29" s="30"/>
      <c r="O29" s="20"/>
      <c r="P29" s="20"/>
      <c r="Q29" s="20"/>
    </row>
    <row r="30" spans="1:18" ht="15.75" thickBot="1" x14ac:dyDescent="0.3">
      <c r="A30" s="14"/>
      <c r="B30" s="15">
        <v>42455</v>
      </c>
      <c r="C30" s="16">
        <v>83130.28</v>
      </c>
      <c r="D30" s="17" t="s">
        <v>241</v>
      </c>
      <c r="E30" s="18">
        <v>42455</v>
      </c>
      <c r="F30" s="19">
        <v>83983.87</v>
      </c>
      <c r="G30" s="20"/>
      <c r="H30" s="24">
        <v>42455</v>
      </c>
      <c r="I30" s="45">
        <v>400</v>
      </c>
      <c r="J30" s="52"/>
      <c r="K30" s="54"/>
      <c r="L30" s="56">
        <v>0</v>
      </c>
      <c r="M30" s="33">
        <v>451</v>
      </c>
      <c r="N30" s="30"/>
      <c r="O30" s="20"/>
      <c r="P30" s="20"/>
      <c r="Q30" s="20"/>
    </row>
    <row r="31" spans="1:18" x14ac:dyDescent="0.25">
      <c r="A31" s="14"/>
      <c r="B31" s="15">
        <v>42456</v>
      </c>
      <c r="C31" s="16">
        <v>37400.6</v>
      </c>
      <c r="D31" s="17" t="s">
        <v>246</v>
      </c>
      <c r="E31" s="18">
        <v>42456</v>
      </c>
      <c r="F31" s="19">
        <v>47120.24</v>
      </c>
      <c r="G31" s="20"/>
      <c r="H31" s="24">
        <v>42456</v>
      </c>
      <c r="I31" s="45">
        <v>120.5</v>
      </c>
      <c r="J31" s="35"/>
      <c r="K31" s="57"/>
      <c r="L31" s="365">
        <v>0</v>
      </c>
      <c r="M31" s="33">
        <v>797</v>
      </c>
      <c r="N31" s="21"/>
      <c r="O31" s="20"/>
      <c r="P31" s="20"/>
      <c r="Q31" s="20"/>
    </row>
    <row r="32" spans="1:18" ht="15.75" thickBot="1" x14ac:dyDescent="0.3">
      <c r="A32" s="14"/>
      <c r="B32" s="15">
        <v>42457</v>
      </c>
      <c r="C32" s="16">
        <v>44337</v>
      </c>
      <c r="D32" s="17" t="s">
        <v>247</v>
      </c>
      <c r="E32" s="18">
        <v>42457</v>
      </c>
      <c r="F32" s="19">
        <v>45090.91</v>
      </c>
      <c r="G32" s="20"/>
      <c r="H32" s="24">
        <v>42457</v>
      </c>
      <c r="I32" s="45">
        <v>84</v>
      </c>
      <c r="J32" s="26"/>
      <c r="K32" s="53"/>
      <c r="L32" s="366"/>
      <c r="M32" s="33">
        <v>670</v>
      </c>
      <c r="N32" s="30"/>
      <c r="O32" s="20"/>
      <c r="P32" s="20"/>
      <c r="Q32" s="20"/>
    </row>
    <row r="33" spans="1:17" x14ac:dyDescent="0.25">
      <c r="A33" s="14"/>
      <c r="B33" s="15">
        <v>42458</v>
      </c>
      <c r="C33" s="16">
        <v>18364.919999999998</v>
      </c>
      <c r="D33" s="259" t="s">
        <v>248</v>
      </c>
      <c r="E33" s="18">
        <v>42458</v>
      </c>
      <c r="F33" s="19">
        <v>41806.47</v>
      </c>
      <c r="G33" s="20"/>
      <c r="H33" s="24">
        <v>42458</v>
      </c>
      <c r="I33" s="45">
        <v>542</v>
      </c>
      <c r="J33" s="26"/>
      <c r="K33" s="58"/>
      <c r="L33" s="367">
        <v>0</v>
      </c>
      <c r="M33" s="33">
        <v>22899.5</v>
      </c>
      <c r="N33" s="21"/>
      <c r="O33" s="20"/>
      <c r="P33" s="20"/>
      <c r="Q33" s="20"/>
    </row>
    <row r="34" spans="1:17" ht="15.75" thickBot="1" x14ac:dyDescent="0.3">
      <c r="A34" s="14"/>
      <c r="B34" s="15">
        <v>42459</v>
      </c>
      <c r="C34" s="16">
        <v>39649</v>
      </c>
      <c r="D34" s="17" t="s">
        <v>249</v>
      </c>
      <c r="E34" s="18">
        <v>42459</v>
      </c>
      <c r="F34" s="19">
        <v>40514.629999999997</v>
      </c>
      <c r="G34" s="20"/>
      <c r="H34" s="24">
        <v>42459</v>
      </c>
      <c r="I34" s="45">
        <v>546.77</v>
      </c>
      <c r="J34" s="26"/>
      <c r="K34" s="59"/>
      <c r="L34" s="368"/>
      <c r="M34" s="33">
        <v>319</v>
      </c>
      <c r="N34" s="21"/>
      <c r="O34" s="20"/>
    </row>
    <row r="35" spans="1:17" ht="15.75" thickBot="1" x14ac:dyDescent="0.3">
      <c r="A35" s="14"/>
      <c r="B35" s="15">
        <v>42460</v>
      </c>
      <c r="C35" s="16">
        <v>0</v>
      </c>
      <c r="D35" s="34"/>
      <c r="E35" s="18">
        <v>42460</v>
      </c>
      <c r="F35" s="19">
        <v>38390.97</v>
      </c>
      <c r="G35" s="20"/>
      <c r="H35" s="24">
        <v>42460</v>
      </c>
      <c r="I35" s="45">
        <v>100</v>
      </c>
      <c r="J35" s="26"/>
      <c r="K35" s="60"/>
      <c r="L35" s="61">
        <v>0</v>
      </c>
      <c r="M35" s="33">
        <v>26819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259645.5</v>
      </c>
    </row>
    <row r="38" spans="1:17" x14ac:dyDescent="0.25">
      <c r="B38" s="82" t="s">
        <v>16</v>
      </c>
      <c r="C38" s="83">
        <f>SUM(C5:C37)</f>
        <v>1082822.8799999999</v>
      </c>
      <c r="E38" s="227" t="s">
        <v>16</v>
      </c>
      <c r="F38" s="85">
        <f>SUM(F5:F37)</f>
        <v>1384934.0599999996</v>
      </c>
      <c r="H38" s="5" t="s">
        <v>16</v>
      </c>
      <c r="I38" s="86">
        <f>SUM(I5:I37)</f>
        <v>8954.1200000000008</v>
      </c>
      <c r="J38" s="86"/>
      <c r="K38" s="87" t="s">
        <v>16</v>
      </c>
      <c r="L38" s="88">
        <f>SUM(L5:L37)</f>
        <v>104099.74</v>
      </c>
    </row>
    <row r="40" spans="1:17" ht="15.75" x14ac:dyDescent="0.25">
      <c r="A40" s="89"/>
      <c r="B40" s="90"/>
      <c r="C40" s="26"/>
      <c r="D40" s="91"/>
      <c r="E40" s="92"/>
      <c r="F40" s="67"/>
      <c r="H40" s="356" t="s">
        <v>17</v>
      </c>
      <c r="I40" s="357"/>
      <c r="J40" s="229"/>
      <c r="K40" s="358">
        <f>I38+L38</f>
        <v>113053.86</v>
      </c>
      <c r="L40" s="359"/>
    </row>
    <row r="41" spans="1:17" ht="15.75" x14ac:dyDescent="0.25">
      <c r="B41" s="94"/>
      <c r="C41" s="67"/>
      <c r="D41" s="343" t="s">
        <v>18</v>
      </c>
      <c r="E41" s="343"/>
      <c r="F41" s="95">
        <f>F38-K40</f>
        <v>1271880.1999999995</v>
      </c>
      <c r="I41" s="96"/>
      <c r="J41" s="96"/>
    </row>
    <row r="42" spans="1:17" ht="15.75" x14ac:dyDescent="0.25">
      <c r="D42" s="344" t="s">
        <v>193</v>
      </c>
      <c r="E42" s="344"/>
      <c r="F42" s="95">
        <v>-1359460.23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-87580.030000000494</v>
      </c>
      <c r="I44" s="345" t="s">
        <v>22</v>
      </c>
      <c r="J44" s="346"/>
      <c r="K44" s="349">
        <f>F48+L46</f>
        <v>159841.28999999951</v>
      </c>
      <c r="L44" s="350"/>
    </row>
    <row r="45" spans="1:17" ht="15.75" thickBot="1" x14ac:dyDescent="0.3">
      <c r="D45" s="100" t="s">
        <v>23</v>
      </c>
      <c r="E45" s="89" t="s">
        <v>24</v>
      </c>
      <c r="F45" s="86">
        <v>31991.9</v>
      </c>
      <c r="I45" s="347"/>
      <c r="J45" s="348"/>
      <c r="K45" s="351"/>
      <c r="L45" s="352"/>
    </row>
    <row r="46" spans="1:17" ht="17.25" thickTop="1" thickBot="1" x14ac:dyDescent="0.3">
      <c r="C46" s="85"/>
      <c r="D46" s="353" t="s">
        <v>25</v>
      </c>
      <c r="E46" s="353"/>
      <c r="F46" s="101">
        <v>215429.42</v>
      </c>
      <c r="I46" s="354"/>
      <c r="J46" s="354"/>
      <c r="K46" s="355"/>
      <c r="L46" s="102"/>
    </row>
    <row r="47" spans="1:17" ht="19.5" thickBot="1" x14ac:dyDescent="0.35">
      <c r="C47" s="85"/>
      <c r="D47" s="227"/>
      <c r="E47" s="227"/>
      <c r="F47" s="103"/>
      <c r="H47" s="104"/>
      <c r="I47" s="228" t="s">
        <v>26</v>
      </c>
      <c r="J47" s="228"/>
      <c r="K47" s="336">
        <f>-C4</f>
        <v>-114962.92</v>
      </c>
      <c r="L47" s="337"/>
    </row>
    <row r="48" spans="1:17" ht="17.25" thickTop="1" thickBot="1" x14ac:dyDescent="0.3">
      <c r="E48" s="106" t="s">
        <v>27</v>
      </c>
      <c r="F48" s="107">
        <f>F44+F45+F46</f>
        <v>159841.28999999951</v>
      </c>
    </row>
    <row r="49" spans="2:14" ht="19.5" thickBot="1" x14ac:dyDescent="0.35">
      <c r="B49"/>
      <c r="C49"/>
      <c r="D49" s="338"/>
      <c r="E49" s="338"/>
      <c r="F49" s="67"/>
      <c r="I49" s="339" t="s">
        <v>28</v>
      </c>
      <c r="J49" s="340"/>
      <c r="K49" s="341">
        <f>K44+K47</f>
        <v>44878.369999999515</v>
      </c>
      <c r="L49" s="342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workbookViewId="0">
      <selection activeCell="E32" sqref="E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1" max="11" width="15.28515625" customWidth="1"/>
    <col min="14" max="14" width="20.140625" bestFit="1" customWidth="1"/>
    <col min="15" max="15" width="12.140625" bestFit="1" customWidth="1"/>
  </cols>
  <sheetData>
    <row r="1" spans="1:16" ht="19.5" thickBot="1" x14ac:dyDescent="0.35">
      <c r="B1" s="109" t="s">
        <v>155</v>
      </c>
      <c r="C1" s="110"/>
      <c r="D1" s="111"/>
      <c r="K1" s="146" t="s">
        <v>46</v>
      </c>
      <c r="L1" s="147"/>
      <c r="M1" s="148"/>
      <c r="N1" s="195">
        <v>42432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42430</v>
      </c>
      <c r="B3" s="123" t="s">
        <v>156</v>
      </c>
      <c r="C3" s="21">
        <v>104197.73</v>
      </c>
      <c r="D3" s="117">
        <v>42432</v>
      </c>
      <c r="E3" s="21">
        <v>104197.73</v>
      </c>
      <c r="F3" s="118">
        <f t="shared" ref="F3:F36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42431</v>
      </c>
      <c r="B4" s="123" t="s">
        <v>157</v>
      </c>
      <c r="C4" s="21">
        <v>14129.04</v>
      </c>
      <c r="D4" s="258" t="s">
        <v>197</v>
      </c>
      <c r="E4" s="21">
        <f>12968.56+1160.48</f>
        <v>14129.039999999999</v>
      </c>
      <c r="F4" s="122">
        <f t="shared" si="0"/>
        <v>0</v>
      </c>
      <c r="J4" s="123" t="s">
        <v>158</v>
      </c>
      <c r="K4" s="21">
        <v>12618.76</v>
      </c>
      <c r="L4" s="156"/>
      <c r="M4" s="157" t="s">
        <v>52</v>
      </c>
      <c r="N4" s="158">
        <v>43287</v>
      </c>
      <c r="O4" s="159">
        <v>42426</v>
      </c>
      <c r="P4" s="14">
        <v>42381</v>
      </c>
    </row>
    <row r="5" spans="1:16" ht="15.75" x14ac:dyDescent="0.25">
      <c r="A5" s="119">
        <v>42432</v>
      </c>
      <c r="B5" s="123" t="s">
        <v>162</v>
      </c>
      <c r="C5" s="21">
        <v>16805.099999999999</v>
      </c>
      <c r="D5" s="117">
        <v>42446</v>
      </c>
      <c r="E5" s="21">
        <v>16805.099999999999</v>
      </c>
      <c r="F5" s="122">
        <f t="shared" si="0"/>
        <v>0</v>
      </c>
      <c r="J5" s="123" t="s">
        <v>159</v>
      </c>
      <c r="K5" s="21">
        <v>105.6</v>
      </c>
      <c r="L5" s="160"/>
      <c r="M5" s="157" t="s">
        <v>52</v>
      </c>
      <c r="N5" s="158">
        <v>72194</v>
      </c>
      <c r="O5" s="159">
        <v>42426</v>
      </c>
      <c r="P5" s="14">
        <v>42392</v>
      </c>
    </row>
    <row r="6" spans="1:16" ht="15.75" x14ac:dyDescent="0.25">
      <c r="A6" s="119">
        <v>42433</v>
      </c>
      <c r="B6" s="123" t="s">
        <v>163</v>
      </c>
      <c r="C6" s="21">
        <v>72260.649999999994</v>
      </c>
      <c r="D6" s="117">
        <v>42446</v>
      </c>
      <c r="E6" s="21">
        <v>72260.649999999994</v>
      </c>
      <c r="F6" s="122">
        <f t="shared" si="0"/>
        <v>0</v>
      </c>
      <c r="J6" s="123" t="s">
        <v>160</v>
      </c>
      <c r="K6" s="21">
        <v>119002.3</v>
      </c>
      <c r="L6" s="160" t="s">
        <v>119</v>
      </c>
      <c r="M6" s="157" t="s">
        <v>52</v>
      </c>
      <c r="N6" s="158">
        <v>41350</v>
      </c>
      <c r="O6" s="159">
        <v>42426</v>
      </c>
      <c r="P6" s="14">
        <v>42393</v>
      </c>
    </row>
    <row r="7" spans="1:16" ht="15.75" x14ac:dyDescent="0.25">
      <c r="A7" s="119">
        <v>42433</v>
      </c>
      <c r="B7" s="123" t="s">
        <v>164</v>
      </c>
      <c r="C7" s="21">
        <v>370.5</v>
      </c>
      <c r="D7" s="117">
        <v>42446</v>
      </c>
      <c r="E7" s="21">
        <v>370.5</v>
      </c>
      <c r="F7" s="122">
        <f t="shared" si="0"/>
        <v>0</v>
      </c>
      <c r="J7" s="123" t="s">
        <v>131</v>
      </c>
      <c r="K7" s="21">
        <v>10528.01</v>
      </c>
      <c r="L7" s="161" t="s">
        <v>51</v>
      </c>
      <c r="M7" s="157" t="s">
        <v>52</v>
      </c>
      <c r="N7" s="158">
        <v>39632.5</v>
      </c>
      <c r="O7" s="159">
        <v>42426</v>
      </c>
      <c r="P7" s="14">
        <v>42395</v>
      </c>
    </row>
    <row r="8" spans="1:16" ht="15.75" x14ac:dyDescent="0.25">
      <c r="A8" s="119">
        <v>42434</v>
      </c>
      <c r="B8" s="123" t="s">
        <v>165</v>
      </c>
      <c r="C8" s="26">
        <v>74846.350000000006</v>
      </c>
      <c r="D8" s="117">
        <v>42446</v>
      </c>
      <c r="E8" s="26">
        <v>74846.350000000006</v>
      </c>
      <c r="F8" s="122">
        <f t="shared" si="0"/>
        <v>0</v>
      </c>
      <c r="J8" s="123" t="s">
        <v>132</v>
      </c>
      <c r="K8" s="21">
        <v>65431.35</v>
      </c>
      <c r="L8" s="160"/>
      <c r="M8" s="157" t="s">
        <v>52</v>
      </c>
      <c r="N8" s="162">
        <v>63000</v>
      </c>
      <c r="O8" s="163">
        <v>42426</v>
      </c>
      <c r="P8" s="14">
        <v>42406</v>
      </c>
    </row>
    <row r="9" spans="1:16" ht="15.75" x14ac:dyDescent="0.25">
      <c r="A9" s="119">
        <v>42436</v>
      </c>
      <c r="B9" s="123" t="s">
        <v>166</v>
      </c>
      <c r="C9" s="26">
        <v>121560.08</v>
      </c>
      <c r="D9" s="117">
        <v>42446</v>
      </c>
      <c r="E9" s="26">
        <v>121560.08</v>
      </c>
      <c r="F9" s="122">
        <f t="shared" si="0"/>
        <v>0</v>
      </c>
      <c r="J9" s="123" t="s">
        <v>149</v>
      </c>
      <c r="K9" s="21">
        <v>12741.8</v>
      </c>
      <c r="L9" s="160"/>
      <c r="M9" s="157" t="s">
        <v>52</v>
      </c>
      <c r="N9" s="162">
        <v>28882.5</v>
      </c>
      <c r="O9" s="163">
        <v>42409</v>
      </c>
      <c r="P9" s="14">
        <v>42406</v>
      </c>
    </row>
    <row r="10" spans="1:16" ht="15.75" x14ac:dyDescent="0.25">
      <c r="A10" s="124">
        <v>42437</v>
      </c>
      <c r="B10" s="123" t="s">
        <v>167</v>
      </c>
      <c r="C10" s="26">
        <v>17858</v>
      </c>
      <c r="D10" s="117">
        <v>42446</v>
      </c>
      <c r="E10" s="26">
        <v>17858</v>
      </c>
      <c r="F10" s="122">
        <f t="shared" si="0"/>
        <v>0</v>
      </c>
      <c r="J10" s="123" t="s">
        <v>150</v>
      </c>
      <c r="K10" s="21">
        <v>64164.800000000003</v>
      </c>
      <c r="L10" s="160"/>
      <c r="M10" s="157" t="s">
        <v>52</v>
      </c>
      <c r="N10" s="162">
        <v>52845</v>
      </c>
      <c r="O10" s="163">
        <v>42426</v>
      </c>
      <c r="P10" s="14">
        <v>42407</v>
      </c>
    </row>
    <row r="11" spans="1:16" ht="15.75" x14ac:dyDescent="0.25">
      <c r="A11" s="119">
        <v>42439</v>
      </c>
      <c r="B11" s="125" t="s">
        <v>168</v>
      </c>
      <c r="C11" s="26">
        <v>21775.72</v>
      </c>
      <c r="D11" s="117">
        <v>42446</v>
      </c>
      <c r="E11" s="26">
        <v>21775.72</v>
      </c>
      <c r="F11" s="127">
        <f t="shared" si="0"/>
        <v>0</v>
      </c>
      <c r="J11" s="123" t="s">
        <v>151</v>
      </c>
      <c r="K11" s="21">
        <v>14097.5</v>
      </c>
      <c r="L11" s="160"/>
      <c r="M11" s="157" t="s">
        <v>52</v>
      </c>
      <c r="N11" s="162">
        <v>64695</v>
      </c>
      <c r="O11" s="163">
        <v>42426</v>
      </c>
      <c r="P11" s="14">
        <v>42413</v>
      </c>
    </row>
    <row r="12" spans="1:16" ht="15.75" x14ac:dyDescent="0.25">
      <c r="A12" s="119">
        <v>42440</v>
      </c>
      <c r="B12" s="125" t="s">
        <v>169</v>
      </c>
      <c r="C12" s="26">
        <v>84477.81</v>
      </c>
      <c r="D12" s="117">
        <v>42446</v>
      </c>
      <c r="E12" s="26">
        <v>84477.81</v>
      </c>
      <c r="F12" s="127">
        <f t="shared" si="0"/>
        <v>0</v>
      </c>
      <c r="J12" s="123" t="s">
        <v>152</v>
      </c>
      <c r="K12" s="21">
        <v>96805.29</v>
      </c>
      <c r="L12" s="160"/>
      <c r="M12" s="157" t="s">
        <v>52</v>
      </c>
      <c r="N12" s="162">
        <v>63724.5</v>
      </c>
      <c r="O12" s="163">
        <v>42426</v>
      </c>
      <c r="P12" s="14">
        <v>42420</v>
      </c>
    </row>
    <row r="13" spans="1:16" ht="15.75" x14ac:dyDescent="0.25">
      <c r="A13" s="119">
        <v>42441</v>
      </c>
      <c r="B13" s="125" t="s">
        <v>171</v>
      </c>
      <c r="C13" s="26">
        <v>22814.54</v>
      </c>
      <c r="D13" s="117">
        <v>42455</v>
      </c>
      <c r="E13" s="26">
        <v>22814.54</v>
      </c>
      <c r="F13" s="127">
        <f t="shared" si="0"/>
        <v>0</v>
      </c>
      <c r="J13" s="123" t="s">
        <v>153</v>
      </c>
      <c r="K13" s="21">
        <v>6537.6</v>
      </c>
      <c r="L13" s="160"/>
      <c r="M13" s="157" t="s">
        <v>52</v>
      </c>
      <c r="N13" s="162">
        <v>43000</v>
      </c>
      <c r="O13" s="163">
        <v>42426</v>
      </c>
      <c r="P13" s="14">
        <v>42421</v>
      </c>
    </row>
    <row r="14" spans="1:16" ht="15.75" x14ac:dyDescent="0.25">
      <c r="A14" s="119">
        <v>42442</v>
      </c>
      <c r="B14" s="125" t="s">
        <v>172</v>
      </c>
      <c r="C14" s="26">
        <v>1061.58</v>
      </c>
      <c r="D14" s="117">
        <v>42446</v>
      </c>
      <c r="E14" s="26">
        <v>1061.58</v>
      </c>
      <c r="F14" s="127">
        <f t="shared" si="0"/>
        <v>0</v>
      </c>
      <c r="J14" s="123" t="s">
        <v>154</v>
      </c>
      <c r="K14" s="21">
        <v>4462.2</v>
      </c>
      <c r="L14" s="160"/>
      <c r="M14" s="157" t="s">
        <v>52</v>
      </c>
      <c r="N14" s="162">
        <v>11051</v>
      </c>
      <c r="O14" s="163">
        <v>42411</v>
      </c>
      <c r="P14" s="14">
        <v>42422</v>
      </c>
    </row>
    <row r="15" spans="1:16" ht="15.75" x14ac:dyDescent="0.25">
      <c r="A15" s="119">
        <v>42443</v>
      </c>
      <c r="B15" s="125" t="s">
        <v>173</v>
      </c>
      <c r="C15" s="26">
        <v>88217.35</v>
      </c>
      <c r="D15" s="121" t="s">
        <v>213</v>
      </c>
      <c r="E15" s="26">
        <f>55998.23+32219.12</f>
        <v>88217.35</v>
      </c>
      <c r="F15" s="127">
        <f t="shared" si="0"/>
        <v>0</v>
      </c>
      <c r="J15" s="123" t="s">
        <v>156</v>
      </c>
      <c r="K15" s="21">
        <v>104197.73</v>
      </c>
      <c r="L15" s="160"/>
      <c r="M15" s="157" t="s">
        <v>52</v>
      </c>
      <c r="N15" s="162">
        <v>0</v>
      </c>
      <c r="O15" s="163"/>
      <c r="P15" s="14"/>
    </row>
    <row r="16" spans="1:16" ht="15.75" x14ac:dyDescent="0.25">
      <c r="A16" s="124">
        <v>42445</v>
      </c>
      <c r="B16" s="123" t="s">
        <v>195</v>
      </c>
      <c r="C16" s="21">
        <v>22155.200000000001</v>
      </c>
      <c r="D16" s="117">
        <v>42455</v>
      </c>
      <c r="E16" s="21">
        <v>22155.200000000001</v>
      </c>
      <c r="F16" s="127">
        <f t="shared" si="0"/>
        <v>0</v>
      </c>
      <c r="J16" s="123" t="s">
        <v>157</v>
      </c>
      <c r="K16" s="21">
        <v>12968.56</v>
      </c>
      <c r="L16" s="164" t="s">
        <v>91</v>
      </c>
      <c r="M16" s="157"/>
      <c r="N16" s="158">
        <v>0</v>
      </c>
      <c r="O16" s="159"/>
    </row>
    <row r="17" spans="1:17" x14ac:dyDescent="0.25">
      <c r="A17" s="124">
        <v>42446</v>
      </c>
      <c r="B17" s="123" t="s">
        <v>196</v>
      </c>
      <c r="C17" s="21">
        <v>82543.360000000001</v>
      </c>
      <c r="D17" s="117">
        <v>42455</v>
      </c>
      <c r="E17" s="21">
        <v>82543.360000000001</v>
      </c>
      <c r="F17" s="127">
        <f t="shared" si="0"/>
        <v>0</v>
      </c>
      <c r="J17" s="165"/>
      <c r="K17" s="166">
        <f>SUM(K4:K16)</f>
        <v>523661.49999999994</v>
      </c>
      <c r="L17" s="165"/>
      <c r="M17" s="165"/>
      <c r="N17" s="166">
        <f>SUM(N4:N16)</f>
        <v>523661.5</v>
      </c>
      <c r="O17" s="165"/>
    </row>
    <row r="18" spans="1:17" x14ac:dyDescent="0.25">
      <c r="A18" s="124">
        <v>42447</v>
      </c>
      <c r="B18" s="123" t="s">
        <v>199</v>
      </c>
      <c r="C18" s="21">
        <v>3481.2</v>
      </c>
      <c r="D18" s="117">
        <v>42455</v>
      </c>
      <c r="E18" s="21">
        <v>3481.2</v>
      </c>
      <c r="F18" s="127">
        <f t="shared" si="0"/>
        <v>0</v>
      </c>
    </row>
    <row r="19" spans="1:17" x14ac:dyDescent="0.25">
      <c r="A19" s="124">
        <v>42448</v>
      </c>
      <c r="B19" s="123" t="s">
        <v>200</v>
      </c>
      <c r="C19" s="21">
        <v>116579.19</v>
      </c>
      <c r="D19" s="117">
        <v>42455</v>
      </c>
      <c r="E19" s="21">
        <v>116579.19</v>
      </c>
      <c r="F19" s="127">
        <f t="shared" si="0"/>
        <v>0</v>
      </c>
    </row>
    <row r="20" spans="1:17" ht="15.75" thickBot="1" x14ac:dyDescent="0.3">
      <c r="A20" s="124">
        <v>42450</v>
      </c>
      <c r="B20" s="123" t="s">
        <v>201</v>
      </c>
      <c r="C20" s="21">
        <v>138210.68</v>
      </c>
      <c r="D20" s="191">
        <v>42478</v>
      </c>
      <c r="E20" s="36">
        <v>138210.68</v>
      </c>
      <c r="F20" s="127">
        <f t="shared" si="0"/>
        <v>0</v>
      </c>
      <c r="J20" s="27"/>
      <c r="K20" s="27"/>
      <c r="L20" s="27"/>
      <c r="M20" s="27"/>
      <c r="N20" s="27"/>
      <c r="O20" s="27"/>
      <c r="P20" s="27"/>
      <c r="Q20" s="27"/>
    </row>
    <row r="21" spans="1:17" ht="19.5" thickBot="1" x14ac:dyDescent="0.35">
      <c r="A21" s="124">
        <v>42452</v>
      </c>
      <c r="B21" s="123" t="s">
        <v>215</v>
      </c>
      <c r="C21" s="21">
        <v>40510.6</v>
      </c>
      <c r="D21" s="191">
        <v>42478</v>
      </c>
      <c r="E21" s="36">
        <v>40510.6</v>
      </c>
      <c r="F21" s="127">
        <f t="shared" si="0"/>
        <v>0</v>
      </c>
      <c r="K21" s="146" t="s">
        <v>46</v>
      </c>
      <c r="L21" s="147"/>
      <c r="M21" s="148"/>
      <c r="N21" s="231">
        <v>42446</v>
      </c>
      <c r="O21" s="150"/>
      <c r="P21" s="27"/>
      <c r="Q21" s="27"/>
    </row>
    <row r="22" spans="1:17" ht="15.75" x14ac:dyDescent="0.25">
      <c r="A22" s="124">
        <v>42454</v>
      </c>
      <c r="B22" s="123" t="s">
        <v>214</v>
      </c>
      <c r="C22" s="21">
        <v>22400.6</v>
      </c>
      <c r="D22" s="191">
        <v>42478</v>
      </c>
      <c r="E22" s="36">
        <v>22400.6</v>
      </c>
      <c r="F22" s="127">
        <f t="shared" si="0"/>
        <v>0</v>
      </c>
      <c r="J22" s="151"/>
      <c r="K22" s="152"/>
      <c r="L22" s="151"/>
      <c r="M22" s="153"/>
      <c r="N22" s="152"/>
      <c r="O22" s="154"/>
      <c r="P22" s="27"/>
      <c r="Q22" s="27"/>
    </row>
    <row r="23" spans="1:17" ht="15.75" x14ac:dyDescent="0.25">
      <c r="A23" s="124">
        <v>42454</v>
      </c>
      <c r="B23" s="123" t="s">
        <v>216</v>
      </c>
      <c r="C23" s="21">
        <v>3285</v>
      </c>
      <c r="D23" s="191">
        <v>42478</v>
      </c>
      <c r="E23" s="36">
        <v>3285</v>
      </c>
      <c r="F23" s="127">
        <f t="shared" si="0"/>
        <v>0</v>
      </c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  <c r="P23" s="27"/>
      <c r="Q23" s="27"/>
    </row>
    <row r="24" spans="1:17" ht="15.75" x14ac:dyDescent="0.25">
      <c r="A24" s="124">
        <v>42455</v>
      </c>
      <c r="B24" s="123" t="s">
        <v>217</v>
      </c>
      <c r="C24" s="21">
        <v>56627</v>
      </c>
      <c r="D24" s="191">
        <v>42478</v>
      </c>
      <c r="E24" s="36">
        <v>56627</v>
      </c>
      <c r="F24" s="127">
        <f t="shared" si="0"/>
        <v>0</v>
      </c>
      <c r="I24" s="3">
        <v>1160.48</v>
      </c>
      <c r="J24" s="123" t="s">
        <v>157</v>
      </c>
      <c r="K24" s="21">
        <v>1160.48</v>
      </c>
      <c r="L24" s="156" t="s">
        <v>111</v>
      </c>
      <c r="M24" s="157" t="s">
        <v>52</v>
      </c>
      <c r="N24" s="158">
        <v>1160.5</v>
      </c>
      <c r="O24" s="159">
        <v>42434</v>
      </c>
      <c r="P24" s="27"/>
      <c r="Q24" s="27"/>
    </row>
    <row r="25" spans="1:17" ht="15.75" x14ac:dyDescent="0.25">
      <c r="A25" s="124">
        <v>42456</v>
      </c>
      <c r="B25" s="123" t="s">
        <v>218</v>
      </c>
      <c r="C25" s="26">
        <v>3210</v>
      </c>
      <c r="D25" s="191">
        <v>42478</v>
      </c>
      <c r="E25" s="192">
        <v>3210</v>
      </c>
      <c r="F25" s="127">
        <f t="shared" si="0"/>
        <v>0</v>
      </c>
      <c r="I25" s="3">
        <v>16805</v>
      </c>
      <c r="J25" s="123" t="s">
        <v>162</v>
      </c>
      <c r="K25" s="21">
        <v>16805.099999999999</v>
      </c>
      <c r="L25" s="160"/>
      <c r="M25" s="157" t="s">
        <v>52</v>
      </c>
      <c r="N25" s="158">
        <v>65065</v>
      </c>
      <c r="O25" s="159">
        <v>42436</v>
      </c>
      <c r="P25" s="180"/>
      <c r="Q25" s="27"/>
    </row>
    <row r="26" spans="1:17" ht="15.75" x14ac:dyDescent="0.25">
      <c r="A26" s="132">
        <v>42457</v>
      </c>
      <c r="B26" s="123" t="s">
        <v>219</v>
      </c>
      <c r="C26" s="26">
        <v>8003.04</v>
      </c>
      <c r="D26" s="191">
        <v>42478</v>
      </c>
      <c r="E26" s="192">
        <v>8003.04</v>
      </c>
      <c r="F26" s="127">
        <f>C26-E26</f>
        <v>0</v>
      </c>
      <c r="I26" s="3">
        <f>48260.6+24000</f>
        <v>72260.600000000006</v>
      </c>
      <c r="J26" s="123" t="s">
        <v>163</v>
      </c>
      <c r="K26" s="21">
        <v>72260.649999999994</v>
      </c>
      <c r="L26" s="160"/>
      <c r="M26" s="157" t="s">
        <v>52</v>
      </c>
      <c r="N26" s="158">
        <v>55000</v>
      </c>
      <c r="O26" s="159">
        <v>42436</v>
      </c>
      <c r="P26" s="180"/>
      <c r="Q26" s="27"/>
    </row>
    <row r="27" spans="1:17" ht="15.75" x14ac:dyDescent="0.25">
      <c r="A27" s="124">
        <v>42458</v>
      </c>
      <c r="B27" s="123" t="s">
        <v>220</v>
      </c>
      <c r="C27" s="26">
        <v>13509.92</v>
      </c>
      <c r="D27" s="191">
        <v>42478</v>
      </c>
      <c r="E27" s="192">
        <v>13509.92</v>
      </c>
      <c r="F27" s="127">
        <f>C27-E27</f>
        <v>0</v>
      </c>
      <c r="I27" s="3">
        <v>370.5</v>
      </c>
      <c r="J27" s="123" t="s">
        <v>164</v>
      </c>
      <c r="K27" s="21">
        <v>370.5</v>
      </c>
      <c r="L27" s="161"/>
      <c r="M27" s="157">
        <v>3237303</v>
      </c>
      <c r="N27" s="158">
        <v>33000</v>
      </c>
      <c r="O27" s="159">
        <v>42436</v>
      </c>
      <c r="P27" s="180"/>
      <c r="Q27" s="27"/>
    </row>
    <row r="28" spans="1:17" ht="15.75" x14ac:dyDescent="0.25">
      <c r="A28" s="124">
        <v>42459</v>
      </c>
      <c r="B28" s="123" t="s">
        <v>221</v>
      </c>
      <c r="C28" s="26">
        <v>125517</v>
      </c>
      <c r="D28" s="191">
        <v>42478</v>
      </c>
      <c r="E28" s="192">
        <v>125517</v>
      </c>
      <c r="F28" s="127">
        <f>C28-E28</f>
        <v>0</v>
      </c>
      <c r="I28" s="3">
        <f>31000+33000+10846</f>
        <v>74846</v>
      </c>
      <c r="J28" s="123" t="s">
        <v>165</v>
      </c>
      <c r="K28" s="26">
        <v>74846.350000000006</v>
      </c>
      <c r="L28" s="160"/>
      <c r="M28" s="157">
        <v>3237294</v>
      </c>
      <c r="N28" s="162">
        <v>41634.5</v>
      </c>
      <c r="O28" s="163">
        <v>42437</v>
      </c>
      <c r="P28" s="27"/>
      <c r="Q28" s="27"/>
    </row>
    <row r="29" spans="1:17" ht="15.75" x14ac:dyDescent="0.25">
      <c r="A29" s="124">
        <v>42460</v>
      </c>
      <c r="B29" s="123" t="s">
        <v>222</v>
      </c>
      <c r="C29" s="26">
        <v>3400.19</v>
      </c>
      <c r="D29" s="191">
        <v>42478</v>
      </c>
      <c r="E29" s="192">
        <v>3400.19</v>
      </c>
      <c r="F29" s="127">
        <f>C29-E29</f>
        <v>0</v>
      </c>
      <c r="I29" s="3">
        <f>12560+22000+28000+40000+19000</f>
        <v>121560</v>
      </c>
      <c r="J29" s="123" t="s">
        <v>166</v>
      </c>
      <c r="K29" s="26">
        <v>121560.08</v>
      </c>
      <c r="L29" s="160"/>
      <c r="M29" s="157">
        <v>3237370</v>
      </c>
      <c r="N29" s="162">
        <v>22000</v>
      </c>
      <c r="O29" s="163">
        <v>42438</v>
      </c>
      <c r="P29" s="27"/>
      <c r="Q29" s="27"/>
    </row>
    <row r="30" spans="1:17" ht="15.75" x14ac:dyDescent="0.25">
      <c r="A30" s="135">
        <v>42460</v>
      </c>
      <c r="B30" s="126" t="s">
        <v>223</v>
      </c>
      <c r="C30" s="21">
        <v>25757.200000000001</v>
      </c>
      <c r="D30" s="191">
        <v>42478</v>
      </c>
      <c r="E30" s="36">
        <v>25757.200000000001</v>
      </c>
      <c r="F30" s="136">
        <f>C30-E30</f>
        <v>0</v>
      </c>
      <c r="I30" s="3">
        <v>17858</v>
      </c>
      <c r="J30" s="123" t="s">
        <v>167</v>
      </c>
      <c r="K30" s="26">
        <v>17858</v>
      </c>
      <c r="L30" s="160"/>
      <c r="M30" s="157" t="s">
        <v>52</v>
      </c>
      <c r="N30" s="162">
        <v>28000</v>
      </c>
      <c r="O30" s="163">
        <v>42440</v>
      </c>
      <c r="P30" s="27"/>
      <c r="Q30" s="27"/>
    </row>
    <row r="31" spans="1:17" ht="15.75" x14ac:dyDescent="0.25">
      <c r="A31" s="137">
        <v>42460</v>
      </c>
      <c r="B31" s="128" t="s">
        <v>225</v>
      </c>
      <c r="C31" s="26">
        <v>51539.6</v>
      </c>
      <c r="D31" s="191">
        <v>42478</v>
      </c>
      <c r="E31" s="192">
        <v>51539.6</v>
      </c>
      <c r="F31" s="136">
        <f t="shared" si="0"/>
        <v>0</v>
      </c>
      <c r="I31" s="3">
        <v>21775.72</v>
      </c>
      <c r="J31" s="125" t="s">
        <v>168</v>
      </c>
      <c r="K31" s="26">
        <v>21775.72</v>
      </c>
      <c r="L31" s="160"/>
      <c r="M31" s="157" t="s">
        <v>52</v>
      </c>
      <c r="N31" s="162">
        <v>40000</v>
      </c>
      <c r="O31" s="163">
        <v>42443</v>
      </c>
      <c r="P31" s="27"/>
      <c r="Q31" s="27"/>
    </row>
    <row r="32" spans="1:17" ht="15.75" x14ac:dyDescent="0.25">
      <c r="A32" s="137">
        <v>42459</v>
      </c>
      <c r="B32" s="128" t="s">
        <v>228</v>
      </c>
      <c r="C32" s="26">
        <v>2356</v>
      </c>
      <c r="D32" s="191">
        <v>42478</v>
      </c>
      <c r="E32" s="192">
        <v>2356</v>
      </c>
      <c r="F32" s="136">
        <f t="shared" si="0"/>
        <v>0</v>
      </c>
      <c r="I32" s="3">
        <f>20000+40521+680+10798.6+12478</f>
        <v>84477.6</v>
      </c>
      <c r="J32" s="125" t="s">
        <v>169</v>
      </c>
      <c r="K32" s="26">
        <v>84477.81</v>
      </c>
      <c r="L32" s="160"/>
      <c r="M32" s="157" t="s">
        <v>52</v>
      </c>
      <c r="N32" s="162">
        <v>60776</v>
      </c>
      <c r="O32" s="163">
        <v>42443</v>
      </c>
      <c r="P32" s="27"/>
      <c r="Q32" s="27"/>
    </row>
    <row r="33" spans="1:17" ht="15.75" x14ac:dyDescent="0.25">
      <c r="A33" s="119"/>
      <c r="B33" s="139"/>
      <c r="C33" s="26"/>
      <c r="D33" s="138"/>
      <c r="E33" s="26"/>
      <c r="F33" s="136">
        <f t="shared" si="0"/>
        <v>0</v>
      </c>
      <c r="I33" s="3"/>
      <c r="J33" s="123"/>
      <c r="K33" s="21">
        <v>0</v>
      </c>
      <c r="L33" s="160"/>
      <c r="M33" s="157" t="s">
        <v>52</v>
      </c>
      <c r="N33" s="162">
        <v>40521</v>
      </c>
      <c r="O33" s="163">
        <v>42443</v>
      </c>
      <c r="P33" s="27"/>
      <c r="Q33" s="27"/>
    </row>
    <row r="34" spans="1:17" ht="15.75" x14ac:dyDescent="0.25">
      <c r="A34" s="119"/>
      <c r="B34" s="140"/>
      <c r="C34" s="26"/>
      <c r="D34" s="43"/>
      <c r="E34" s="26"/>
      <c r="F34" s="136">
        <f t="shared" si="0"/>
        <v>0</v>
      </c>
      <c r="I34" s="3">
        <v>1061.5</v>
      </c>
      <c r="J34" s="123" t="s">
        <v>172</v>
      </c>
      <c r="K34" s="21">
        <v>1061.58</v>
      </c>
      <c r="L34" s="160"/>
      <c r="M34" s="157" t="s">
        <v>52</v>
      </c>
      <c r="N34" s="162">
        <v>10798.6</v>
      </c>
      <c r="O34" s="163">
        <v>42440</v>
      </c>
      <c r="P34" s="27"/>
      <c r="Q34" s="27"/>
    </row>
    <row r="35" spans="1:17" ht="15.75" x14ac:dyDescent="0.25">
      <c r="A35" s="119"/>
      <c r="B35" s="140"/>
      <c r="C35" s="26"/>
      <c r="D35" s="43"/>
      <c r="E35" s="26"/>
      <c r="F35" s="136">
        <f t="shared" si="0"/>
        <v>0</v>
      </c>
      <c r="I35" s="3">
        <f>40000+16000</f>
        <v>56000</v>
      </c>
      <c r="J35" s="126" t="s">
        <v>173</v>
      </c>
      <c r="K35" s="21">
        <v>55998.83</v>
      </c>
      <c r="L35" s="232" t="s">
        <v>91</v>
      </c>
      <c r="M35" s="233" t="s">
        <v>52</v>
      </c>
      <c r="N35" s="234">
        <v>680</v>
      </c>
      <c r="O35" s="235">
        <v>42441</v>
      </c>
      <c r="P35" s="27"/>
      <c r="Q35" s="27"/>
    </row>
    <row r="36" spans="1:17" ht="16.5" thickBot="1" x14ac:dyDescent="0.3">
      <c r="B36" s="141"/>
      <c r="C36" s="142">
        <v>0</v>
      </c>
      <c r="D36" s="143"/>
      <c r="E36" s="144">
        <v>0</v>
      </c>
      <c r="F36" s="136">
        <f t="shared" si="0"/>
        <v>0</v>
      </c>
      <c r="I36" s="3">
        <v>0</v>
      </c>
      <c r="J36" s="123" t="s">
        <v>20</v>
      </c>
      <c r="K36" s="236" t="s">
        <v>20</v>
      </c>
      <c r="L36" s="164"/>
      <c r="M36" s="157" t="s">
        <v>52</v>
      </c>
      <c r="N36" s="158">
        <v>40000</v>
      </c>
      <c r="O36" s="159">
        <v>42445</v>
      </c>
      <c r="P36" s="27"/>
      <c r="Q36" s="27"/>
    </row>
    <row r="37" spans="1:17" ht="16.5" thickTop="1" x14ac:dyDescent="0.25">
      <c r="B37" s="37"/>
      <c r="C37" s="21">
        <f>SUM(C3:C36)</f>
        <v>1359460.2299999997</v>
      </c>
      <c r="D37" s="145"/>
      <c r="E37" s="30">
        <f>SUM(E3:E36)</f>
        <v>1359460.2299999997</v>
      </c>
      <c r="F37" s="30">
        <f>SUM(F3:F36)</f>
        <v>0</v>
      </c>
      <c r="I37" s="241">
        <f>SUM(I24:I36)</f>
        <v>468175.4</v>
      </c>
      <c r="J37" s="165"/>
      <c r="K37" s="166">
        <v>0</v>
      </c>
      <c r="L37" s="165"/>
      <c r="M37" s="240" t="s">
        <v>52</v>
      </c>
      <c r="N37" s="215">
        <v>16000</v>
      </c>
      <c r="O37" s="163">
        <v>42444</v>
      </c>
      <c r="P37" s="27"/>
      <c r="Q37" s="27"/>
    </row>
    <row r="38" spans="1:17" ht="15.75" x14ac:dyDescent="0.25">
      <c r="A38" s="20"/>
      <c r="J38" s="123"/>
      <c r="K38" s="236">
        <v>0</v>
      </c>
      <c r="L38" s="160"/>
      <c r="M38" s="237" t="s">
        <v>52</v>
      </c>
      <c r="N38" s="238">
        <v>12478</v>
      </c>
      <c r="O38" s="239">
        <v>42444</v>
      </c>
      <c r="P38" s="27"/>
      <c r="Q38" s="27"/>
    </row>
    <row r="39" spans="1:17" ht="15.75" thickBot="1" x14ac:dyDescent="0.3">
      <c r="A39" s="20"/>
      <c r="C39" s="20"/>
      <c r="E39" s="20"/>
      <c r="F39" s="20"/>
      <c r="J39" s="242"/>
      <c r="K39" s="243">
        <v>0</v>
      </c>
      <c r="L39" s="243"/>
      <c r="M39" s="243" t="s">
        <v>52</v>
      </c>
      <c r="N39" s="243">
        <v>1061.5</v>
      </c>
      <c r="O39" s="244">
        <v>42444</v>
      </c>
      <c r="P39" s="27"/>
      <c r="Q39" s="27"/>
    </row>
    <row r="40" spans="1:17" ht="15.75" x14ac:dyDescent="0.25">
      <c r="A40" s="20"/>
      <c r="C40" s="20"/>
      <c r="E40" s="20"/>
      <c r="F40" s="20"/>
      <c r="J40" s="196"/>
      <c r="K40" s="26">
        <f>SUM(K24:K39)</f>
        <v>468175.10000000003</v>
      </c>
      <c r="L40" s="43"/>
      <c r="M40" s="219"/>
      <c r="N40" s="220">
        <f>SUM(N24:N39)</f>
        <v>468175.1</v>
      </c>
      <c r="O40" s="218"/>
      <c r="P40" s="27"/>
      <c r="Q40" s="27"/>
    </row>
    <row r="41" spans="1:17" ht="15.75" x14ac:dyDescent="0.25">
      <c r="A41" s="20"/>
      <c r="C41" s="20"/>
      <c r="E41" s="20"/>
      <c r="F41" s="20"/>
      <c r="J41" s="201"/>
      <c r="K41" s="26"/>
      <c r="L41" s="43"/>
      <c r="M41" s="219"/>
      <c r="N41" s="220"/>
      <c r="O41" s="218"/>
      <c r="P41" s="27"/>
      <c r="Q41" s="27"/>
    </row>
    <row r="42" spans="1:17" x14ac:dyDescent="0.25">
      <c r="A42" s="20"/>
      <c r="C42" s="20"/>
      <c r="E42" s="20"/>
      <c r="F42" s="20"/>
      <c r="J42" s="27"/>
      <c r="K42" s="26"/>
      <c r="L42" s="27"/>
      <c r="M42" s="27"/>
      <c r="N42" s="26"/>
      <c r="O42" s="27"/>
      <c r="P42" s="27"/>
      <c r="Q42" s="27"/>
    </row>
    <row r="43" spans="1:17" ht="19.5" thickBot="1" x14ac:dyDescent="0.35">
      <c r="A43" s="20"/>
      <c r="C43" s="20"/>
      <c r="E43" s="20"/>
      <c r="F43" s="20"/>
      <c r="G43"/>
      <c r="J43" s="27"/>
      <c r="K43" s="221"/>
      <c r="L43" s="222"/>
      <c r="M43" s="223"/>
      <c r="N43" s="224"/>
      <c r="O43" s="225"/>
      <c r="P43" s="27"/>
      <c r="Q43" s="27"/>
    </row>
    <row r="44" spans="1:17" ht="19.5" thickBot="1" x14ac:dyDescent="0.35">
      <c r="A44" s="20"/>
      <c r="C44" s="20"/>
      <c r="E44" s="20"/>
      <c r="F44" s="20"/>
      <c r="G44"/>
      <c r="K44" s="146" t="s">
        <v>46</v>
      </c>
      <c r="L44" s="147"/>
      <c r="M44" s="148"/>
      <c r="N44" s="260">
        <v>42455</v>
      </c>
      <c r="O44" s="150"/>
      <c r="P44" s="27"/>
      <c r="Q44" s="27"/>
    </row>
    <row r="45" spans="1:17" ht="15.75" x14ac:dyDescent="0.25">
      <c r="J45" s="151"/>
      <c r="K45" s="152"/>
      <c r="L45" s="151"/>
      <c r="M45" s="153"/>
      <c r="N45" s="152"/>
      <c r="O45" s="154"/>
      <c r="P45" s="27"/>
      <c r="Q45" s="27"/>
    </row>
    <row r="46" spans="1:17" ht="15.75" x14ac:dyDescent="0.25">
      <c r="I46" s="3"/>
      <c r="J46" s="155" t="s">
        <v>47</v>
      </c>
      <c r="K46" s="152" t="s">
        <v>48</v>
      </c>
      <c r="L46" s="151"/>
      <c r="M46" s="153" t="s">
        <v>49</v>
      </c>
      <c r="N46" s="152" t="s">
        <v>50</v>
      </c>
      <c r="O46" s="154"/>
      <c r="P46" s="180"/>
      <c r="Q46" s="27"/>
    </row>
    <row r="47" spans="1:17" ht="15.75" x14ac:dyDescent="0.25">
      <c r="I47" s="3">
        <v>22814.5</v>
      </c>
      <c r="J47" s="125" t="s">
        <v>171</v>
      </c>
      <c r="K47" s="26">
        <v>22814.54</v>
      </c>
      <c r="L47" s="156"/>
      <c r="M47" s="157" t="s">
        <v>52</v>
      </c>
      <c r="N47" s="158">
        <v>30217.5</v>
      </c>
      <c r="O47" s="159">
        <v>42446</v>
      </c>
      <c r="P47" s="180">
        <v>42445</v>
      </c>
      <c r="Q47" s="27"/>
    </row>
    <row r="48" spans="1:17" ht="15.75" x14ac:dyDescent="0.25">
      <c r="I48" s="3">
        <f>30217.5+2000</f>
        <v>32217.5</v>
      </c>
      <c r="J48" s="125" t="s">
        <v>173</v>
      </c>
      <c r="K48" s="26">
        <v>32219.119999999999</v>
      </c>
      <c r="L48" s="160" t="s">
        <v>51</v>
      </c>
      <c r="M48" s="157" t="s">
        <v>52</v>
      </c>
      <c r="N48" s="158">
        <v>2000</v>
      </c>
      <c r="O48" s="159">
        <v>42447</v>
      </c>
      <c r="P48" s="180">
        <v>42445</v>
      </c>
      <c r="Q48" s="27"/>
    </row>
    <row r="49" spans="1:17" ht="15.75" x14ac:dyDescent="0.25">
      <c r="I49" s="3">
        <f>21000+1155.2</f>
        <v>22155.200000000001</v>
      </c>
      <c r="J49" s="123" t="s">
        <v>195</v>
      </c>
      <c r="K49" s="21">
        <v>22155.200000000001</v>
      </c>
      <c r="L49" s="160"/>
      <c r="M49" s="157" t="s">
        <v>52</v>
      </c>
      <c r="N49" s="158">
        <v>22814.5</v>
      </c>
      <c r="O49" s="159">
        <v>42447</v>
      </c>
      <c r="P49" s="180">
        <v>42446</v>
      </c>
      <c r="Q49" s="27"/>
    </row>
    <row r="50" spans="1:17" ht="15.75" x14ac:dyDescent="0.25">
      <c r="I50" s="3">
        <f>57421+7579.3+17543.36</f>
        <v>82543.66</v>
      </c>
      <c r="J50" s="123" t="s">
        <v>196</v>
      </c>
      <c r="K50" s="21">
        <v>82543.360000000001</v>
      </c>
      <c r="L50" s="161"/>
      <c r="M50" s="157" t="s">
        <v>52</v>
      </c>
      <c r="N50" s="158">
        <v>21000</v>
      </c>
      <c r="O50" s="159">
        <v>42451</v>
      </c>
      <c r="P50" s="180">
        <v>42446</v>
      </c>
      <c r="Q50" s="27"/>
    </row>
    <row r="51" spans="1:17" ht="15.75" x14ac:dyDescent="0.25">
      <c r="I51" s="3">
        <v>3481.2</v>
      </c>
      <c r="J51" s="123" t="s">
        <v>199</v>
      </c>
      <c r="K51" s="21">
        <v>3481.2</v>
      </c>
      <c r="L51" s="160"/>
      <c r="M51" s="157" t="s">
        <v>52</v>
      </c>
      <c r="N51" s="162">
        <v>57421</v>
      </c>
      <c r="O51" s="163">
        <v>42448</v>
      </c>
      <c r="P51" s="180">
        <v>42447</v>
      </c>
      <c r="Q51" s="27"/>
    </row>
    <row r="52" spans="1:17" ht="15.75" x14ac:dyDescent="0.25">
      <c r="I52" s="3">
        <f>40000+45579+31000</f>
        <v>116579</v>
      </c>
      <c r="J52" s="123" t="s">
        <v>200</v>
      </c>
      <c r="K52" s="21">
        <v>116579.19</v>
      </c>
      <c r="L52" s="160"/>
      <c r="M52" s="157" t="s">
        <v>52</v>
      </c>
      <c r="N52" s="162">
        <v>8734.5</v>
      </c>
      <c r="O52" s="163">
        <v>42444</v>
      </c>
      <c r="P52" s="180">
        <v>42447</v>
      </c>
      <c r="Q52" s="27"/>
    </row>
    <row r="53" spans="1:17" ht="15.75" x14ac:dyDescent="0.25">
      <c r="I53" s="3">
        <v>0</v>
      </c>
      <c r="J53" s="123"/>
      <c r="K53" s="21"/>
      <c r="L53" s="160"/>
      <c r="M53" s="157">
        <v>3237367</v>
      </c>
      <c r="N53" s="162">
        <v>61024</v>
      </c>
      <c r="O53" s="163">
        <v>42450</v>
      </c>
      <c r="P53" s="27"/>
      <c r="Q53" s="27"/>
    </row>
    <row r="54" spans="1:17" ht="15.75" x14ac:dyDescent="0.25">
      <c r="A54"/>
      <c r="B54"/>
      <c r="C54"/>
      <c r="D54"/>
      <c r="E54" s="20"/>
      <c r="F54" s="20"/>
      <c r="G54"/>
      <c r="I54" s="3">
        <f>SUM(I47:I53)</f>
        <v>279791.06</v>
      </c>
      <c r="J54" s="125"/>
      <c r="K54" s="26"/>
      <c r="L54" s="160"/>
      <c r="M54" s="157">
        <v>3237374</v>
      </c>
      <c r="N54" s="162">
        <v>45579</v>
      </c>
      <c r="O54" s="163">
        <v>42449</v>
      </c>
      <c r="P54" s="27"/>
      <c r="Q54" s="27"/>
    </row>
    <row r="55" spans="1:17" ht="15.75" x14ac:dyDescent="0.25">
      <c r="I55" s="3"/>
      <c r="J55" s="125"/>
      <c r="K55" s="26"/>
      <c r="L55" s="160"/>
      <c r="M55" s="157" t="s">
        <v>52</v>
      </c>
      <c r="N55" s="162">
        <v>31000</v>
      </c>
      <c r="O55" s="163">
        <v>42451</v>
      </c>
      <c r="P55" s="180">
        <v>42450</v>
      </c>
      <c r="Q55" s="27"/>
    </row>
    <row r="56" spans="1:17" ht="15.75" thickBot="1" x14ac:dyDescent="0.3">
      <c r="I56" s="3"/>
      <c r="J56" s="242"/>
      <c r="K56" s="243">
        <v>0</v>
      </c>
      <c r="L56" s="243"/>
      <c r="M56" s="243" t="s">
        <v>52</v>
      </c>
      <c r="N56" s="243">
        <v>2</v>
      </c>
      <c r="O56" s="244"/>
    </row>
    <row r="57" spans="1:17" ht="15.75" x14ac:dyDescent="0.25">
      <c r="I57" s="3"/>
      <c r="J57" s="196"/>
      <c r="K57" s="26">
        <f>SUM(K47:K56)</f>
        <v>279792.61</v>
      </c>
      <c r="L57" s="43"/>
      <c r="M57" s="219"/>
      <c r="N57" s="220">
        <f>SUM(N47:N56)</f>
        <v>279792.5</v>
      </c>
      <c r="O57" s="218"/>
    </row>
    <row r="58" spans="1:17" x14ac:dyDescent="0.25">
      <c r="I58" s="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8" workbookViewId="0">
      <selection activeCell="K54" sqref="K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60" t="s">
        <v>242</v>
      </c>
      <c r="D1" s="360"/>
      <c r="E1" s="360"/>
      <c r="F1" s="360"/>
      <c r="G1" s="360"/>
      <c r="H1" s="360"/>
      <c r="I1" s="360"/>
      <c r="J1" s="360"/>
      <c r="K1" s="360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215429.42</v>
      </c>
      <c r="D4" s="12"/>
      <c r="E4" s="361" t="s">
        <v>3</v>
      </c>
      <c r="F4" s="362"/>
      <c r="I4" s="363" t="s">
        <v>4</v>
      </c>
      <c r="J4" s="364"/>
      <c r="K4" s="364"/>
      <c r="L4" s="364"/>
      <c r="M4" s="13" t="s">
        <v>5</v>
      </c>
    </row>
    <row r="5" spans="1:19" ht="15.75" thickTop="1" x14ac:dyDescent="0.25">
      <c r="A5" s="14"/>
      <c r="B5" s="15">
        <v>42461</v>
      </c>
      <c r="C5" s="16">
        <v>76629</v>
      </c>
      <c r="D5" s="17" t="s">
        <v>250</v>
      </c>
      <c r="E5" s="18">
        <v>42461</v>
      </c>
      <c r="F5" s="19">
        <v>76026.37</v>
      </c>
      <c r="G5" s="20"/>
      <c r="H5" s="186">
        <v>42461</v>
      </c>
      <c r="I5" s="187">
        <f>320+350</f>
        <v>670</v>
      </c>
      <c r="J5" s="176"/>
      <c r="K5" s="188"/>
      <c r="L5" s="189"/>
      <c r="M5" s="190">
        <v>435.5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42462</v>
      </c>
      <c r="C6" s="16">
        <v>66145.89</v>
      </c>
      <c r="D6" s="22" t="s">
        <v>251</v>
      </c>
      <c r="E6" s="18">
        <v>42462</v>
      </c>
      <c r="F6" s="19">
        <v>64854.05</v>
      </c>
      <c r="G6" s="23"/>
      <c r="H6" s="24">
        <v>42462</v>
      </c>
      <c r="I6" s="25">
        <v>228</v>
      </c>
      <c r="J6" s="26"/>
      <c r="K6" s="27" t="s">
        <v>7</v>
      </c>
      <c r="L6" s="28">
        <v>538</v>
      </c>
      <c r="M6" s="33">
        <v>921</v>
      </c>
      <c r="N6" s="30"/>
      <c r="O6" s="20"/>
      <c r="P6" s="20"/>
      <c r="Q6" s="20"/>
    </row>
    <row r="7" spans="1:19" x14ac:dyDescent="0.25">
      <c r="A7" s="14"/>
      <c r="B7" s="15">
        <v>42463</v>
      </c>
      <c r="C7" s="16">
        <v>44313.599999999999</v>
      </c>
      <c r="D7" s="17" t="s">
        <v>252</v>
      </c>
      <c r="E7" s="18">
        <v>42463</v>
      </c>
      <c r="F7" s="19">
        <v>47087.42</v>
      </c>
      <c r="G7" s="20"/>
      <c r="H7" s="24">
        <v>42463</v>
      </c>
      <c r="I7" s="25">
        <v>300</v>
      </c>
      <c r="J7" s="26"/>
      <c r="K7" s="31" t="s">
        <v>8</v>
      </c>
      <c r="L7" s="28">
        <v>0</v>
      </c>
      <c r="M7" s="33">
        <v>452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42464</v>
      </c>
      <c r="C8" s="16">
        <v>18696</v>
      </c>
      <c r="D8" s="17" t="s">
        <v>253</v>
      </c>
      <c r="E8" s="18">
        <v>42464</v>
      </c>
      <c r="F8" s="19">
        <v>20158.02</v>
      </c>
      <c r="G8" s="20"/>
      <c r="H8" s="24">
        <v>42464</v>
      </c>
      <c r="I8" s="25">
        <v>128</v>
      </c>
      <c r="J8" s="26"/>
      <c r="K8" s="27" t="s">
        <v>10</v>
      </c>
      <c r="L8" s="32">
        <v>28750</v>
      </c>
      <c r="M8" s="33">
        <v>258.5</v>
      </c>
      <c r="N8" s="21"/>
      <c r="O8" s="20"/>
      <c r="P8" s="20"/>
      <c r="Q8" s="20"/>
    </row>
    <row r="9" spans="1:19" x14ac:dyDescent="0.25">
      <c r="A9" s="14"/>
      <c r="B9" s="15">
        <v>42465</v>
      </c>
      <c r="C9" s="16">
        <v>27000</v>
      </c>
      <c r="D9" s="17" t="s">
        <v>254</v>
      </c>
      <c r="E9" s="18">
        <v>42465</v>
      </c>
      <c r="F9" s="19">
        <v>26981.96</v>
      </c>
      <c r="G9" s="20"/>
      <c r="H9" s="24">
        <v>42465</v>
      </c>
      <c r="I9" s="25">
        <v>370</v>
      </c>
      <c r="J9" s="35"/>
      <c r="K9" s="27" t="s">
        <v>198</v>
      </c>
      <c r="L9" s="28">
        <v>11150</v>
      </c>
      <c r="M9" s="33">
        <v>450</v>
      </c>
      <c r="N9" s="21"/>
      <c r="O9" s="37"/>
      <c r="P9" s="20"/>
      <c r="Q9" s="20"/>
    </row>
    <row r="10" spans="1:19" x14ac:dyDescent="0.25">
      <c r="A10" s="14"/>
      <c r="B10" s="15">
        <v>42466</v>
      </c>
      <c r="C10" s="16">
        <v>26500</v>
      </c>
      <c r="D10" s="22" t="s">
        <v>255</v>
      </c>
      <c r="E10" s="18">
        <v>42466</v>
      </c>
      <c r="F10" s="19">
        <v>27996.43</v>
      </c>
      <c r="G10" s="20"/>
      <c r="H10" s="24">
        <v>42466</v>
      </c>
      <c r="I10" s="25">
        <v>840</v>
      </c>
      <c r="J10" s="35"/>
      <c r="K10" s="27" t="s">
        <v>243</v>
      </c>
      <c r="L10" s="19">
        <v>10750</v>
      </c>
      <c r="M10" s="33">
        <v>656.5</v>
      </c>
      <c r="N10" s="21"/>
      <c r="O10" s="20"/>
      <c r="P10" s="20"/>
      <c r="Q10" s="20"/>
    </row>
    <row r="11" spans="1:19" x14ac:dyDescent="0.25">
      <c r="A11" s="14"/>
      <c r="B11" s="15">
        <v>42467</v>
      </c>
      <c r="C11" s="16">
        <v>600</v>
      </c>
      <c r="D11" s="34" t="s">
        <v>115</v>
      </c>
      <c r="E11" s="18">
        <v>42467</v>
      </c>
      <c r="F11" s="19">
        <v>24079.07</v>
      </c>
      <c r="G11" s="20"/>
      <c r="H11" s="24">
        <v>42467</v>
      </c>
      <c r="I11" s="25">
        <v>7</v>
      </c>
      <c r="J11" s="35"/>
      <c r="K11" s="27" t="s">
        <v>244</v>
      </c>
      <c r="L11" s="19">
        <v>9950</v>
      </c>
      <c r="M11" s="33">
        <v>23472</v>
      </c>
      <c r="N11" s="36"/>
      <c r="O11" s="20"/>
      <c r="P11" s="20"/>
      <c r="Q11" s="20"/>
    </row>
    <row r="12" spans="1:19" x14ac:dyDescent="0.25">
      <c r="A12" s="14"/>
      <c r="B12" s="15">
        <v>42468</v>
      </c>
      <c r="C12" s="16">
        <v>64213.23</v>
      </c>
      <c r="D12" s="17" t="s">
        <v>259</v>
      </c>
      <c r="E12" s="18">
        <v>42468</v>
      </c>
      <c r="F12" s="19">
        <v>64719.27</v>
      </c>
      <c r="G12" s="20"/>
      <c r="H12" s="24">
        <v>42468</v>
      </c>
      <c r="I12" s="25">
        <v>320</v>
      </c>
      <c r="J12" s="35"/>
      <c r="K12" s="27" t="s">
        <v>245</v>
      </c>
      <c r="L12" s="19">
        <v>11350</v>
      </c>
      <c r="M12" s="33">
        <v>186</v>
      </c>
      <c r="N12" s="21"/>
      <c r="O12" s="37"/>
      <c r="P12" s="38"/>
      <c r="Q12" s="20"/>
    </row>
    <row r="13" spans="1:19" x14ac:dyDescent="0.25">
      <c r="A13" s="14"/>
      <c r="B13" s="15">
        <v>42469</v>
      </c>
      <c r="C13" s="16">
        <v>57539.65</v>
      </c>
      <c r="D13" s="34" t="s">
        <v>260</v>
      </c>
      <c r="E13" s="18">
        <v>42469</v>
      </c>
      <c r="F13" s="19">
        <v>59673.78</v>
      </c>
      <c r="G13" s="20"/>
      <c r="H13" s="24">
        <v>42469</v>
      </c>
      <c r="I13" s="25">
        <v>613.5</v>
      </c>
      <c r="J13" s="35"/>
      <c r="K13" s="27" t="s">
        <v>287</v>
      </c>
      <c r="L13" s="19">
        <v>11686.5</v>
      </c>
      <c r="M13" s="33">
        <v>1520.5</v>
      </c>
      <c r="N13" s="21"/>
      <c r="O13" s="20"/>
      <c r="P13" s="20"/>
      <c r="Q13" s="20"/>
    </row>
    <row r="14" spans="1:19" x14ac:dyDescent="0.25">
      <c r="A14" s="14"/>
      <c r="B14" s="15">
        <v>42470</v>
      </c>
      <c r="C14" s="16">
        <v>35667</v>
      </c>
      <c r="D14" s="17" t="s">
        <v>262</v>
      </c>
      <c r="E14" s="18">
        <v>42470</v>
      </c>
      <c r="F14" s="19">
        <v>40277.31</v>
      </c>
      <c r="G14" s="20"/>
      <c r="H14" s="24">
        <v>42470</v>
      </c>
      <c r="I14" s="25">
        <v>400</v>
      </c>
      <c r="J14" s="35"/>
      <c r="K14" s="40" t="s">
        <v>264</v>
      </c>
      <c r="L14" s="19">
        <v>0</v>
      </c>
      <c r="M14" s="33">
        <f>646+500</f>
        <v>1146</v>
      </c>
      <c r="N14" s="21"/>
      <c r="O14" s="20"/>
      <c r="P14" s="20"/>
      <c r="Q14" s="20"/>
    </row>
    <row r="15" spans="1:19" ht="15.75" x14ac:dyDescent="0.25">
      <c r="A15" s="14"/>
      <c r="B15" s="15">
        <v>42471</v>
      </c>
      <c r="C15" s="16">
        <v>44446.9</v>
      </c>
      <c r="D15" s="17" t="s">
        <v>263</v>
      </c>
      <c r="E15" s="18">
        <v>42471</v>
      </c>
      <c r="F15" s="19">
        <v>35208.29</v>
      </c>
      <c r="G15" s="20"/>
      <c r="H15" s="24">
        <v>42471</v>
      </c>
      <c r="I15" s="25">
        <v>56</v>
      </c>
      <c r="J15" s="35"/>
      <c r="K15" s="226" t="s">
        <v>11</v>
      </c>
      <c r="L15" s="19">
        <v>0</v>
      </c>
      <c r="M15" s="33">
        <v>579.5</v>
      </c>
      <c r="N15" s="30"/>
      <c r="O15" s="20"/>
      <c r="P15" s="20"/>
      <c r="Q15" s="20"/>
    </row>
    <row r="16" spans="1:19" ht="15.75" x14ac:dyDescent="0.25">
      <c r="A16" s="14"/>
      <c r="B16" s="15">
        <v>42472</v>
      </c>
      <c r="C16" s="16">
        <v>31134.36</v>
      </c>
      <c r="D16" s="17" t="s">
        <v>269</v>
      </c>
      <c r="E16" s="18">
        <v>42472</v>
      </c>
      <c r="F16" s="19">
        <v>31610.3</v>
      </c>
      <c r="G16" s="20"/>
      <c r="H16" s="24">
        <v>42472</v>
      </c>
      <c r="I16" s="25">
        <v>161</v>
      </c>
      <c r="J16" s="35"/>
      <c r="K16" s="251"/>
      <c r="L16" s="42">
        <v>0</v>
      </c>
      <c r="M16" s="33">
        <v>315</v>
      </c>
      <c r="N16" s="30"/>
      <c r="O16" s="20"/>
      <c r="P16" s="20"/>
      <c r="Q16" s="20"/>
    </row>
    <row r="17" spans="1:18" x14ac:dyDescent="0.25">
      <c r="A17" s="14"/>
      <c r="B17" s="15">
        <v>42473</v>
      </c>
      <c r="C17" s="16">
        <v>28500</v>
      </c>
      <c r="D17" s="17" t="s">
        <v>271</v>
      </c>
      <c r="E17" s="18">
        <v>42473</v>
      </c>
      <c r="F17" s="19">
        <v>29196.03</v>
      </c>
      <c r="G17" s="20"/>
      <c r="H17" s="24">
        <v>42473</v>
      </c>
      <c r="I17" s="25">
        <v>60</v>
      </c>
      <c r="J17" s="35"/>
      <c r="K17" s="265"/>
      <c r="L17" s="19">
        <v>0</v>
      </c>
      <c r="M17" s="33">
        <v>98</v>
      </c>
      <c r="N17" s="30"/>
      <c r="O17" s="20"/>
      <c r="P17" s="20"/>
      <c r="Q17" s="20"/>
    </row>
    <row r="18" spans="1:18" x14ac:dyDescent="0.25">
      <c r="A18" s="14"/>
      <c r="B18" s="15">
        <v>42474</v>
      </c>
      <c r="C18" s="16">
        <v>627</v>
      </c>
      <c r="D18" s="17" t="s">
        <v>115</v>
      </c>
      <c r="E18" s="18">
        <v>42474</v>
      </c>
      <c r="F18" s="19">
        <v>29070.19</v>
      </c>
      <c r="G18" s="20"/>
      <c r="H18" s="24">
        <v>42474</v>
      </c>
      <c r="I18" s="25">
        <v>100</v>
      </c>
      <c r="J18" s="35"/>
      <c r="K18" s="41" t="s">
        <v>29</v>
      </c>
      <c r="L18" s="19">
        <v>0</v>
      </c>
      <c r="M18" s="33">
        <v>27543</v>
      </c>
      <c r="N18" s="21"/>
      <c r="O18" s="37"/>
      <c r="P18" s="20"/>
      <c r="Q18" s="20"/>
    </row>
    <row r="19" spans="1:18" x14ac:dyDescent="0.25">
      <c r="A19" s="14"/>
      <c r="B19" s="15">
        <v>42475</v>
      </c>
      <c r="C19" s="16">
        <v>75364.3</v>
      </c>
      <c r="D19" s="34" t="s">
        <v>272</v>
      </c>
      <c r="E19" s="18">
        <v>42475</v>
      </c>
      <c r="F19" s="19">
        <v>76183.520000000004</v>
      </c>
      <c r="G19" s="20"/>
      <c r="H19" s="24">
        <v>42475</v>
      </c>
      <c r="I19" s="25">
        <v>0</v>
      </c>
      <c r="J19" s="35"/>
      <c r="K19" s="283">
        <v>42474</v>
      </c>
      <c r="L19" s="44">
        <v>0</v>
      </c>
      <c r="M19" s="33">
        <v>1318.8</v>
      </c>
      <c r="N19" s="21"/>
      <c r="O19" s="20"/>
      <c r="P19" s="20"/>
      <c r="Q19" s="20"/>
    </row>
    <row r="20" spans="1:18" x14ac:dyDescent="0.25">
      <c r="A20" s="14"/>
      <c r="B20" s="15">
        <v>42476</v>
      </c>
      <c r="C20" s="16">
        <v>67483.64</v>
      </c>
      <c r="D20" s="22" t="s">
        <v>273</v>
      </c>
      <c r="E20" s="18">
        <v>42476</v>
      </c>
      <c r="F20" s="19">
        <v>68054.61</v>
      </c>
      <c r="G20" s="20"/>
      <c r="H20" s="24">
        <v>42476</v>
      </c>
      <c r="I20" s="45">
        <v>100</v>
      </c>
      <c r="J20" s="35"/>
      <c r="K20" s="46" t="s">
        <v>14</v>
      </c>
      <c r="L20" s="42">
        <v>0</v>
      </c>
      <c r="M20" s="33">
        <v>471</v>
      </c>
      <c r="N20" s="21"/>
      <c r="O20" s="20"/>
      <c r="P20" s="20"/>
      <c r="Q20" s="20"/>
    </row>
    <row r="21" spans="1:18" x14ac:dyDescent="0.25">
      <c r="A21" s="14"/>
      <c r="B21" s="15">
        <v>42477</v>
      </c>
      <c r="C21" s="16">
        <v>47374.5</v>
      </c>
      <c r="D21" s="17" t="s">
        <v>274</v>
      </c>
      <c r="E21" s="18">
        <v>42477</v>
      </c>
      <c r="F21" s="19">
        <v>53874.5</v>
      </c>
      <c r="G21" s="20"/>
      <c r="H21" s="24">
        <v>42477</v>
      </c>
      <c r="I21" s="45">
        <v>300</v>
      </c>
      <c r="J21" s="35"/>
      <c r="K21" s="47" t="s">
        <v>306</v>
      </c>
      <c r="L21" s="42">
        <v>2088</v>
      </c>
      <c r="M21" s="33">
        <v>350</v>
      </c>
      <c r="N21" s="21"/>
      <c r="O21" s="37"/>
      <c r="P21" s="37"/>
      <c r="Q21" s="37"/>
      <c r="R21" s="37"/>
    </row>
    <row r="22" spans="1:18" x14ac:dyDescent="0.25">
      <c r="A22" s="14"/>
      <c r="B22" s="15">
        <v>42478</v>
      </c>
      <c r="C22" s="16">
        <v>27500</v>
      </c>
      <c r="D22" s="17" t="s">
        <v>278</v>
      </c>
      <c r="E22" s="18">
        <v>42478</v>
      </c>
      <c r="F22" s="19">
        <v>27997.79</v>
      </c>
      <c r="G22" s="20"/>
      <c r="H22" s="24">
        <v>42478</v>
      </c>
      <c r="I22" s="45">
        <v>0</v>
      </c>
      <c r="J22" s="48"/>
      <c r="K22" s="284">
        <v>42489</v>
      </c>
      <c r="L22" s="42">
        <v>0</v>
      </c>
      <c r="M22" s="33">
        <v>498</v>
      </c>
      <c r="N22" s="30"/>
      <c r="O22" s="20"/>
      <c r="P22" s="20"/>
      <c r="Q22" s="20"/>
    </row>
    <row r="23" spans="1:18" x14ac:dyDescent="0.25">
      <c r="A23" s="14"/>
      <c r="B23" s="15">
        <v>42479</v>
      </c>
      <c r="C23" s="16">
        <v>28017.56</v>
      </c>
      <c r="D23" s="259" t="s">
        <v>279</v>
      </c>
      <c r="E23" s="18">
        <v>42479</v>
      </c>
      <c r="F23" s="19">
        <v>28997.58</v>
      </c>
      <c r="G23" s="20"/>
      <c r="H23" s="24">
        <v>42479</v>
      </c>
      <c r="I23" s="45">
        <f>352.5+542.72</f>
        <v>895.22</v>
      </c>
      <c r="J23" s="26"/>
      <c r="K23" s="50"/>
      <c r="L23" s="42">
        <v>0</v>
      </c>
      <c r="M23" s="33">
        <v>85</v>
      </c>
      <c r="N23" s="30"/>
      <c r="O23" s="20"/>
      <c r="P23" s="20"/>
      <c r="Q23" s="20"/>
    </row>
    <row r="24" spans="1:18" x14ac:dyDescent="0.25">
      <c r="A24" s="14"/>
      <c r="B24" s="15">
        <v>42480</v>
      </c>
      <c r="C24" s="16">
        <v>21320</v>
      </c>
      <c r="D24" s="17" t="s">
        <v>280</v>
      </c>
      <c r="E24" s="18">
        <v>42480</v>
      </c>
      <c r="F24" s="19">
        <v>21910.87</v>
      </c>
      <c r="G24" s="20"/>
      <c r="H24" s="24">
        <v>42480</v>
      </c>
      <c r="I24" s="45">
        <f>350+150</f>
        <v>500</v>
      </c>
      <c r="J24" s="35"/>
      <c r="K24" s="51" t="s">
        <v>270</v>
      </c>
      <c r="L24" s="42">
        <v>538</v>
      </c>
      <c r="M24" s="33">
        <v>91</v>
      </c>
      <c r="N24" s="30"/>
      <c r="O24" s="20"/>
      <c r="P24" s="20"/>
      <c r="Q24" s="20"/>
    </row>
    <row r="25" spans="1:18" x14ac:dyDescent="0.25">
      <c r="A25" s="14"/>
      <c r="B25" s="15">
        <v>42481</v>
      </c>
      <c r="C25" s="16">
        <v>1100.5</v>
      </c>
      <c r="D25" s="259" t="s">
        <v>282</v>
      </c>
      <c r="E25" s="18">
        <v>42481</v>
      </c>
      <c r="F25" s="19">
        <v>27134.02</v>
      </c>
      <c r="G25" s="20"/>
      <c r="H25" s="24">
        <v>42481</v>
      </c>
      <c r="I25" s="45">
        <v>0</v>
      </c>
      <c r="J25" s="26"/>
      <c r="K25" s="50">
        <v>42473</v>
      </c>
      <c r="L25" s="42">
        <v>0</v>
      </c>
      <c r="M25" s="33">
        <v>23034.5</v>
      </c>
      <c r="N25" s="21"/>
      <c r="O25" s="20"/>
      <c r="P25" s="20"/>
      <c r="Q25" s="20"/>
    </row>
    <row r="26" spans="1:18" x14ac:dyDescent="0.25">
      <c r="A26" s="14"/>
      <c r="B26" s="15">
        <v>42482</v>
      </c>
      <c r="C26" s="16">
        <v>58906.84</v>
      </c>
      <c r="D26" s="17" t="s">
        <v>283</v>
      </c>
      <c r="E26" s="18">
        <v>42482</v>
      </c>
      <c r="F26" s="19">
        <v>59766.47</v>
      </c>
      <c r="G26" s="20"/>
      <c r="H26" s="24">
        <v>42482</v>
      </c>
      <c r="I26" s="45">
        <v>0</v>
      </c>
      <c r="J26" s="52"/>
      <c r="K26" s="50"/>
      <c r="L26" s="42">
        <v>0</v>
      </c>
      <c r="M26" s="33">
        <v>860</v>
      </c>
      <c r="N26" s="21"/>
      <c r="O26" s="37"/>
      <c r="P26" s="38"/>
      <c r="Q26" s="20"/>
    </row>
    <row r="27" spans="1:18" x14ac:dyDescent="0.25">
      <c r="A27" s="14"/>
      <c r="B27" s="15">
        <v>42483</v>
      </c>
      <c r="C27" s="16">
        <v>51192.3</v>
      </c>
      <c r="D27" s="17" t="s">
        <v>284</v>
      </c>
      <c r="E27" s="18">
        <v>42483</v>
      </c>
      <c r="F27" s="19">
        <v>51477.85</v>
      </c>
      <c r="G27" s="20"/>
      <c r="H27" s="24">
        <v>42483</v>
      </c>
      <c r="I27" s="45">
        <v>0</v>
      </c>
      <c r="J27" s="26"/>
      <c r="K27" s="53" t="s">
        <v>281</v>
      </c>
      <c r="L27" s="42">
        <v>3000</v>
      </c>
      <c r="M27" s="33">
        <v>285.5</v>
      </c>
      <c r="N27" s="21"/>
      <c r="O27" s="20"/>
      <c r="P27" s="20"/>
      <c r="Q27" s="20"/>
    </row>
    <row r="28" spans="1:18" x14ac:dyDescent="0.25">
      <c r="A28" s="14"/>
      <c r="B28" s="15">
        <v>42484</v>
      </c>
      <c r="C28" s="16">
        <v>49000</v>
      </c>
      <c r="D28" s="17" t="s">
        <v>285</v>
      </c>
      <c r="E28" s="18">
        <v>42484</v>
      </c>
      <c r="F28" s="19">
        <v>57242.23</v>
      </c>
      <c r="G28" s="20"/>
      <c r="H28" s="24">
        <v>42484</v>
      </c>
      <c r="I28" s="45">
        <v>400</v>
      </c>
      <c r="J28" s="26"/>
      <c r="K28" s="54" t="s">
        <v>308</v>
      </c>
      <c r="L28" s="42">
        <v>3000</v>
      </c>
      <c r="M28" s="33">
        <v>592</v>
      </c>
      <c r="N28" s="30"/>
      <c r="O28" s="20"/>
      <c r="P28" s="20"/>
      <c r="Q28" s="20"/>
    </row>
    <row r="29" spans="1:18" x14ac:dyDescent="0.25">
      <c r="A29" s="14"/>
      <c r="B29" s="15">
        <v>42485</v>
      </c>
      <c r="C29" s="16">
        <v>28951.64</v>
      </c>
      <c r="D29" s="17" t="s">
        <v>288</v>
      </c>
      <c r="E29" s="18">
        <v>42485</v>
      </c>
      <c r="F29" s="19">
        <v>29280.62</v>
      </c>
      <c r="G29" s="20"/>
      <c r="H29" s="24">
        <v>42485</v>
      </c>
      <c r="I29" s="45">
        <v>0</v>
      </c>
      <c r="J29" s="26"/>
      <c r="K29" s="55"/>
      <c r="L29" s="56">
        <v>0</v>
      </c>
      <c r="M29" s="33">
        <v>329</v>
      </c>
      <c r="N29" s="30"/>
      <c r="O29" s="20"/>
      <c r="P29" s="20"/>
      <c r="Q29" s="20"/>
    </row>
    <row r="30" spans="1:18" ht="15.75" thickBot="1" x14ac:dyDescent="0.3">
      <c r="A30" s="14"/>
      <c r="B30" s="15">
        <v>42486</v>
      </c>
      <c r="C30" s="16">
        <v>43130.6</v>
      </c>
      <c r="D30" s="17" t="s">
        <v>304</v>
      </c>
      <c r="E30" s="18">
        <v>42486</v>
      </c>
      <c r="F30" s="19">
        <v>39862.19</v>
      </c>
      <c r="G30" s="20"/>
      <c r="H30" s="24">
        <v>42486</v>
      </c>
      <c r="I30" s="45">
        <v>100</v>
      </c>
      <c r="J30" s="52"/>
      <c r="K30" s="54"/>
      <c r="L30" s="56">
        <v>0</v>
      </c>
      <c r="M30" s="33">
        <v>631.59</v>
      </c>
      <c r="N30" s="30"/>
      <c r="O30" s="20"/>
      <c r="P30" s="20"/>
      <c r="Q30" s="20"/>
    </row>
    <row r="31" spans="1:18" x14ac:dyDescent="0.25">
      <c r="A31" s="14"/>
      <c r="B31" s="15">
        <v>42487</v>
      </c>
      <c r="C31" s="16">
        <v>35120</v>
      </c>
      <c r="D31" s="17" t="s">
        <v>305</v>
      </c>
      <c r="E31" s="18">
        <v>42487</v>
      </c>
      <c r="F31" s="19">
        <v>35604.1</v>
      </c>
      <c r="G31" s="20"/>
      <c r="H31" s="24">
        <v>42487</v>
      </c>
      <c r="I31" s="45">
        <v>130</v>
      </c>
      <c r="J31" s="35"/>
      <c r="K31" s="57"/>
      <c r="L31" s="365">
        <v>0</v>
      </c>
      <c r="M31" s="33">
        <v>354</v>
      </c>
      <c r="N31" s="21"/>
      <c r="O31" s="20"/>
      <c r="P31" s="20"/>
      <c r="Q31" s="20"/>
    </row>
    <row r="32" spans="1:18" ht="15.75" thickBot="1" x14ac:dyDescent="0.3">
      <c r="A32" s="14"/>
      <c r="B32" s="15">
        <v>42488</v>
      </c>
      <c r="C32" s="16">
        <v>6000</v>
      </c>
      <c r="D32" s="17" t="s">
        <v>285</v>
      </c>
      <c r="E32" s="18">
        <v>42488</v>
      </c>
      <c r="F32" s="19">
        <v>36321.480000000003</v>
      </c>
      <c r="G32" s="20"/>
      <c r="H32" s="24">
        <v>42488</v>
      </c>
      <c r="I32" s="45">
        <v>0</v>
      </c>
      <c r="J32" s="26"/>
      <c r="K32" s="53"/>
      <c r="L32" s="366"/>
      <c r="M32" s="33">
        <v>30321</v>
      </c>
      <c r="N32" s="30"/>
      <c r="O32" s="20"/>
      <c r="P32" s="20"/>
      <c r="Q32" s="20"/>
    </row>
    <row r="33" spans="1:17" x14ac:dyDescent="0.25">
      <c r="A33" s="14"/>
      <c r="B33" s="15">
        <v>42489</v>
      </c>
      <c r="C33" s="16">
        <v>67144</v>
      </c>
      <c r="D33" s="34" t="s">
        <v>307</v>
      </c>
      <c r="E33" s="18">
        <v>42489</v>
      </c>
      <c r="F33" s="19">
        <v>69571.350000000006</v>
      </c>
      <c r="G33" s="20"/>
      <c r="H33" s="24">
        <v>42489</v>
      </c>
      <c r="I33" s="45">
        <v>240.5</v>
      </c>
      <c r="J33" s="26"/>
      <c r="K33" s="58"/>
      <c r="L33" s="367">
        <v>0</v>
      </c>
      <c r="M33" s="33">
        <v>99</v>
      </c>
      <c r="N33" s="21"/>
      <c r="O33" s="20"/>
      <c r="P33" s="20"/>
      <c r="Q33" s="20"/>
    </row>
    <row r="34" spans="1:17" ht="15.75" thickBot="1" x14ac:dyDescent="0.3">
      <c r="A34" s="14"/>
      <c r="B34" s="15">
        <v>42490</v>
      </c>
      <c r="C34" s="16">
        <v>78709.210000000006</v>
      </c>
      <c r="D34" s="17" t="s">
        <v>309</v>
      </c>
      <c r="E34" s="18">
        <v>42490</v>
      </c>
      <c r="F34" s="19">
        <v>81440.850000000006</v>
      </c>
      <c r="G34" s="20"/>
      <c r="H34" s="24">
        <v>42490</v>
      </c>
      <c r="I34" s="45">
        <v>0</v>
      </c>
      <c r="J34" s="26"/>
      <c r="K34" s="59"/>
      <c r="L34" s="368"/>
      <c r="M34" s="33">
        <v>231.5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117585.39</v>
      </c>
    </row>
    <row r="38" spans="1:17" x14ac:dyDescent="0.25">
      <c r="B38" s="82" t="s">
        <v>16</v>
      </c>
      <c r="C38" s="83">
        <f>SUM(C5:C37)</f>
        <v>1208327.7200000002</v>
      </c>
      <c r="E38" s="263" t="s">
        <v>16</v>
      </c>
      <c r="F38" s="85">
        <f>SUM(F5:F37)</f>
        <v>1341658.5200000003</v>
      </c>
      <c r="H38" s="5" t="s">
        <v>16</v>
      </c>
      <c r="I38" s="86">
        <f>SUM(I5:I37)</f>
        <v>6919.22</v>
      </c>
      <c r="J38" s="86"/>
      <c r="K38" s="87" t="s">
        <v>16</v>
      </c>
      <c r="L38" s="88">
        <f>SUM(L5:L37)</f>
        <v>92800.5</v>
      </c>
    </row>
    <row r="40" spans="1:17" ht="15.75" x14ac:dyDescent="0.25">
      <c r="A40" s="89"/>
      <c r="B40" s="90"/>
      <c r="C40" s="26"/>
      <c r="D40" s="91"/>
      <c r="E40" s="92"/>
      <c r="F40" s="67"/>
      <c r="H40" s="356" t="s">
        <v>17</v>
      </c>
      <c r="I40" s="357"/>
      <c r="J40" s="262"/>
      <c r="K40" s="358">
        <f>I38+L38</f>
        <v>99719.72</v>
      </c>
      <c r="L40" s="359"/>
    </row>
    <row r="41" spans="1:17" ht="15.75" x14ac:dyDescent="0.25">
      <c r="B41" s="94"/>
      <c r="C41" s="67"/>
      <c r="D41" s="343" t="s">
        <v>18</v>
      </c>
      <c r="E41" s="343"/>
      <c r="F41" s="95">
        <f>F38-K40</f>
        <v>1241938.8000000003</v>
      </c>
      <c r="I41" s="96"/>
      <c r="J41" s="96"/>
    </row>
    <row r="42" spans="1:17" ht="15.75" x14ac:dyDescent="0.25">
      <c r="D42" s="344" t="s">
        <v>193</v>
      </c>
      <c r="E42" s="344"/>
      <c r="F42" s="95">
        <v>-1164331.73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77607.070000000298</v>
      </c>
      <c r="I44" s="345" t="s">
        <v>22</v>
      </c>
      <c r="J44" s="346"/>
      <c r="K44" s="349">
        <f>F48+L46</f>
        <v>285854.91000000027</v>
      </c>
      <c r="L44" s="350"/>
    </row>
    <row r="45" spans="1:17" ht="15.75" thickBot="1" x14ac:dyDescent="0.3">
      <c r="D45" s="100" t="s">
        <v>23</v>
      </c>
      <c r="E45" s="89" t="s">
        <v>24</v>
      </c>
      <c r="F45" s="86">
        <v>20964.310000000001</v>
      </c>
      <c r="I45" s="347"/>
      <c r="J45" s="348"/>
      <c r="K45" s="351"/>
      <c r="L45" s="352"/>
    </row>
    <row r="46" spans="1:17" ht="17.25" thickTop="1" thickBot="1" x14ac:dyDescent="0.3">
      <c r="C46" s="85"/>
      <c r="D46" s="353" t="s">
        <v>25</v>
      </c>
      <c r="E46" s="353"/>
      <c r="F46" s="101">
        <v>187283.53</v>
      </c>
      <c r="I46" s="354"/>
      <c r="J46" s="354"/>
      <c r="K46" s="355"/>
      <c r="L46" s="102"/>
    </row>
    <row r="47" spans="1:17" ht="19.5" thickBot="1" x14ac:dyDescent="0.35">
      <c r="C47" s="85"/>
      <c r="D47" s="263"/>
      <c r="E47" s="263"/>
      <c r="F47" s="103"/>
      <c r="H47" s="104"/>
      <c r="I47" s="264" t="s">
        <v>26</v>
      </c>
      <c r="J47" s="264"/>
      <c r="K47" s="336">
        <f>-C4</f>
        <v>-215429.42</v>
      </c>
      <c r="L47" s="337"/>
    </row>
    <row r="48" spans="1:17" ht="17.25" thickTop="1" thickBot="1" x14ac:dyDescent="0.3">
      <c r="E48" s="106" t="s">
        <v>27</v>
      </c>
      <c r="F48" s="107">
        <f>F44+F45+F46</f>
        <v>285854.91000000027</v>
      </c>
    </row>
    <row r="49" spans="2:14" ht="19.5" thickBot="1" x14ac:dyDescent="0.35">
      <c r="B49"/>
      <c r="C49"/>
      <c r="D49" s="338"/>
      <c r="E49" s="338"/>
      <c r="F49" s="67"/>
      <c r="I49" s="339" t="s">
        <v>28</v>
      </c>
      <c r="J49" s="340"/>
      <c r="K49" s="341">
        <f>K44+K47</f>
        <v>70425.490000000253</v>
      </c>
      <c r="L49" s="342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71"/>
  <sheetViews>
    <sheetView topLeftCell="A22" workbookViewId="0">
      <selection activeCell="F35" sqref="F35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2.5703125" bestFit="1" customWidth="1"/>
    <col min="12" max="12" width="18.7109375" customWidth="1"/>
    <col min="15" max="15" width="20.140625" bestFit="1" customWidth="1"/>
    <col min="16" max="16" width="12.140625" bestFit="1" customWidth="1"/>
  </cols>
  <sheetData>
    <row r="1" spans="1:16" ht="19.5" thickBot="1" x14ac:dyDescent="0.35">
      <c r="B1" s="109" t="s">
        <v>224</v>
      </c>
      <c r="C1" s="110"/>
      <c r="D1" s="111"/>
      <c r="L1" s="146" t="s">
        <v>46</v>
      </c>
      <c r="M1" s="147"/>
      <c r="N1" s="148"/>
      <c r="O1" s="231">
        <v>42478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42462</v>
      </c>
      <c r="B3" s="123" t="s">
        <v>226</v>
      </c>
      <c r="C3" s="21">
        <v>44696.6</v>
      </c>
      <c r="D3" s="117">
        <v>42478</v>
      </c>
      <c r="E3" s="21">
        <v>44696.6</v>
      </c>
      <c r="F3" s="118">
        <f t="shared" ref="F3:F46" si="0"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42464</v>
      </c>
      <c r="B4" s="123" t="s">
        <v>227</v>
      </c>
      <c r="C4" s="21">
        <v>41610.629999999997</v>
      </c>
      <c r="D4" s="117">
        <v>42478</v>
      </c>
      <c r="E4" s="21">
        <v>41610.629999999997</v>
      </c>
      <c r="F4" s="122">
        <f t="shared" si="0"/>
        <v>0</v>
      </c>
      <c r="J4" s="3">
        <f>26000+25000+34000+12500+34710.68+6000</f>
        <v>138210.68</v>
      </c>
      <c r="K4" s="123" t="s">
        <v>201</v>
      </c>
      <c r="L4" s="21">
        <v>138210.68</v>
      </c>
      <c r="M4" s="156"/>
      <c r="N4" s="157">
        <v>3281257</v>
      </c>
      <c r="O4" s="158">
        <v>26000</v>
      </c>
      <c r="P4" s="159">
        <v>42451</v>
      </c>
    </row>
    <row r="5" spans="1:16" ht="15.75" x14ac:dyDescent="0.25">
      <c r="A5" s="119">
        <v>42461</v>
      </c>
      <c r="B5" s="123" t="s">
        <v>229</v>
      </c>
      <c r="C5" s="21">
        <v>11046</v>
      </c>
      <c r="D5" s="117">
        <v>42478</v>
      </c>
      <c r="E5" s="21">
        <v>11046</v>
      </c>
      <c r="F5" s="122">
        <f t="shared" si="0"/>
        <v>0</v>
      </c>
      <c r="J5" s="3">
        <v>40510.6</v>
      </c>
      <c r="K5" s="123" t="s">
        <v>215</v>
      </c>
      <c r="L5" s="21">
        <v>40510.6</v>
      </c>
      <c r="M5" s="160"/>
      <c r="N5" s="157">
        <v>3237375</v>
      </c>
      <c r="O5" s="158">
        <v>25000</v>
      </c>
      <c r="P5" s="159">
        <v>42452</v>
      </c>
    </row>
    <row r="6" spans="1:16" ht="15.75" x14ac:dyDescent="0.25">
      <c r="A6" s="119">
        <v>42466</v>
      </c>
      <c r="B6" s="123" t="s">
        <v>230</v>
      </c>
      <c r="C6" s="21">
        <v>43546.6</v>
      </c>
      <c r="D6" s="117">
        <v>42478</v>
      </c>
      <c r="E6" s="21">
        <v>43546.6</v>
      </c>
      <c r="F6" s="122">
        <f t="shared" si="0"/>
        <v>0</v>
      </c>
      <c r="J6" s="3">
        <f>4000+18400.6</f>
        <v>22400.6</v>
      </c>
      <c r="K6" s="123" t="s">
        <v>214</v>
      </c>
      <c r="L6" s="21">
        <v>22400.6</v>
      </c>
      <c r="M6" s="160"/>
      <c r="N6" s="157">
        <v>3281256</v>
      </c>
      <c r="O6" s="158">
        <v>34000</v>
      </c>
      <c r="P6" s="159">
        <v>42453</v>
      </c>
    </row>
    <row r="7" spans="1:16" ht="15.75" x14ac:dyDescent="0.25">
      <c r="A7" s="119">
        <v>42467</v>
      </c>
      <c r="B7" s="123" t="s">
        <v>231</v>
      </c>
      <c r="C7" s="21">
        <v>35667.4</v>
      </c>
      <c r="D7" s="117">
        <v>42478</v>
      </c>
      <c r="E7" s="21">
        <v>35667.4</v>
      </c>
      <c r="F7" s="122">
        <f t="shared" si="0"/>
        <v>0</v>
      </c>
      <c r="J7" s="3">
        <v>3285</v>
      </c>
      <c r="K7" s="123" t="s">
        <v>216</v>
      </c>
      <c r="L7" s="21">
        <v>3285</v>
      </c>
      <c r="M7" s="161"/>
      <c r="N7" s="157" t="s">
        <v>52</v>
      </c>
      <c r="O7" s="158">
        <v>12500</v>
      </c>
      <c r="P7" s="159">
        <v>42455</v>
      </c>
    </row>
    <row r="8" spans="1:16" ht="15.75" x14ac:dyDescent="0.25">
      <c r="A8" s="119">
        <v>42467</v>
      </c>
      <c r="B8" s="123" t="s">
        <v>232</v>
      </c>
      <c r="C8" s="26">
        <v>29899</v>
      </c>
      <c r="D8" s="117">
        <v>42478</v>
      </c>
      <c r="E8" s="26">
        <v>29899</v>
      </c>
      <c r="F8" s="122">
        <f t="shared" si="0"/>
        <v>0</v>
      </c>
      <c r="J8" s="3">
        <f>19000+37627</f>
        <v>56627</v>
      </c>
      <c r="K8" s="123" t="s">
        <v>217</v>
      </c>
      <c r="L8" s="21">
        <v>56627</v>
      </c>
      <c r="M8" s="160"/>
      <c r="N8" s="157" t="s">
        <v>52</v>
      </c>
      <c r="O8" s="162">
        <v>6965</v>
      </c>
      <c r="P8" s="163">
        <v>42451</v>
      </c>
    </row>
    <row r="9" spans="1:16" ht="15.75" x14ac:dyDescent="0.25">
      <c r="A9" s="119">
        <v>42468</v>
      </c>
      <c r="B9" s="123" t="s">
        <v>233</v>
      </c>
      <c r="C9" s="26">
        <v>30082.45</v>
      </c>
      <c r="D9" s="117">
        <v>42478</v>
      </c>
      <c r="E9" s="26">
        <v>30082.45</v>
      </c>
      <c r="F9" s="122">
        <f t="shared" si="0"/>
        <v>0</v>
      </c>
      <c r="J9" s="3">
        <v>3210</v>
      </c>
      <c r="K9" s="123" t="s">
        <v>218</v>
      </c>
      <c r="L9" s="26">
        <v>3210</v>
      </c>
      <c r="M9" s="160"/>
      <c r="N9" s="157" t="s">
        <v>52</v>
      </c>
      <c r="O9" s="162">
        <v>9454.4</v>
      </c>
      <c r="P9" s="163">
        <v>42455</v>
      </c>
    </row>
    <row r="10" spans="1:16" ht="15.75" x14ac:dyDescent="0.25">
      <c r="A10" s="124">
        <v>42468</v>
      </c>
      <c r="B10" s="123" t="s">
        <v>234</v>
      </c>
      <c r="C10" s="26">
        <v>6838.2</v>
      </c>
      <c r="D10" s="117">
        <v>42478</v>
      </c>
      <c r="E10" s="26">
        <v>6838.2</v>
      </c>
      <c r="F10" s="122">
        <f t="shared" si="0"/>
        <v>0</v>
      </c>
      <c r="J10" s="3">
        <f>3500+4503</f>
        <v>8003</v>
      </c>
      <c r="K10" s="123" t="s">
        <v>219</v>
      </c>
      <c r="L10" s="26">
        <v>8003.04</v>
      </c>
      <c r="M10" s="160"/>
      <c r="N10" s="157" t="s">
        <v>52</v>
      </c>
      <c r="O10" s="162">
        <v>66086</v>
      </c>
      <c r="P10" s="163">
        <v>42457</v>
      </c>
    </row>
    <row r="11" spans="1:16" ht="15.75" x14ac:dyDescent="0.25">
      <c r="A11" s="119">
        <v>42469</v>
      </c>
      <c r="B11" s="125" t="s">
        <v>235</v>
      </c>
      <c r="C11" s="26">
        <v>31947.200000000001</v>
      </c>
      <c r="D11" s="117">
        <v>42478</v>
      </c>
      <c r="E11" s="26">
        <v>31947.200000000001</v>
      </c>
      <c r="F11" s="127">
        <f t="shared" si="0"/>
        <v>0</v>
      </c>
      <c r="J11" s="3">
        <v>13509.92</v>
      </c>
      <c r="K11" s="123" t="s">
        <v>220</v>
      </c>
      <c r="L11" s="26">
        <v>13509.92</v>
      </c>
      <c r="M11" s="160"/>
      <c r="N11" s="157" t="s">
        <v>52</v>
      </c>
      <c r="O11" s="162">
        <v>37400</v>
      </c>
      <c r="P11" s="163">
        <v>42457</v>
      </c>
    </row>
    <row r="12" spans="1:16" ht="15.75" x14ac:dyDescent="0.25">
      <c r="A12" s="119">
        <v>42470</v>
      </c>
      <c r="B12" s="125" t="s">
        <v>236</v>
      </c>
      <c r="C12" s="26">
        <v>39181.360000000001</v>
      </c>
      <c r="D12" s="121" t="s">
        <v>289</v>
      </c>
      <c r="E12" s="26">
        <f>6497.99+32683.37</f>
        <v>39181.360000000001</v>
      </c>
      <c r="F12" s="127">
        <f t="shared" si="0"/>
        <v>0</v>
      </c>
      <c r="J12" s="3">
        <f>39000+76000+10517</f>
        <v>125517</v>
      </c>
      <c r="K12" s="123" t="s">
        <v>221</v>
      </c>
      <c r="L12" s="26">
        <v>125517</v>
      </c>
      <c r="M12" s="160"/>
      <c r="N12" s="157" t="s">
        <v>52</v>
      </c>
      <c r="O12" s="162">
        <v>44337</v>
      </c>
      <c r="P12" s="163">
        <v>42458</v>
      </c>
    </row>
    <row r="13" spans="1:16" ht="15.75" x14ac:dyDescent="0.25">
      <c r="A13" s="119">
        <v>42471</v>
      </c>
      <c r="B13" s="125" t="s">
        <v>237</v>
      </c>
      <c r="C13" s="26">
        <v>50865</v>
      </c>
      <c r="D13" s="117">
        <v>42486</v>
      </c>
      <c r="E13" s="26">
        <v>50865</v>
      </c>
      <c r="F13" s="127">
        <f t="shared" si="0"/>
        <v>0</v>
      </c>
      <c r="J13" s="3">
        <v>3400.19</v>
      </c>
      <c r="K13" s="123" t="s">
        <v>222</v>
      </c>
      <c r="L13" s="26">
        <v>3400.19</v>
      </c>
      <c r="M13" s="160"/>
      <c r="N13" s="157" t="s">
        <v>52</v>
      </c>
      <c r="O13" s="162">
        <v>18013</v>
      </c>
      <c r="P13" s="163">
        <v>42459</v>
      </c>
    </row>
    <row r="14" spans="1:16" ht="15.75" x14ac:dyDescent="0.25">
      <c r="A14" s="119">
        <v>42472</v>
      </c>
      <c r="B14" s="125" t="s">
        <v>238</v>
      </c>
      <c r="C14" s="26">
        <v>27759</v>
      </c>
      <c r="D14" s="117">
        <v>42486</v>
      </c>
      <c r="E14" s="26">
        <v>27759</v>
      </c>
      <c r="F14" s="127">
        <f t="shared" si="0"/>
        <v>0</v>
      </c>
      <c r="J14" s="3">
        <v>25757.200000000001</v>
      </c>
      <c r="K14" s="126" t="s">
        <v>223</v>
      </c>
      <c r="L14" s="21">
        <v>25757.200000000001</v>
      </c>
      <c r="M14" s="160"/>
      <c r="N14" s="157" t="s">
        <v>52</v>
      </c>
      <c r="O14" s="162">
        <v>39000</v>
      </c>
      <c r="P14" s="163">
        <v>42460</v>
      </c>
    </row>
    <row r="15" spans="1:16" ht="15.75" x14ac:dyDescent="0.25">
      <c r="A15" s="119">
        <v>42473</v>
      </c>
      <c r="B15" s="125" t="s">
        <v>239</v>
      </c>
      <c r="C15" s="26">
        <v>49488.84</v>
      </c>
      <c r="D15" s="117">
        <v>42486</v>
      </c>
      <c r="E15" s="26">
        <v>49488.84</v>
      </c>
      <c r="F15" s="127">
        <f t="shared" si="0"/>
        <v>0</v>
      </c>
      <c r="J15" s="3">
        <f>12000+39539.6</f>
        <v>51539.6</v>
      </c>
      <c r="K15" s="128" t="s">
        <v>225</v>
      </c>
      <c r="L15" s="26">
        <v>51539.6</v>
      </c>
      <c r="M15" s="232"/>
      <c r="N15" s="233">
        <v>3281252</v>
      </c>
      <c r="O15" s="234">
        <v>76000</v>
      </c>
      <c r="P15" s="235">
        <v>42461</v>
      </c>
    </row>
    <row r="16" spans="1:16" ht="15.75" x14ac:dyDescent="0.25">
      <c r="A16" s="124">
        <v>42474</v>
      </c>
      <c r="B16" s="123" t="s">
        <v>240</v>
      </c>
      <c r="C16" s="21">
        <v>6231.1</v>
      </c>
      <c r="D16" s="117">
        <v>42486</v>
      </c>
      <c r="E16" s="21">
        <v>6231.1</v>
      </c>
      <c r="F16" s="127">
        <f t="shared" si="0"/>
        <v>0</v>
      </c>
      <c r="J16" s="3">
        <v>2356</v>
      </c>
      <c r="K16" s="128" t="s">
        <v>228</v>
      </c>
      <c r="L16" s="26">
        <v>2356</v>
      </c>
      <c r="M16" s="164"/>
      <c r="N16" s="157">
        <v>3261761</v>
      </c>
      <c r="O16" s="158">
        <v>65076</v>
      </c>
      <c r="P16" s="159">
        <v>42464</v>
      </c>
    </row>
    <row r="17" spans="1:16" ht="15.75" x14ac:dyDescent="0.25">
      <c r="A17" s="124">
        <v>42476</v>
      </c>
      <c r="B17" s="123" t="s">
        <v>265</v>
      </c>
      <c r="C17" s="21">
        <v>46322</v>
      </c>
      <c r="D17" s="117">
        <v>42486</v>
      </c>
      <c r="E17" s="21">
        <v>46322</v>
      </c>
      <c r="F17" s="127">
        <f t="shared" si="0"/>
        <v>0</v>
      </c>
      <c r="J17" s="3">
        <f>4000+18696.6+22000</f>
        <v>44696.6</v>
      </c>
      <c r="K17" s="123" t="s">
        <v>226</v>
      </c>
      <c r="L17" s="21">
        <v>44696.6</v>
      </c>
      <c r="M17" s="164"/>
      <c r="N17" s="157">
        <v>3261959</v>
      </c>
      <c r="O17" s="158">
        <v>43540</v>
      </c>
      <c r="P17" s="159">
        <v>42464</v>
      </c>
    </row>
    <row r="18" spans="1:16" ht="15.75" x14ac:dyDescent="0.25">
      <c r="A18" s="124">
        <v>42476</v>
      </c>
      <c r="B18" s="123" t="s">
        <v>266</v>
      </c>
      <c r="C18" s="21">
        <v>28405.3</v>
      </c>
      <c r="D18" s="117">
        <v>42486</v>
      </c>
      <c r="E18" s="21">
        <v>28405.3</v>
      </c>
      <c r="F18" s="127">
        <f t="shared" si="0"/>
        <v>0</v>
      </c>
      <c r="J18" s="3">
        <f>5000+10110.63+26500</f>
        <v>41610.629999999997</v>
      </c>
      <c r="K18" s="123" t="s">
        <v>227</v>
      </c>
      <c r="L18" s="21">
        <v>41610.629999999997</v>
      </c>
      <c r="M18" s="164"/>
      <c r="N18" s="157" t="s">
        <v>52</v>
      </c>
      <c r="O18" s="158">
        <v>18696</v>
      </c>
      <c r="P18" s="159">
        <v>42465</v>
      </c>
    </row>
    <row r="19" spans="1:16" ht="15.75" x14ac:dyDescent="0.25">
      <c r="A19" s="124">
        <v>42475</v>
      </c>
      <c r="B19" s="123" t="s">
        <v>267</v>
      </c>
      <c r="C19" s="21">
        <v>46146.7</v>
      </c>
      <c r="D19" s="117">
        <v>42486</v>
      </c>
      <c r="E19" s="21">
        <v>46146.7</v>
      </c>
      <c r="F19" s="127">
        <f t="shared" si="0"/>
        <v>0</v>
      </c>
      <c r="J19" s="3">
        <v>11046</v>
      </c>
      <c r="K19" s="123" t="s">
        <v>229</v>
      </c>
      <c r="L19" s="21">
        <v>11046</v>
      </c>
      <c r="M19" s="164"/>
      <c r="N19" s="157" t="s">
        <v>52</v>
      </c>
      <c r="O19" s="158">
        <v>27000</v>
      </c>
      <c r="P19" s="159">
        <v>42467</v>
      </c>
    </row>
    <row r="20" spans="1:16" ht="15.75" x14ac:dyDescent="0.25">
      <c r="A20" s="124">
        <v>42475</v>
      </c>
      <c r="B20" s="123" t="s">
        <v>268</v>
      </c>
      <c r="C20" s="21">
        <v>4614</v>
      </c>
      <c r="D20" s="117">
        <v>42486</v>
      </c>
      <c r="E20" s="21">
        <v>4614</v>
      </c>
      <c r="F20" s="127">
        <f t="shared" si="0"/>
        <v>0</v>
      </c>
      <c r="J20" s="3">
        <v>43546.6</v>
      </c>
      <c r="K20" s="123" t="s">
        <v>230</v>
      </c>
      <c r="L20" s="21">
        <v>43546.6</v>
      </c>
      <c r="M20" s="164"/>
      <c r="N20" s="157" t="s">
        <v>52</v>
      </c>
      <c r="O20" s="158">
        <v>26500</v>
      </c>
      <c r="P20" s="159">
        <v>42467</v>
      </c>
    </row>
    <row r="21" spans="1:16" ht="15.75" x14ac:dyDescent="0.25">
      <c r="A21" s="124">
        <v>42477</v>
      </c>
      <c r="B21" s="123" t="s">
        <v>275</v>
      </c>
      <c r="C21" s="21">
        <v>105331.84</v>
      </c>
      <c r="D21" s="117">
        <v>42486</v>
      </c>
      <c r="E21" s="21">
        <v>105331.84</v>
      </c>
      <c r="F21" s="127">
        <f t="shared" si="0"/>
        <v>0</v>
      </c>
      <c r="J21" s="3">
        <v>35667.4</v>
      </c>
      <c r="K21" s="123" t="s">
        <v>231</v>
      </c>
      <c r="L21" s="21">
        <v>35667.4</v>
      </c>
      <c r="M21" s="164"/>
      <c r="N21" s="157">
        <v>3261769</v>
      </c>
      <c r="O21" s="158">
        <v>63657</v>
      </c>
      <c r="P21" s="159">
        <v>42468</v>
      </c>
    </row>
    <row r="22" spans="1:16" ht="15.75" x14ac:dyDescent="0.25">
      <c r="A22" s="124">
        <v>42479</v>
      </c>
      <c r="B22" s="123" t="s">
        <v>276</v>
      </c>
      <c r="C22" s="21">
        <v>23456.1</v>
      </c>
      <c r="D22" s="117">
        <v>42486</v>
      </c>
      <c r="E22" s="21">
        <v>23456.1</v>
      </c>
      <c r="F22" s="127">
        <f t="shared" si="0"/>
        <v>0</v>
      </c>
      <c r="J22" s="3">
        <f>10000+19899</f>
        <v>29899</v>
      </c>
      <c r="K22" s="123" t="s">
        <v>232</v>
      </c>
      <c r="L22" s="26">
        <v>29899</v>
      </c>
      <c r="M22" s="164"/>
      <c r="N22" s="157">
        <v>3281246</v>
      </c>
      <c r="O22" s="158">
        <v>56820</v>
      </c>
      <c r="P22" s="159">
        <v>42469</v>
      </c>
    </row>
    <row r="23" spans="1:16" ht="15.75" x14ac:dyDescent="0.25">
      <c r="A23" s="124">
        <v>42481</v>
      </c>
      <c r="B23" s="123" t="s">
        <v>277</v>
      </c>
      <c r="C23" s="21">
        <v>110736.2</v>
      </c>
      <c r="D23" s="129" t="s">
        <v>331</v>
      </c>
      <c r="E23" s="36">
        <f>86734.256+24001.94</f>
        <v>110736.196</v>
      </c>
      <c r="F23" s="127">
        <f t="shared" si="0"/>
        <v>4.0000000008149073E-3</v>
      </c>
      <c r="J23" s="3">
        <v>30082.45</v>
      </c>
      <c r="K23" s="123" t="s">
        <v>233</v>
      </c>
      <c r="L23" s="26">
        <v>30082.45</v>
      </c>
      <c r="M23" s="164"/>
      <c r="N23" s="157">
        <v>3281244</v>
      </c>
      <c r="O23" s="158">
        <v>35667</v>
      </c>
      <c r="P23" s="159">
        <v>42470</v>
      </c>
    </row>
    <row r="24" spans="1:16" ht="15.75" x14ac:dyDescent="0.25">
      <c r="A24" s="124">
        <v>42483</v>
      </c>
      <c r="B24" s="123" t="s">
        <v>290</v>
      </c>
      <c r="C24" s="285">
        <v>117622.84</v>
      </c>
      <c r="D24" s="191">
        <v>42503</v>
      </c>
      <c r="E24" s="36">
        <v>117622.84</v>
      </c>
      <c r="F24" s="127">
        <f t="shared" si="0"/>
        <v>0</v>
      </c>
      <c r="J24" s="3">
        <v>6838.2</v>
      </c>
      <c r="K24" s="123" t="s">
        <v>234</v>
      </c>
      <c r="L24" s="26">
        <v>6838.2</v>
      </c>
      <c r="M24" s="164"/>
      <c r="N24" s="157">
        <v>3281245</v>
      </c>
      <c r="O24" s="158">
        <v>23546</v>
      </c>
      <c r="P24" s="159">
        <v>42471</v>
      </c>
    </row>
    <row r="25" spans="1:16" ht="15.75" x14ac:dyDescent="0.25">
      <c r="A25" s="124">
        <v>42483</v>
      </c>
      <c r="B25" s="123" t="s">
        <v>291</v>
      </c>
      <c r="C25" s="285">
        <v>1680</v>
      </c>
      <c r="D25" s="191">
        <v>42503</v>
      </c>
      <c r="E25" s="36">
        <v>1680</v>
      </c>
      <c r="F25" s="127">
        <f t="shared" si="0"/>
        <v>0</v>
      </c>
      <c r="J25" s="3">
        <f>11045.9+20901</f>
        <v>31946.9</v>
      </c>
      <c r="K25" s="125" t="s">
        <v>235</v>
      </c>
      <c r="L25" s="26">
        <v>31947.200000000001</v>
      </c>
      <c r="M25" s="164"/>
      <c r="N25" s="157" t="s">
        <v>52</v>
      </c>
      <c r="O25" s="158">
        <v>6693.5</v>
      </c>
      <c r="P25" s="159">
        <v>42461</v>
      </c>
    </row>
    <row r="26" spans="1:16" ht="15.75" x14ac:dyDescent="0.25">
      <c r="A26" s="124">
        <v>42485</v>
      </c>
      <c r="B26" s="123" t="s">
        <v>292</v>
      </c>
      <c r="C26" s="285">
        <v>20827.599999999999</v>
      </c>
      <c r="D26" s="191">
        <v>42503</v>
      </c>
      <c r="E26" s="36">
        <v>20827.599999999999</v>
      </c>
      <c r="F26" s="127">
        <f t="shared" si="0"/>
        <v>0</v>
      </c>
      <c r="J26" s="3">
        <f>12500-6000</f>
        <v>6500</v>
      </c>
      <c r="K26" s="125" t="s">
        <v>236</v>
      </c>
      <c r="L26" s="26">
        <v>6497.99</v>
      </c>
      <c r="M26" s="164" t="s">
        <v>60</v>
      </c>
      <c r="N26" s="157" t="s">
        <v>52</v>
      </c>
      <c r="O26" s="158">
        <v>11027</v>
      </c>
      <c r="P26" s="159">
        <v>42471</v>
      </c>
    </row>
    <row r="27" spans="1:16" ht="15.75" x14ac:dyDescent="0.25">
      <c r="A27" s="124">
        <v>42487</v>
      </c>
      <c r="B27" s="123" t="s">
        <v>293</v>
      </c>
      <c r="C27" s="21">
        <v>73389.75</v>
      </c>
      <c r="D27" s="191">
        <v>42503</v>
      </c>
      <c r="E27" s="36">
        <v>73389.75</v>
      </c>
      <c r="F27" s="127">
        <f t="shared" si="0"/>
        <v>0</v>
      </c>
      <c r="J27" s="241">
        <f>SUM(J4:J26)</f>
        <v>776160.57</v>
      </c>
      <c r="K27" s="165"/>
      <c r="L27" s="166"/>
      <c r="M27" s="165"/>
      <c r="N27" s="240" t="s">
        <v>52</v>
      </c>
      <c r="O27" s="215">
        <v>3181</v>
      </c>
      <c r="P27" s="163">
        <v>42459</v>
      </c>
    </row>
    <row r="28" spans="1:16" ht="15.75" x14ac:dyDescent="0.25">
      <c r="A28" s="124">
        <v>42489</v>
      </c>
      <c r="B28" s="123" t="s">
        <v>294</v>
      </c>
      <c r="C28" s="21">
        <v>23067.119999999999</v>
      </c>
      <c r="D28" s="191">
        <v>42503</v>
      </c>
      <c r="E28" s="36">
        <v>23067.119999999999</v>
      </c>
      <c r="F28" s="127">
        <f t="shared" si="0"/>
        <v>0</v>
      </c>
      <c r="K28" s="123"/>
      <c r="L28" s="236">
        <v>0</v>
      </c>
      <c r="M28" s="160"/>
      <c r="N28" s="237" t="s">
        <v>52</v>
      </c>
      <c r="O28" s="238"/>
      <c r="P28" s="239"/>
    </row>
    <row r="29" spans="1:16" ht="15.75" thickBot="1" x14ac:dyDescent="0.3">
      <c r="A29" s="124">
        <v>42489</v>
      </c>
      <c r="B29" s="123" t="s">
        <v>295</v>
      </c>
      <c r="C29" s="21">
        <v>95792.7</v>
      </c>
      <c r="D29" s="191">
        <v>42503</v>
      </c>
      <c r="E29" s="36">
        <v>95792.7</v>
      </c>
      <c r="F29" s="127">
        <f t="shared" si="0"/>
        <v>0</v>
      </c>
      <c r="K29" s="242"/>
      <c r="L29" s="243">
        <v>0</v>
      </c>
      <c r="M29" s="243"/>
      <c r="N29" s="243" t="s">
        <v>52</v>
      </c>
      <c r="O29" s="243"/>
      <c r="P29" s="244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K30" s="196"/>
      <c r="L30" s="26">
        <f>SUM(L4:L29)</f>
        <v>776158.89999999979</v>
      </c>
      <c r="M30" s="43"/>
      <c r="N30" s="219"/>
      <c r="O30" s="220">
        <f>SUM(O4:O29)</f>
        <v>776158.9</v>
      </c>
      <c r="P30" s="218"/>
    </row>
    <row r="31" spans="1:16" x14ac:dyDescent="0.25">
      <c r="A31" s="124"/>
      <c r="B31" s="123"/>
      <c r="C31" s="21"/>
      <c r="D31" s="117"/>
      <c r="E31" s="21"/>
      <c r="F31" s="127">
        <f t="shared" si="0"/>
        <v>0</v>
      </c>
    </row>
    <row r="32" spans="1:16" x14ac:dyDescent="0.25">
      <c r="A32" s="124"/>
      <c r="B32" s="123"/>
      <c r="C32" s="21"/>
      <c r="D32" s="117"/>
      <c r="E32" s="21"/>
      <c r="F32" s="127">
        <f t="shared" si="0"/>
        <v>0</v>
      </c>
    </row>
    <row r="33" spans="1:16" x14ac:dyDescent="0.25">
      <c r="A33" s="124"/>
      <c r="B33" s="123"/>
      <c r="C33" s="21"/>
      <c r="D33" s="121"/>
      <c r="E33" s="36"/>
      <c r="F33" s="127">
        <f t="shared" si="0"/>
        <v>0</v>
      </c>
    </row>
    <row r="34" spans="1:16" ht="15.75" thickBot="1" x14ac:dyDescent="0.3">
      <c r="A34" s="124"/>
      <c r="B34" s="123"/>
      <c r="C34" s="21">
        <v>14582.2</v>
      </c>
      <c r="D34" s="129"/>
      <c r="E34" s="36"/>
      <c r="F34" s="127">
        <v>0</v>
      </c>
    </row>
    <row r="35" spans="1:16" ht="19.5" thickBot="1" x14ac:dyDescent="0.35">
      <c r="A35" s="124"/>
      <c r="B35" s="123"/>
      <c r="C35" s="26"/>
      <c r="D35" s="130"/>
      <c r="E35" s="131"/>
      <c r="F35" s="127">
        <f t="shared" si="0"/>
        <v>0</v>
      </c>
      <c r="L35" s="146" t="s">
        <v>46</v>
      </c>
      <c r="M35" s="147"/>
      <c r="N35" s="148"/>
      <c r="O35" s="267">
        <v>42486</v>
      </c>
      <c r="P35" s="150"/>
    </row>
    <row r="36" spans="1:16" ht="15.75" x14ac:dyDescent="0.25">
      <c r="A36" s="132"/>
      <c r="B36" s="123"/>
      <c r="C36" s="26"/>
      <c r="D36" s="130"/>
      <c r="E36" s="131"/>
      <c r="F36" s="127">
        <f>C36-E36</f>
        <v>0</v>
      </c>
      <c r="K36" s="151"/>
      <c r="L36" s="152"/>
      <c r="M36" s="151"/>
      <c r="N36" s="153"/>
      <c r="O36" s="152"/>
      <c r="P36" s="154"/>
    </row>
    <row r="37" spans="1:16" ht="15.75" x14ac:dyDescent="0.25">
      <c r="A37" s="124"/>
      <c r="B37" s="123"/>
      <c r="C37" s="26"/>
      <c r="D37" s="133"/>
      <c r="E37" s="134"/>
      <c r="F37" s="127">
        <f>C37-E37</f>
        <v>0</v>
      </c>
      <c r="K37" s="155" t="s">
        <v>47</v>
      </c>
      <c r="L37" s="152" t="s">
        <v>48</v>
      </c>
      <c r="M37" s="151"/>
      <c r="N37" s="153" t="s">
        <v>49</v>
      </c>
      <c r="O37" s="152" t="s">
        <v>50</v>
      </c>
      <c r="P37" s="154"/>
    </row>
    <row r="38" spans="1:16" ht="15.75" x14ac:dyDescent="0.25">
      <c r="A38" s="124"/>
      <c r="B38" s="123"/>
      <c r="C38" s="26"/>
      <c r="D38" s="133"/>
      <c r="E38" s="134"/>
      <c r="F38" s="127">
        <f>C38-E38</f>
        <v>0</v>
      </c>
      <c r="J38" s="3">
        <v>26681.360000000001</v>
      </c>
      <c r="K38" s="125" t="s">
        <v>236</v>
      </c>
      <c r="L38" s="26">
        <v>32683.37</v>
      </c>
      <c r="M38" s="156" t="s">
        <v>51</v>
      </c>
      <c r="N38" s="157">
        <v>3281243</v>
      </c>
      <c r="O38" s="158">
        <v>30181</v>
      </c>
      <c r="P38" s="159">
        <v>42472</v>
      </c>
    </row>
    <row r="39" spans="1:16" ht="15.75" x14ac:dyDescent="0.25">
      <c r="A39" s="124"/>
      <c r="B39" s="123"/>
      <c r="C39" s="26"/>
      <c r="D39" s="121"/>
      <c r="E39" s="21"/>
      <c r="F39" s="127">
        <f>C39-E39</f>
        <v>0</v>
      </c>
      <c r="J39" s="3">
        <f>3500+28500+18865</f>
        <v>50865</v>
      </c>
      <c r="K39" s="125" t="s">
        <v>237</v>
      </c>
      <c r="L39" s="26">
        <v>50865</v>
      </c>
      <c r="M39" s="160"/>
      <c r="N39" s="157">
        <v>3281242</v>
      </c>
      <c r="O39" s="158">
        <v>28500</v>
      </c>
      <c r="P39" s="159">
        <v>42473</v>
      </c>
    </row>
    <row r="40" spans="1:16" ht="15.75" x14ac:dyDescent="0.25">
      <c r="A40" s="135"/>
      <c r="B40" s="126"/>
      <c r="C40" s="21"/>
      <c r="D40" s="133"/>
      <c r="E40" s="134"/>
      <c r="F40" s="136">
        <f>C40-E40</f>
        <v>0</v>
      </c>
      <c r="J40" s="3">
        <v>27759</v>
      </c>
      <c r="K40" s="125" t="s">
        <v>238</v>
      </c>
      <c r="L40" s="26">
        <v>27759</v>
      </c>
      <c r="M40" s="160"/>
      <c r="N40" s="157" t="s">
        <v>52</v>
      </c>
      <c r="O40" s="158">
        <v>15796</v>
      </c>
      <c r="P40" s="159">
        <v>42476</v>
      </c>
    </row>
    <row r="41" spans="1:16" ht="15.75" x14ac:dyDescent="0.25">
      <c r="A41" s="137"/>
      <c r="B41" s="128"/>
      <c r="C41" s="26"/>
      <c r="D41" s="138"/>
      <c r="E41" s="26"/>
      <c r="F41" s="136">
        <f t="shared" si="0"/>
        <v>0</v>
      </c>
      <c r="J41" s="3">
        <f>6713.2+15796+26979.64</f>
        <v>49488.84</v>
      </c>
      <c r="K41" s="125" t="s">
        <v>239</v>
      </c>
      <c r="L41" s="26">
        <v>49488.84</v>
      </c>
      <c r="M41" s="161"/>
      <c r="N41" s="157" t="s">
        <v>52</v>
      </c>
      <c r="O41" s="158">
        <v>6713</v>
      </c>
      <c r="P41" s="159">
        <v>42474</v>
      </c>
    </row>
    <row r="42" spans="1:16" ht="15.75" x14ac:dyDescent="0.25">
      <c r="A42" s="137"/>
      <c r="B42" s="128"/>
      <c r="C42" s="26"/>
      <c r="D42" s="138"/>
      <c r="E42" s="26"/>
      <c r="F42" s="136">
        <f t="shared" si="0"/>
        <v>0</v>
      </c>
      <c r="J42" s="3">
        <v>6231.1</v>
      </c>
      <c r="K42" s="123" t="s">
        <v>240</v>
      </c>
      <c r="L42" s="21">
        <v>6231.1</v>
      </c>
      <c r="M42" s="160"/>
      <c r="N42" s="157" t="s">
        <v>52</v>
      </c>
      <c r="O42" s="162">
        <v>6231</v>
      </c>
      <c r="P42" s="163">
        <v>42476</v>
      </c>
    </row>
    <row r="43" spans="1:16" ht="15.75" x14ac:dyDescent="0.25">
      <c r="A43" s="119"/>
      <c r="B43" s="139"/>
      <c r="C43" s="26"/>
      <c r="D43" s="138"/>
      <c r="E43" s="26"/>
      <c r="F43" s="136">
        <f t="shared" si="0"/>
        <v>0</v>
      </c>
      <c r="J43" s="3">
        <f>27500+6322+12500</f>
        <v>46322</v>
      </c>
      <c r="K43" s="123" t="s">
        <v>265</v>
      </c>
      <c r="L43" s="21">
        <v>46322</v>
      </c>
      <c r="M43" s="160"/>
      <c r="N43" s="157" t="s">
        <v>52</v>
      </c>
      <c r="O43" s="162">
        <v>27759</v>
      </c>
      <c r="P43" s="163">
        <v>42476</v>
      </c>
    </row>
    <row r="44" spans="1:16" ht="15.75" x14ac:dyDescent="0.25">
      <c r="A44" s="119"/>
      <c r="B44" s="140"/>
      <c r="C44" s="26"/>
      <c r="D44" s="43"/>
      <c r="E44" s="26"/>
      <c r="F44" s="136">
        <f t="shared" si="0"/>
        <v>0</v>
      </c>
      <c r="J44" s="3">
        <v>28405.3</v>
      </c>
      <c r="K44" s="123" t="s">
        <v>266</v>
      </c>
      <c r="L44" s="21">
        <v>28405.3</v>
      </c>
      <c r="M44" s="160"/>
      <c r="N44" s="157" t="s">
        <v>52</v>
      </c>
      <c r="O44" s="162">
        <v>18865</v>
      </c>
      <c r="P44" s="163">
        <v>42476</v>
      </c>
    </row>
    <row r="45" spans="1:16" ht="15.75" x14ac:dyDescent="0.25">
      <c r="A45" s="119"/>
      <c r="B45" s="140"/>
      <c r="C45" s="26"/>
      <c r="D45" s="43"/>
      <c r="E45" s="26"/>
      <c r="F45" s="136">
        <f t="shared" si="0"/>
        <v>0</v>
      </c>
      <c r="J45" s="3">
        <f>33500+12646.7</f>
        <v>46146.7</v>
      </c>
      <c r="K45" s="123" t="s">
        <v>267</v>
      </c>
      <c r="L45" s="21">
        <v>46146.7</v>
      </c>
      <c r="M45" s="160"/>
      <c r="N45" s="157">
        <v>3281238</v>
      </c>
      <c r="O45" s="162">
        <v>47374.5</v>
      </c>
      <c r="P45" s="163">
        <v>42477</v>
      </c>
    </row>
    <row r="46" spans="1:16" ht="16.5" thickBot="1" x14ac:dyDescent="0.3">
      <c r="B46" s="141"/>
      <c r="C46" s="142">
        <v>0</v>
      </c>
      <c r="D46" s="143"/>
      <c r="E46" s="144">
        <v>0</v>
      </c>
      <c r="F46" s="136">
        <f t="shared" si="0"/>
        <v>0</v>
      </c>
      <c r="J46" s="3">
        <v>4614</v>
      </c>
      <c r="K46" s="123" t="s">
        <v>268</v>
      </c>
      <c r="L46" s="21">
        <v>4614</v>
      </c>
      <c r="M46" s="160"/>
      <c r="N46" s="157">
        <v>3281239</v>
      </c>
      <c r="O46" s="162">
        <v>65094</v>
      </c>
      <c r="P46" s="163">
        <v>42478</v>
      </c>
    </row>
    <row r="47" spans="1:16" ht="16.5" thickTop="1" x14ac:dyDescent="0.25">
      <c r="B47" s="37"/>
      <c r="C47" s="21">
        <f>SUM(C3:C46)</f>
        <v>1160833.7299999997</v>
      </c>
      <c r="D47" s="145"/>
      <c r="E47" s="30">
        <f>SUM(E3:E46)</f>
        <v>1146251.5259999998</v>
      </c>
      <c r="F47" s="30">
        <f>SUM(F3:F46)</f>
        <v>4.0000000008149073E-3</v>
      </c>
      <c r="J47" s="3">
        <f>15000+20000+58332+12000</f>
        <v>105332</v>
      </c>
      <c r="K47" s="123" t="s">
        <v>275</v>
      </c>
      <c r="L47" s="21">
        <v>105331.84</v>
      </c>
      <c r="M47" s="160"/>
      <c r="N47" s="157" t="s">
        <v>52</v>
      </c>
      <c r="O47" s="162">
        <v>27500</v>
      </c>
      <c r="P47" s="163">
        <v>42479</v>
      </c>
    </row>
    <row r="48" spans="1:16" ht="15.75" x14ac:dyDescent="0.25">
      <c r="A48" s="20"/>
      <c r="J48" s="3">
        <v>23456.1</v>
      </c>
      <c r="K48" s="123" t="s">
        <v>276</v>
      </c>
      <c r="L48" s="21">
        <v>23456.1</v>
      </c>
      <c r="M48" s="160"/>
      <c r="N48" s="157" t="s">
        <v>52</v>
      </c>
      <c r="O48" s="162">
        <v>27500</v>
      </c>
      <c r="P48" s="163">
        <v>42481</v>
      </c>
    </row>
    <row r="49" spans="1:16" ht="15.75" x14ac:dyDescent="0.25">
      <c r="A49" s="20"/>
      <c r="C49" s="20"/>
      <c r="E49" s="20"/>
      <c r="F49" s="20"/>
      <c r="J49" s="3">
        <f>15736.2+49000+28000</f>
        <v>92736.2</v>
      </c>
      <c r="K49" s="123" t="s">
        <v>277</v>
      </c>
      <c r="L49" s="21">
        <v>86734.25</v>
      </c>
      <c r="M49" s="232" t="s">
        <v>60</v>
      </c>
      <c r="N49" s="233" t="s">
        <v>52</v>
      </c>
      <c r="O49" s="234">
        <v>20000</v>
      </c>
      <c r="P49" s="235">
        <v>42481</v>
      </c>
    </row>
    <row r="50" spans="1:16" ht="15.75" x14ac:dyDescent="0.25">
      <c r="A50" s="20"/>
      <c r="C50" s="20"/>
      <c r="E50" s="20"/>
      <c r="F50" s="20"/>
      <c r="J50" s="3">
        <v>0</v>
      </c>
      <c r="K50" s="128"/>
      <c r="L50" s="26">
        <v>0</v>
      </c>
      <c r="M50" s="164"/>
      <c r="N50" s="157" t="s">
        <v>52</v>
      </c>
      <c r="O50" s="158">
        <v>58332</v>
      </c>
      <c r="P50" s="159">
        <v>42485</v>
      </c>
    </row>
    <row r="51" spans="1:16" ht="15.75" x14ac:dyDescent="0.25">
      <c r="A51" s="268">
        <v>42461</v>
      </c>
      <c r="B51" s="20" t="s">
        <v>115</v>
      </c>
      <c r="C51" s="30">
        <v>629</v>
      </c>
      <c r="E51" s="20"/>
      <c r="F51" s="20"/>
      <c r="J51" s="3">
        <v>0</v>
      </c>
      <c r="K51" s="123"/>
      <c r="L51" s="21">
        <v>0</v>
      </c>
      <c r="M51" s="164"/>
      <c r="N51" s="157" t="s">
        <v>52</v>
      </c>
      <c r="O51" s="158">
        <v>51192</v>
      </c>
      <c r="P51" s="159">
        <v>42485</v>
      </c>
    </row>
    <row r="52" spans="1:16" ht="15.75" x14ac:dyDescent="0.25">
      <c r="A52" s="268">
        <v>42462</v>
      </c>
      <c r="B52" s="20" t="s">
        <v>256</v>
      </c>
      <c r="C52" s="30">
        <f>720+349.5</f>
        <v>1069.5</v>
      </c>
      <c r="E52" s="20"/>
      <c r="F52" s="20"/>
      <c r="J52" s="3">
        <v>0</v>
      </c>
      <c r="K52" s="123"/>
      <c r="L52" s="21">
        <v>0</v>
      </c>
      <c r="M52" s="164"/>
      <c r="N52" s="157" t="s">
        <v>52</v>
      </c>
      <c r="O52" s="158">
        <v>49000</v>
      </c>
      <c r="P52" s="159">
        <v>42485</v>
      </c>
    </row>
    <row r="53" spans="1:16" ht="15.75" x14ac:dyDescent="0.25">
      <c r="A53" s="268">
        <v>42463</v>
      </c>
      <c r="B53" s="20" t="s">
        <v>257</v>
      </c>
      <c r="C53" s="30">
        <v>774</v>
      </c>
      <c r="E53" s="20"/>
      <c r="F53" s="20"/>
      <c r="G53"/>
      <c r="J53" s="3">
        <v>0</v>
      </c>
      <c r="K53" s="123"/>
      <c r="L53" s="21">
        <v>0</v>
      </c>
      <c r="M53" s="164"/>
      <c r="N53" s="157" t="s">
        <v>52</v>
      </c>
      <c r="O53" s="158">
        <v>28000</v>
      </c>
      <c r="P53" s="159">
        <v>42486</v>
      </c>
    </row>
    <row r="54" spans="1:16" ht="15.75" x14ac:dyDescent="0.25">
      <c r="A54" s="268">
        <v>42464</v>
      </c>
      <c r="B54" s="20" t="s">
        <v>258</v>
      </c>
      <c r="C54" s="30">
        <f>699.5+375.5</f>
        <v>1075</v>
      </c>
      <c r="E54" s="20"/>
      <c r="F54" s="20"/>
      <c r="G54"/>
      <c r="J54" s="3">
        <v>0</v>
      </c>
      <c r="K54" s="123"/>
      <c r="L54" s="21">
        <v>0</v>
      </c>
      <c r="M54" s="164"/>
      <c r="N54" s="157"/>
      <c r="O54" s="158">
        <v>0</v>
      </c>
      <c r="P54" s="159"/>
    </row>
    <row r="55" spans="1:16" ht="16.5" thickBot="1" x14ac:dyDescent="0.3">
      <c r="A55" s="269">
        <v>42467</v>
      </c>
      <c r="B55" s="20" t="s">
        <v>115</v>
      </c>
      <c r="C55" s="30">
        <v>600</v>
      </c>
      <c r="J55" s="3">
        <f>SUM(J38:J54)</f>
        <v>508037.6</v>
      </c>
      <c r="K55" s="202"/>
      <c r="L55" s="142">
        <v>0</v>
      </c>
      <c r="M55" s="277"/>
      <c r="N55" s="204"/>
      <c r="O55" s="278">
        <v>0</v>
      </c>
      <c r="P55" s="279"/>
    </row>
    <row r="56" spans="1:16" ht="16.5" thickTop="1" x14ac:dyDescent="0.25">
      <c r="A56" s="269">
        <v>42468</v>
      </c>
      <c r="B56" s="20" t="s">
        <v>115</v>
      </c>
      <c r="C56" s="30">
        <v>556</v>
      </c>
      <c r="J56" s="3"/>
      <c r="K56" s="196"/>
      <c r="L56" s="26">
        <f>SUM(L38:L55)</f>
        <v>508037.5</v>
      </c>
      <c r="M56" s="43"/>
      <c r="N56" s="198"/>
      <c r="O56" s="270">
        <f>SUM(O38:O55)</f>
        <v>508037.5</v>
      </c>
      <c r="P56" s="271"/>
    </row>
    <row r="57" spans="1:16" ht="15.75" x14ac:dyDescent="0.25">
      <c r="A57" s="269">
        <v>42469</v>
      </c>
      <c r="B57" s="20" t="s">
        <v>261</v>
      </c>
      <c r="C57" s="30">
        <v>720</v>
      </c>
      <c r="J57" s="3"/>
      <c r="K57" s="196"/>
      <c r="L57" s="26"/>
      <c r="M57" s="43"/>
      <c r="N57" s="198"/>
      <c r="O57" s="270"/>
      <c r="P57" s="271"/>
    </row>
    <row r="58" spans="1:16" ht="15.75" x14ac:dyDescent="0.25">
      <c r="A58" s="269">
        <v>42472</v>
      </c>
      <c r="B58" s="20" t="s">
        <v>258</v>
      </c>
      <c r="C58" s="30">
        <v>953</v>
      </c>
      <c r="J58" s="3"/>
      <c r="K58" s="196"/>
      <c r="L58" s="26"/>
      <c r="M58" s="43"/>
      <c r="N58" s="198"/>
      <c r="O58" s="270"/>
      <c r="P58" s="271"/>
    </row>
    <row r="59" spans="1:16" ht="15.75" x14ac:dyDescent="0.25">
      <c r="A59" s="269">
        <v>42474</v>
      </c>
      <c r="B59" s="20" t="s">
        <v>115</v>
      </c>
      <c r="C59" s="30">
        <v>627</v>
      </c>
      <c r="J59" s="3"/>
      <c r="K59" s="272"/>
      <c r="L59" s="26"/>
      <c r="M59" s="43"/>
      <c r="N59" s="198"/>
      <c r="O59" s="270"/>
      <c r="P59" s="271"/>
    </row>
    <row r="60" spans="1:16" ht="15.75" x14ac:dyDescent="0.25">
      <c r="A60" s="269">
        <v>42476</v>
      </c>
      <c r="B60" s="20" t="s">
        <v>258</v>
      </c>
      <c r="C60" s="30">
        <v>980</v>
      </c>
      <c r="J60" s="3"/>
      <c r="K60" s="272"/>
      <c r="L60" s="26"/>
      <c r="M60" s="43"/>
      <c r="N60" s="198"/>
      <c r="O60" s="270"/>
      <c r="P60" s="271"/>
    </row>
    <row r="61" spans="1:16" ht="15.75" x14ac:dyDescent="0.25">
      <c r="A61" s="269">
        <v>42479</v>
      </c>
      <c r="B61" s="20" t="s">
        <v>115</v>
      </c>
      <c r="C61" s="30">
        <v>517.55999999999995</v>
      </c>
      <c r="J61" s="241"/>
      <c r="K61" s="92"/>
      <c r="L61" s="95"/>
      <c r="M61" s="92"/>
      <c r="N61" s="273"/>
      <c r="O61" s="274"/>
      <c r="P61" s="200"/>
    </row>
    <row r="62" spans="1:16" ht="15.75" x14ac:dyDescent="0.25">
      <c r="A62" s="269">
        <v>42480</v>
      </c>
      <c r="B62" s="20" t="s">
        <v>286</v>
      </c>
      <c r="C62" s="30">
        <v>1320</v>
      </c>
      <c r="K62" s="196"/>
      <c r="L62" s="26"/>
      <c r="M62" s="197"/>
      <c r="N62" s="219"/>
      <c r="O62" s="275"/>
      <c r="P62" s="276"/>
    </row>
    <row r="63" spans="1:16" x14ac:dyDescent="0.25">
      <c r="A63" s="269">
        <v>42481</v>
      </c>
      <c r="B63" s="20" t="s">
        <v>258</v>
      </c>
      <c r="C63" s="30">
        <v>1100.5</v>
      </c>
      <c r="K63" s="196"/>
      <c r="L63" s="26"/>
      <c r="M63" s="26"/>
      <c r="N63" s="26"/>
      <c r="O63" s="26"/>
      <c r="P63" s="218"/>
    </row>
    <row r="64" spans="1:16" ht="15.75" x14ac:dyDescent="0.25">
      <c r="A64" s="14">
        <v>42482</v>
      </c>
      <c r="B64" s="20" t="s">
        <v>115</v>
      </c>
      <c r="C64" s="3">
        <v>575</v>
      </c>
      <c r="D64"/>
      <c r="E64" s="20"/>
      <c r="F64" s="20"/>
      <c r="G64"/>
      <c r="K64" s="196"/>
      <c r="L64" s="26"/>
      <c r="M64" s="43"/>
      <c r="N64" s="219"/>
      <c r="O64" s="220"/>
      <c r="P64" s="218"/>
    </row>
    <row r="65" spans="1:3" x14ac:dyDescent="0.25">
      <c r="A65" s="269">
        <v>42485</v>
      </c>
      <c r="B65" s="20" t="s">
        <v>258</v>
      </c>
      <c r="C65" s="30">
        <v>951.64300000000003</v>
      </c>
    </row>
    <row r="66" spans="1:3" x14ac:dyDescent="0.25">
      <c r="A66" s="269">
        <v>42486</v>
      </c>
      <c r="B66" s="20" t="s">
        <v>310</v>
      </c>
      <c r="C66" s="30">
        <v>0</v>
      </c>
    </row>
    <row r="67" spans="1:3" x14ac:dyDescent="0.25">
      <c r="A67" s="269">
        <v>42487</v>
      </c>
      <c r="B67" s="20" t="s">
        <v>115</v>
      </c>
      <c r="C67" s="30">
        <v>620</v>
      </c>
    </row>
    <row r="68" spans="1:3" x14ac:dyDescent="0.25">
      <c r="A68" s="269">
        <v>42488</v>
      </c>
      <c r="B68" s="20" t="s">
        <v>310</v>
      </c>
      <c r="C68" s="30">
        <v>0</v>
      </c>
    </row>
    <row r="69" spans="1:3" x14ac:dyDescent="0.25">
      <c r="A69" s="269">
        <v>42489</v>
      </c>
      <c r="B69" s="20" t="s">
        <v>115</v>
      </c>
      <c r="C69" s="30">
        <v>644</v>
      </c>
    </row>
    <row r="70" spans="1:3" x14ac:dyDescent="0.25">
      <c r="A70" s="269">
        <v>42490</v>
      </c>
      <c r="B70" s="20" t="s">
        <v>115</v>
      </c>
      <c r="C70" s="30">
        <v>870</v>
      </c>
    </row>
    <row r="71" spans="1:3" x14ac:dyDescent="0.25">
      <c r="C71" s="30">
        <f>SUM(C51:C70)</f>
        <v>14582.203</v>
      </c>
    </row>
  </sheetData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57"/>
  <sheetViews>
    <sheetView topLeftCell="A31" workbookViewId="0">
      <selection activeCell="E53" sqref="E5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360" t="s">
        <v>296</v>
      </c>
      <c r="D1" s="360"/>
      <c r="E1" s="360"/>
      <c r="F1" s="360"/>
      <c r="G1" s="360"/>
      <c r="H1" s="360"/>
      <c r="I1" s="360"/>
      <c r="J1" s="360"/>
      <c r="K1" s="360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187283.53</v>
      </c>
      <c r="D4" s="12"/>
      <c r="E4" s="361" t="s">
        <v>3</v>
      </c>
      <c r="F4" s="362"/>
      <c r="I4" s="363" t="s">
        <v>4</v>
      </c>
      <c r="J4" s="364"/>
      <c r="K4" s="364"/>
      <c r="L4" s="364"/>
      <c r="M4" s="13" t="s">
        <v>5</v>
      </c>
    </row>
    <row r="5" spans="1:19" ht="15.75" thickTop="1" x14ac:dyDescent="0.25">
      <c r="A5" s="14"/>
      <c r="B5" s="15">
        <v>42491</v>
      </c>
      <c r="C5" s="16">
        <v>36649.5</v>
      </c>
      <c r="D5" s="17" t="s">
        <v>311</v>
      </c>
      <c r="E5" s="18">
        <v>42491</v>
      </c>
      <c r="F5" s="19">
        <v>40694.81</v>
      </c>
      <c r="G5" s="20"/>
      <c r="H5" s="186">
        <v>42491</v>
      </c>
      <c r="I5" s="187">
        <v>1353.82</v>
      </c>
      <c r="J5" s="176"/>
      <c r="K5" s="188"/>
      <c r="L5" s="189"/>
      <c r="M5" s="190">
        <v>23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42492</v>
      </c>
      <c r="C6" s="16">
        <v>38792.699999999997</v>
      </c>
      <c r="D6" s="22" t="s">
        <v>317</v>
      </c>
      <c r="E6" s="18">
        <v>42492</v>
      </c>
      <c r="F6" s="19">
        <v>39757.599999999999</v>
      </c>
      <c r="G6" s="23"/>
      <c r="H6" s="24">
        <v>42492</v>
      </c>
      <c r="I6" s="25">
        <v>156</v>
      </c>
      <c r="J6" s="26"/>
      <c r="K6" s="27" t="s">
        <v>7</v>
      </c>
      <c r="L6" s="28">
        <v>0</v>
      </c>
      <c r="M6" s="33">
        <v>809</v>
      </c>
      <c r="N6" s="30"/>
      <c r="O6" s="20"/>
      <c r="P6" s="20"/>
      <c r="Q6" s="20"/>
    </row>
    <row r="7" spans="1:19" x14ac:dyDescent="0.25">
      <c r="A7" s="14"/>
      <c r="B7" s="15">
        <v>42493</v>
      </c>
      <c r="C7" s="16">
        <v>40371</v>
      </c>
      <c r="D7" s="17" t="s">
        <v>318</v>
      </c>
      <c r="E7" s="18">
        <v>42493</v>
      </c>
      <c r="F7" s="19">
        <v>38149.440000000002</v>
      </c>
      <c r="G7" s="20"/>
      <c r="H7" s="24">
        <v>42493</v>
      </c>
      <c r="I7" s="25">
        <v>0</v>
      </c>
      <c r="J7" s="26"/>
      <c r="K7" s="31" t="s">
        <v>389</v>
      </c>
      <c r="L7" s="28">
        <v>14472</v>
      </c>
      <c r="M7" s="33">
        <v>136.5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42494</v>
      </c>
      <c r="C8" s="16">
        <v>24232</v>
      </c>
      <c r="D8" s="17" t="s">
        <v>319</v>
      </c>
      <c r="E8" s="18">
        <v>42494</v>
      </c>
      <c r="F8" s="19">
        <v>25815.599999999999</v>
      </c>
      <c r="G8" s="20"/>
      <c r="H8" s="24">
        <v>42494</v>
      </c>
      <c r="I8" s="25">
        <v>0</v>
      </c>
      <c r="J8" s="26"/>
      <c r="K8" s="27" t="s">
        <v>10</v>
      </c>
      <c r="L8" s="32">
        <v>28750</v>
      </c>
      <c r="M8" s="33">
        <v>1483.5</v>
      </c>
      <c r="N8" s="21"/>
      <c r="O8" s="20"/>
      <c r="P8" s="20"/>
      <c r="Q8" s="20"/>
    </row>
    <row r="9" spans="1:19" x14ac:dyDescent="0.25">
      <c r="A9" s="14"/>
      <c r="B9" s="15">
        <v>42495</v>
      </c>
      <c r="C9" s="16">
        <v>0</v>
      </c>
      <c r="D9" s="17"/>
      <c r="E9" s="18">
        <v>42495</v>
      </c>
      <c r="F9" s="19">
        <v>31349.91</v>
      </c>
      <c r="G9" s="20"/>
      <c r="H9" s="24">
        <v>42495</v>
      </c>
      <c r="I9" s="25">
        <v>120</v>
      </c>
      <c r="J9" s="35"/>
      <c r="K9" s="27" t="s">
        <v>312</v>
      </c>
      <c r="L9" s="19">
        <v>11686.5</v>
      </c>
      <c r="M9" s="33">
        <v>31230</v>
      </c>
      <c r="N9" s="21"/>
      <c r="O9" s="37"/>
      <c r="P9" s="20"/>
      <c r="Q9" s="20"/>
    </row>
    <row r="10" spans="1:19" x14ac:dyDescent="0.25">
      <c r="A10" s="14"/>
      <c r="B10" s="15">
        <v>42496</v>
      </c>
      <c r="C10" s="16">
        <v>111139.9</v>
      </c>
      <c r="D10" s="22" t="s">
        <v>322</v>
      </c>
      <c r="E10" s="18">
        <v>42496</v>
      </c>
      <c r="F10" s="19">
        <v>107642.64</v>
      </c>
      <c r="G10" s="20"/>
      <c r="H10" s="24">
        <v>42496</v>
      </c>
      <c r="I10" s="25">
        <v>100</v>
      </c>
      <c r="J10" s="35"/>
      <c r="K10" s="27" t="s">
        <v>313</v>
      </c>
      <c r="L10" s="19">
        <v>11150</v>
      </c>
      <c r="M10" s="33">
        <v>253</v>
      </c>
      <c r="N10" s="21"/>
      <c r="O10" s="20"/>
      <c r="P10" s="20"/>
      <c r="Q10" s="20"/>
    </row>
    <row r="11" spans="1:19" x14ac:dyDescent="0.25">
      <c r="A11" s="14"/>
      <c r="B11" s="15">
        <v>42497</v>
      </c>
      <c r="C11" s="16">
        <v>56175.41</v>
      </c>
      <c r="D11" s="34" t="s">
        <v>324</v>
      </c>
      <c r="E11" s="18">
        <v>42497</v>
      </c>
      <c r="F11" s="19">
        <v>60934.29</v>
      </c>
      <c r="G11" s="20"/>
      <c r="H11" s="24">
        <v>42497</v>
      </c>
      <c r="I11" s="25">
        <v>0</v>
      </c>
      <c r="J11" s="35"/>
      <c r="K11" s="27" t="s">
        <v>314</v>
      </c>
      <c r="L11" s="19">
        <v>11150</v>
      </c>
      <c r="M11" s="33">
        <v>17.5</v>
      </c>
      <c r="N11" s="36"/>
      <c r="O11" s="20"/>
      <c r="P11" s="20"/>
      <c r="Q11" s="20"/>
    </row>
    <row r="12" spans="1:19" x14ac:dyDescent="0.25">
      <c r="A12" s="14"/>
      <c r="B12" s="15">
        <v>42498</v>
      </c>
      <c r="C12" s="16">
        <v>33127</v>
      </c>
      <c r="D12" s="17" t="s">
        <v>327</v>
      </c>
      <c r="E12" s="18">
        <v>42498</v>
      </c>
      <c r="F12" s="19">
        <v>40880.910000000003</v>
      </c>
      <c r="G12" s="20"/>
      <c r="H12" s="24">
        <v>42498</v>
      </c>
      <c r="I12" s="25">
        <v>400</v>
      </c>
      <c r="J12" s="35"/>
      <c r="K12" s="27" t="s">
        <v>315</v>
      </c>
      <c r="L12" s="19">
        <v>11150</v>
      </c>
      <c r="M12" s="33">
        <v>303</v>
      </c>
      <c r="N12" s="21"/>
      <c r="O12" s="37"/>
      <c r="P12" s="38"/>
      <c r="Q12" s="20"/>
    </row>
    <row r="13" spans="1:19" x14ac:dyDescent="0.25">
      <c r="A13" s="14"/>
      <c r="B13" s="15">
        <v>42499</v>
      </c>
      <c r="C13" s="16">
        <v>26669.53</v>
      </c>
      <c r="D13" s="34" t="s">
        <v>328</v>
      </c>
      <c r="E13" s="18">
        <v>42499</v>
      </c>
      <c r="F13" s="19">
        <v>26772.52</v>
      </c>
      <c r="G13" s="20"/>
      <c r="H13" s="24">
        <v>42499</v>
      </c>
      <c r="I13" s="25">
        <v>0</v>
      </c>
      <c r="J13" s="35"/>
      <c r="K13" s="27"/>
      <c r="L13" s="19"/>
      <c r="M13" s="33">
        <v>648</v>
      </c>
      <c r="N13" s="21"/>
      <c r="O13" s="20"/>
      <c r="P13" s="20"/>
      <c r="Q13" s="20"/>
    </row>
    <row r="14" spans="1:19" x14ac:dyDescent="0.25">
      <c r="A14" s="14"/>
      <c r="B14" s="15">
        <v>42500</v>
      </c>
      <c r="C14" s="16">
        <v>50446</v>
      </c>
      <c r="D14" s="17" t="s">
        <v>330</v>
      </c>
      <c r="E14" s="18">
        <v>42500</v>
      </c>
      <c r="F14" s="19">
        <v>51134.03</v>
      </c>
      <c r="G14" s="20"/>
      <c r="H14" s="24">
        <v>42500</v>
      </c>
      <c r="I14" s="25">
        <v>0</v>
      </c>
      <c r="J14" s="35"/>
      <c r="K14" s="40" t="s">
        <v>264</v>
      </c>
      <c r="L14" s="19">
        <v>0</v>
      </c>
      <c r="M14" s="33">
        <v>238</v>
      </c>
      <c r="N14" s="21"/>
      <c r="O14" s="20"/>
      <c r="P14" s="20"/>
      <c r="Q14" s="20"/>
    </row>
    <row r="15" spans="1:19" ht="15.75" x14ac:dyDescent="0.25">
      <c r="A15" s="14"/>
      <c r="B15" s="15">
        <v>42501</v>
      </c>
      <c r="C15" s="16">
        <v>37510</v>
      </c>
      <c r="D15" s="17" t="s">
        <v>336</v>
      </c>
      <c r="E15" s="18">
        <v>42501</v>
      </c>
      <c r="F15" s="19">
        <v>41119.760000000002</v>
      </c>
      <c r="G15" s="20"/>
      <c r="H15" s="24">
        <v>42501</v>
      </c>
      <c r="I15" s="25">
        <v>197.5</v>
      </c>
      <c r="J15" s="35"/>
      <c r="K15" s="226" t="s">
        <v>11</v>
      </c>
      <c r="L15" s="19">
        <v>0</v>
      </c>
      <c r="M15" s="33">
        <v>0</v>
      </c>
      <c r="N15" s="30"/>
      <c r="O15" s="20"/>
      <c r="P15" s="20"/>
      <c r="Q15" s="20"/>
    </row>
    <row r="16" spans="1:19" ht="15.75" x14ac:dyDescent="0.25">
      <c r="A16" s="14"/>
      <c r="B16" s="15">
        <v>42502</v>
      </c>
      <c r="C16" s="16">
        <v>420</v>
      </c>
      <c r="D16" s="17" t="s">
        <v>337</v>
      </c>
      <c r="E16" s="18">
        <v>42502</v>
      </c>
      <c r="F16" s="19">
        <v>34093.839999999997</v>
      </c>
      <c r="G16" s="20"/>
      <c r="H16" s="24">
        <v>42502</v>
      </c>
      <c r="I16" s="25">
        <v>570</v>
      </c>
      <c r="J16" s="35"/>
      <c r="K16" s="251"/>
      <c r="L16" s="42">
        <v>0</v>
      </c>
      <c r="M16" s="33">
        <v>32304</v>
      </c>
      <c r="N16" s="30"/>
      <c r="O16" s="20"/>
      <c r="P16" s="20"/>
      <c r="Q16" s="20"/>
    </row>
    <row r="17" spans="1:18" x14ac:dyDescent="0.25">
      <c r="A17" s="14"/>
      <c r="B17" s="15">
        <v>42503</v>
      </c>
      <c r="C17" s="16">
        <v>58394</v>
      </c>
      <c r="D17" s="17" t="s">
        <v>339</v>
      </c>
      <c r="E17" s="18">
        <v>42503</v>
      </c>
      <c r="F17" s="19">
        <v>63844.72</v>
      </c>
      <c r="G17" s="20"/>
      <c r="H17" s="24">
        <v>42503</v>
      </c>
      <c r="I17" s="25">
        <v>56</v>
      </c>
      <c r="J17" s="35"/>
      <c r="K17" s="265" t="s">
        <v>335</v>
      </c>
      <c r="L17" s="19">
        <v>3412.5</v>
      </c>
      <c r="M17" s="33">
        <v>395</v>
      </c>
      <c r="N17" s="30"/>
      <c r="O17" s="20"/>
      <c r="P17" s="20"/>
      <c r="Q17" s="20"/>
    </row>
    <row r="18" spans="1:18" x14ac:dyDescent="0.25">
      <c r="A18" s="14"/>
      <c r="B18" s="15">
        <v>42504</v>
      </c>
      <c r="C18" s="16">
        <v>58532.62</v>
      </c>
      <c r="D18" s="17" t="s">
        <v>340</v>
      </c>
      <c r="E18" s="18">
        <v>42504</v>
      </c>
      <c r="F18" s="19">
        <v>59279.47</v>
      </c>
      <c r="G18" s="20"/>
      <c r="H18" s="24">
        <v>42504</v>
      </c>
      <c r="I18" s="25">
        <v>717.85</v>
      </c>
      <c r="J18" s="35"/>
      <c r="K18" s="283">
        <v>42501</v>
      </c>
      <c r="L18" s="19">
        <v>0</v>
      </c>
      <c r="M18" s="33">
        <v>28</v>
      </c>
      <c r="N18" s="21"/>
      <c r="O18" s="37"/>
      <c r="P18" s="20"/>
      <c r="Q18" s="20"/>
    </row>
    <row r="19" spans="1:18" x14ac:dyDescent="0.25">
      <c r="A19" s="14"/>
      <c r="B19" s="15">
        <v>42505</v>
      </c>
      <c r="C19" s="16">
        <v>57845.75</v>
      </c>
      <c r="D19" s="17" t="s">
        <v>341</v>
      </c>
      <c r="E19" s="18">
        <v>42505</v>
      </c>
      <c r="F19" s="19">
        <v>65655.78</v>
      </c>
      <c r="G19" s="20"/>
      <c r="H19" s="24">
        <v>42505</v>
      </c>
      <c r="I19" s="25">
        <v>300</v>
      </c>
      <c r="J19" s="35"/>
      <c r="K19" s="43"/>
      <c r="L19" s="44">
        <v>0</v>
      </c>
      <c r="M19" s="33">
        <v>460</v>
      </c>
      <c r="N19" s="21"/>
      <c r="O19" s="20"/>
      <c r="P19" s="20"/>
      <c r="Q19" s="20"/>
    </row>
    <row r="20" spans="1:18" x14ac:dyDescent="0.25">
      <c r="A20" s="14"/>
      <c r="B20" s="15">
        <v>42506</v>
      </c>
      <c r="C20" s="16">
        <v>30753.599999999999</v>
      </c>
      <c r="D20" s="22" t="s">
        <v>342</v>
      </c>
      <c r="E20" s="18">
        <v>42506</v>
      </c>
      <c r="F20" s="19">
        <v>30885.39</v>
      </c>
      <c r="G20" s="20"/>
      <c r="H20" s="24">
        <v>42506</v>
      </c>
      <c r="I20" s="45">
        <v>100</v>
      </c>
      <c r="J20" s="35"/>
      <c r="K20" s="46" t="s">
        <v>14</v>
      </c>
      <c r="L20" s="42">
        <v>0</v>
      </c>
      <c r="M20" s="33">
        <v>32</v>
      </c>
      <c r="N20" s="21"/>
      <c r="O20" s="20"/>
      <c r="P20" s="20"/>
      <c r="Q20" s="20"/>
    </row>
    <row r="21" spans="1:18" x14ac:dyDescent="0.25">
      <c r="A21" s="14"/>
      <c r="B21" s="15">
        <v>42507</v>
      </c>
      <c r="C21" s="16">
        <v>29420</v>
      </c>
      <c r="D21" s="17" t="s">
        <v>346</v>
      </c>
      <c r="E21" s="18">
        <v>42507</v>
      </c>
      <c r="F21" s="19">
        <v>29400.15</v>
      </c>
      <c r="G21" s="20"/>
      <c r="H21" s="24">
        <v>42507</v>
      </c>
      <c r="I21" s="45">
        <v>0</v>
      </c>
      <c r="J21" s="35"/>
      <c r="K21" s="47" t="s">
        <v>15</v>
      </c>
      <c r="L21" s="42">
        <v>0</v>
      </c>
      <c r="M21" s="33">
        <v>281</v>
      </c>
      <c r="N21" s="21"/>
      <c r="O21" s="37"/>
      <c r="P21" s="37"/>
      <c r="Q21" s="37"/>
      <c r="R21" s="37"/>
    </row>
    <row r="22" spans="1:18" x14ac:dyDescent="0.25">
      <c r="A22" s="14"/>
      <c r="B22" s="15">
        <v>42508</v>
      </c>
      <c r="C22" s="16">
        <v>32319.5</v>
      </c>
      <c r="D22" s="17" t="s">
        <v>388</v>
      </c>
      <c r="E22" s="18">
        <v>42508</v>
      </c>
      <c r="F22" s="19">
        <v>31913.78</v>
      </c>
      <c r="G22" s="20"/>
      <c r="H22" s="24">
        <v>42508</v>
      </c>
      <c r="I22" s="45">
        <v>0</v>
      </c>
      <c r="J22" s="48"/>
      <c r="K22" s="49" t="s">
        <v>29</v>
      </c>
      <c r="L22" s="42">
        <v>800</v>
      </c>
      <c r="M22" s="33">
        <v>194.5</v>
      </c>
      <c r="N22" s="30"/>
      <c r="O22" s="20"/>
      <c r="P22" s="20"/>
      <c r="Q22" s="20"/>
    </row>
    <row r="23" spans="1:18" x14ac:dyDescent="0.25">
      <c r="A23" s="14"/>
      <c r="B23" s="15">
        <v>42509</v>
      </c>
      <c r="C23" s="16">
        <v>30005</v>
      </c>
      <c r="D23" s="259" t="s">
        <v>347</v>
      </c>
      <c r="E23" s="18">
        <v>42509</v>
      </c>
      <c r="F23" s="19">
        <v>30003.83</v>
      </c>
      <c r="G23" s="20"/>
      <c r="H23" s="24">
        <v>42509</v>
      </c>
      <c r="I23" s="45">
        <v>0</v>
      </c>
      <c r="J23" s="26"/>
      <c r="K23" s="50">
        <v>42502</v>
      </c>
      <c r="L23" s="42">
        <v>0</v>
      </c>
      <c r="M23" s="33">
        <v>0</v>
      </c>
      <c r="N23" s="30"/>
      <c r="O23" s="20"/>
      <c r="P23" s="20"/>
      <c r="Q23" s="20"/>
    </row>
    <row r="24" spans="1:18" x14ac:dyDescent="0.25">
      <c r="A24" s="14"/>
      <c r="B24" s="15">
        <v>42510</v>
      </c>
      <c r="C24" s="16">
        <v>61991.4</v>
      </c>
      <c r="D24" s="17" t="s">
        <v>355</v>
      </c>
      <c r="E24" s="18">
        <v>42510</v>
      </c>
      <c r="F24" s="19">
        <v>64201.47</v>
      </c>
      <c r="G24" s="20"/>
      <c r="H24" s="24">
        <v>42510</v>
      </c>
      <c r="I24" s="45">
        <v>100</v>
      </c>
      <c r="J24" s="35"/>
      <c r="K24" s="51" t="s">
        <v>270</v>
      </c>
      <c r="L24" s="42">
        <v>0</v>
      </c>
      <c r="M24" s="33">
        <v>110</v>
      </c>
      <c r="N24" s="30"/>
      <c r="O24" s="20"/>
      <c r="P24" s="20"/>
      <c r="Q24" s="20"/>
    </row>
    <row r="25" spans="1:18" x14ac:dyDescent="0.25">
      <c r="A25" s="14"/>
      <c r="B25" s="15">
        <v>42511</v>
      </c>
      <c r="C25" s="16">
        <v>56240</v>
      </c>
      <c r="D25" s="17" t="s">
        <v>356</v>
      </c>
      <c r="E25" s="18">
        <v>42511</v>
      </c>
      <c r="F25" s="19">
        <v>56967.15</v>
      </c>
      <c r="G25" s="20"/>
      <c r="H25" s="24">
        <v>42511</v>
      </c>
      <c r="I25" s="45">
        <v>572</v>
      </c>
      <c r="J25" s="26"/>
      <c r="K25" s="50"/>
      <c r="L25" s="42">
        <v>0</v>
      </c>
      <c r="M25" s="33">
        <v>155</v>
      </c>
      <c r="N25" s="21"/>
      <c r="O25" s="20"/>
      <c r="P25" s="20"/>
      <c r="Q25" s="20"/>
    </row>
    <row r="26" spans="1:18" x14ac:dyDescent="0.25">
      <c r="A26" s="14"/>
      <c r="B26" s="15">
        <v>42512</v>
      </c>
      <c r="C26" s="16">
        <v>40795</v>
      </c>
      <c r="D26" s="17" t="s">
        <v>355</v>
      </c>
      <c r="E26" s="18">
        <v>42512</v>
      </c>
      <c r="F26" s="19">
        <v>48675.93</v>
      </c>
      <c r="G26" s="20"/>
      <c r="H26" s="24">
        <v>42512</v>
      </c>
      <c r="I26" s="45">
        <v>400</v>
      </c>
      <c r="J26" s="52"/>
      <c r="K26" s="50"/>
      <c r="L26" s="42">
        <v>0</v>
      </c>
      <c r="M26" s="33">
        <v>431</v>
      </c>
      <c r="N26" s="21"/>
      <c r="O26" s="37"/>
      <c r="P26" s="38"/>
      <c r="Q26" s="20"/>
    </row>
    <row r="27" spans="1:18" x14ac:dyDescent="0.25">
      <c r="A27" s="14"/>
      <c r="B27" s="15">
        <v>42513</v>
      </c>
      <c r="C27" s="16">
        <v>29027.8</v>
      </c>
      <c r="D27" s="17" t="s">
        <v>358</v>
      </c>
      <c r="E27" s="18">
        <v>42513</v>
      </c>
      <c r="F27" s="19">
        <v>29330.9</v>
      </c>
      <c r="G27" s="20"/>
      <c r="H27" s="24">
        <v>42513</v>
      </c>
      <c r="I27" s="45">
        <v>0</v>
      </c>
      <c r="J27" s="26"/>
      <c r="K27" s="53" t="s">
        <v>323</v>
      </c>
      <c r="L27" s="42">
        <v>7000</v>
      </c>
      <c r="M27" s="33">
        <v>303</v>
      </c>
      <c r="N27" s="21"/>
      <c r="O27" s="20"/>
      <c r="P27" s="20"/>
      <c r="Q27" s="20"/>
    </row>
    <row r="28" spans="1:18" x14ac:dyDescent="0.25">
      <c r="A28" s="14"/>
      <c r="B28" s="15">
        <v>42514</v>
      </c>
      <c r="C28" s="16">
        <v>39192.6</v>
      </c>
      <c r="D28" s="17" t="s">
        <v>359</v>
      </c>
      <c r="E28" s="18">
        <v>42514</v>
      </c>
      <c r="F28" s="19">
        <v>41507.79</v>
      </c>
      <c r="G28" s="20"/>
      <c r="H28" s="24">
        <v>42514</v>
      </c>
      <c r="I28" s="45">
        <v>230</v>
      </c>
      <c r="J28" s="26"/>
      <c r="K28" s="54" t="s">
        <v>329</v>
      </c>
      <c r="L28" s="42">
        <v>1250</v>
      </c>
      <c r="M28" s="33">
        <v>85</v>
      </c>
      <c r="N28" s="30"/>
      <c r="O28" s="20"/>
      <c r="P28" s="20"/>
      <c r="Q28" s="20"/>
    </row>
    <row r="29" spans="1:18" x14ac:dyDescent="0.25">
      <c r="A29" s="14"/>
      <c r="B29" s="15">
        <v>42515</v>
      </c>
      <c r="C29" s="16">
        <v>29075</v>
      </c>
      <c r="D29" s="17" t="s">
        <v>361</v>
      </c>
      <c r="E29" s="18">
        <v>42515</v>
      </c>
      <c r="F29" s="19">
        <v>29143.72</v>
      </c>
      <c r="G29" s="20"/>
      <c r="H29" s="24">
        <v>42515</v>
      </c>
      <c r="I29" s="45">
        <v>56</v>
      </c>
      <c r="J29" s="26"/>
      <c r="K29" s="55" t="s">
        <v>338</v>
      </c>
      <c r="L29" s="42">
        <v>5000</v>
      </c>
      <c r="M29" s="33">
        <v>13</v>
      </c>
      <c r="N29" s="30"/>
      <c r="O29" s="20"/>
      <c r="P29" s="20"/>
      <c r="Q29" s="20"/>
    </row>
    <row r="30" spans="1:18" x14ac:dyDescent="0.25">
      <c r="A30" s="14"/>
      <c r="B30" s="15">
        <v>42516</v>
      </c>
      <c r="C30" s="16">
        <v>27795.42</v>
      </c>
      <c r="D30" s="17" t="s">
        <v>362</v>
      </c>
      <c r="E30" s="18">
        <v>42516</v>
      </c>
      <c r="F30" s="19">
        <v>29156.16</v>
      </c>
      <c r="G30" s="20"/>
      <c r="H30" s="24">
        <v>42516</v>
      </c>
      <c r="I30" s="45">
        <v>645.74</v>
      </c>
      <c r="J30" s="52"/>
      <c r="K30" s="54" t="s">
        <v>360</v>
      </c>
      <c r="L30" s="42">
        <v>2000</v>
      </c>
      <c r="M30" s="33">
        <v>715</v>
      </c>
      <c r="N30" s="30"/>
      <c r="O30" s="20"/>
      <c r="P30" s="20"/>
      <c r="Q30" s="20"/>
    </row>
    <row r="31" spans="1:18" x14ac:dyDescent="0.25">
      <c r="A31" s="14"/>
      <c r="B31" s="15">
        <v>42517</v>
      </c>
      <c r="C31" s="16">
        <v>85447.81</v>
      </c>
      <c r="D31" s="17" t="s">
        <v>380</v>
      </c>
      <c r="E31" s="18">
        <v>42517</v>
      </c>
      <c r="F31" s="19">
        <v>85464.56</v>
      </c>
      <c r="G31" s="20"/>
      <c r="H31" s="24">
        <v>42517</v>
      </c>
      <c r="I31" s="45">
        <v>0</v>
      </c>
      <c r="J31" s="35"/>
      <c r="K31" s="53" t="s">
        <v>354</v>
      </c>
      <c r="L31" s="297">
        <v>2000</v>
      </c>
      <c r="M31" s="291">
        <v>16.5</v>
      </c>
      <c r="N31" s="21"/>
      <c r="O31" s="20"/>
      <c r="P31" s="20"/>
      <c r="Q31" s="20"/>
    </row>
    <row r="32" spans="1:18" x14ac:dyDescent="0.25">
      <c r="A32" s="14"/>
      <c r="B32" s="15">
        <v>42518</v>
      </c>
      <c r="C32" s="16">
        <v>67687</v>
      </c>
      <c r="D32" s="17" t="s">
        <v>381</v>
      </c>
      <c r="E32" s="18">
        <v>42518</v>
      </c>
      <c r="F32" s="19">
        <v>67839.960000000006</v>
      </c>
      <c r="G32" s="20"/>
      <c r="H32" s="24">
        <v>42518</v>
      </c>
      <c r="I32" s="45">
        <v>100</v>
      </c>
      <c r="J32" s="26"/>
      <c r="K32" s="43"/>
      <c r="L32" s="292">
        <v>0</v>
      </c>
      <c r="M32" s="291">
        <v>53</v>
      </c>
      <c r="N32" s="30"/>
      <c r="O32" s="20"/>
      <c r="P32" s="20"/>
      <c r="Q32" s="20"/>
    </row>
    <row r="33" spans="1:17" ht="15" customHeight="1" x14ac:dyDescent="0.25">
      <c r="A33" s="14"/>
      <c r="B33" s="15">
        <v>42519</v>
      </c>
      <c r="C33" s="16">
        <v>33062</v>
      </c>
      <c r="D33" s="17" t="s">
        <v>382</v>
      </c>
      <c r="E33" s="18">
        <v>42519</v>
      </c>
      <c r="F33" s="19">
        <v>40843.93</v>
      </c>
      <c r="G33" s="20"/>
      <c r="H33" s="24">
        <v>42519</v>
      </c>
      <c r="I33" s="45">
        <v>700</v>
      </c>
      <c r="J33" s="26"/>
      <c r="K33" s="293"/>
      <c r="L33" s="296">
        <v>0</v>
      </c>
      <c r="M33" s="33">
        <v>32</v>
      </c>
      <c r="N33" s="21"/>
      <c r="O33" s="20"/>
      <c r="P33" s="20"/>
      <c r="Q33" s="20"/>
    </row>
    <row r="34" spans="1:17" ht="15" customHeight="1" x14ac:dyDescent="0.25">
      <c r="A34" s="14"/>
      <c r="B34" s="15">
        <v>42520</v>
      </c>
      <c r="C34" s="16">
        <v>46494.44</v>
      </c>
      <c r="D34" s="17" t="s">
        <v>383</v>
      </c>
      <c r="E34" s="18">
        <v>42520</v>
      </c>
      <c r="F34" s="19">
        <v>46799.44</v>
      </c>
      <c r="G34" s="20"/>
      <c r="H34" s="24">
        <v>42520</v>
      </c>
      <c r="I34" s="45">
        <v>100</v>
      </c>
      <c r="J34" s="26"/>
      <c r="K34" s="293"/>
      <c r="L34" s="296">
        <v>0</v>
      </c>
      <c r="M34" s="33">
        <v>205</v>
      </c>
      <c r="N34" s="21"/>
      <c r="O34" s="20"/>
    </row>
    <row r="35" spans="1:17" ht="15.75" thickBot="1" x14ac:dyDescent="0.3">
      <c r="A35" s="14"/>
      <c r="B35" s="15">
        <v>42521</v>
      </c>
      <c r="C35" s="16">
        <v>21084</v>
      </c>
      <c r="D35" s="17" t="s">
        <v>384</v>
      </c>
      <c r="E35" s="18">
        <v>42521</v>
      </c>
      <c r="F35" s="19">
        <v>35899.79</v>
      </c>
      <c r="G35" s="20"/>
      <c r="H35" s="24">
        <v>42521</v>
      </c>
      <c r="I35" s="45">
        <v>244.2</v>
      </c>
      <c r="J35" s="26"/>
      <c r="K35" s="60"/>
      <c r="L35" s="294">
        <v>0</v>
      </c>
      <c r="M35" s="33">
        <v>99.5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294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295"/>
      <c r="M37" s="81">
        <f>SUM(M5:M36)</f>
        <v>71054</v>
      </c>
    </row>
    <row r="38" spans="1:17" x14ac:dyDescent="0.25">
      <c r="B38" s="82" t="s">
        <v>16</v>
      </c>
      <c r="C38" s="83">
        <f>SUM(C5:C37)</f>
        <v>1290695.98</v>
      </c>
      <c r="E38" s="280" t="s">
        <v>16</v>
      </c>
      <c r="F38" s="85">
        <f>SUM(F5:F37)</f>
        <v>1425159.2699999998</v>
      </c>
      <c r="H38" s="5" t="s">
        <v>16</v>
      </c>
      <c r="I38" s="86">
        <f>SUM(I5:I37)</f>
        <v>7219.11</v>
      </c>
      <c r="J38" s="86"/>
      <c r="K38" s="87" t="s">
        <v>16</v>
      </c>
      <c r="L38" s="88">
        <f>SUM(L5:L37)</f>
        <v>109821</v>
      </c>
    </row>
    <row r="40" spans="1:17" ht="15.75" x14ac:dyDescent="0.25">
      <c r="A40" s="89"/>
      <c r="B40" s="90"/>
      <c r="C40" s="26"/>
      <c r="D40" s="91"/>
      <c r="E40" s="92"/>
      <c r="F40" s="67"/>
      <c r="H40" s="356" t="s">
        <v>17</v>
      </c>
      <c r="I40" s="357"/>
      <c r="J40" s="282"/>
      <c r="K40" s="358">
        <f>I38+L38</f>
        <v>117040.11</v>
      </c>
      <c r="L40" s="359"/>
    </row>
    <row r="41" spans="1:17" ht="15.75" x14ac:dyDescent="0.25">
      <c r="B41" s="94"/>
      <c r="C41" s="67"/>
      <c r="D41" s="343" t="s">
        <v>18</v>
      </c>
      <c r="E41" s="343"/>
      <c r="F41" s="95">
        <f>F38-K40</f>
        <v>1308119.1599999997</v>
      </c>
      <c r="I41" s="96"/>
      <c r="J41" s="96"/>
    </row>
    <row r="42" spans="1:17" ht="15.75" x14ac:dyDescent="0.25">
      <c r="D42" s="344" t="s">
        <v>193</v>
      </c>
      <c r="E42" s="344"/>
      <c r="F42" s="95">
        <v>-1394172.1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-86052.94000000041</v>
      </c>
      <c r="I44" s="345" t="s">
        <v>22</v>
      </c>
      <c r="J44" s="346"/>
      <c r="K44" s="349">
        <f>F48+L46</f>
        <v>169588.46999999956</v>
      </c>
      <c r="L44" s="350"/>
    </row>
    <row r="45" spans="1:17" ht="15.75" thickBot="1" x14ac:dyDescent="0.3">
      <c r="D45" s="100" t="s">
        <v>23</v>
      </c>
      <c r="E45" s="89" t="s">
        <v>24</v>
      </c>
      <c r="F45" s="86">
        <v>24176.33</v>
      </c>
      <c r="I45" s="347"/>
      <c r="J45" s="348"/>
      <c r="K45" s="351"/>
      <c r="L45" s="352"/>
    </row>
    <row r="46" spans="1:17" ht="17.25" thickTop="1" thickBot="1" x14ac:dyDescent="0.3">
      <c r="C46" s="85"/>
      <c r="D46" s="353" t="s">
        <v>25</v>
      </c>
      <c r="E46" s="353"/>
      <c r="F46" s="101">
        <v>231465.08</v>
      </c>
      <c r="I46" s="354"/>
      <c r="J46" s="354"/>
      <c r="K46" s="355"/>
      <c r="L46" s="102"/>
    </row>
    <row r="47" spans="1:17" ht="19.5" thickBot="1" x14ac:dyDescent="0.35">
      <c r="C47" s="85"/>
      <c r="D47" s="280"/>
      <c r="E47" s="280"/>
      <c r="F47" s="103"/>
      <c r="H47" s="104"/>
      <c r="I47" s="281" t="s">
        <v>26</v>
      </c>
      <c r="J47" s="281"/>
      <c r="K47" s="336">
        <f>-C4</f>
        <v>-187283.53</v>
      </c>
      <c r="L47" s="337"/>
    </row>
    <row r="48" spans="1:17" ht="17.25" thickTop="1" thickBot="1" x14ac:dyDescent="0.3">
      <c r="E48" s="106" t="s">
        <v>27</v>
      </c>
      <c r="F48" s="107">
        <f>F44+F45+F46</f>
        <v>169588.46999999956</v>
      </c>
    </row>
    <row r="49" spans="2:14" ht="19.5" thickBot="1" x14ac:dyDescent="0.35">
      <c r="B49"/>
      <c r="C49"/>
      <c r="D49" s="338"/>
      <c r="E49" s="338"/>
      <c r="F49" s="67"/>
      <c r="I49" s="339" t="s">
        <v>390</v>
      </c>
      <c r="J49" s="340"/>
      <c r="K49" s="341">
        <f>K44+K47</f>
        <v>-17695.060000000434</v>
      </c>
      <c r="L49" s="342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ENERO 2016</vt:lpstr>
      <vt:lpstr>REMISIONES ENERO 2016</vt:lpstr>
      <vt:lpstr>FEBRERO 2016</vt:lpstr>
      <vt:lpstr>Remisiones  Febrero 2016</vt:lpstr>
      <vt:lpstr>MARZO 2016</vt:lpstr>
      <vt:lpstr>REMISIONES MARZO 2016</vt:lpstr>
      <vt:lpstr>A B R I L  2016</vt:lpstr>
      <vt:lpstr>REMISIONES  ABRIL  2016</vt:lpstr>
      <vt:lpstr>M A Y O     2016</vt:lpstr>
      <vt:lpstr>REMISIONES MAYO 2016 </vt:lpstr>
      <vt:lpstr>J U N I O   2016</vt:lpstr>
      <vt:lpstr>REMISIONES J U N I O   2016</vt:lpstr>
      <vt:lpstr>J U L I O    2016</vt:lpstr>
      <vt:lpstr>REMISIONES JULIO  2016</vt:lpstr>
      <vt:lpstr>Hoja2</vt:lpstr>
      <vt:lpstr>Hoja1</vt:lpstr>
      <vt:lpstr>Hoja8</vt:lpstr>
      <vt:lpstr>PRESTAMOS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2016-07-30T19:18:54Z</cp:lastPrinted>
  <dcterms:created xsi:type="dcterms:W3CDTF">2016-01-05T21:47:31Z</dcterms:created>
  <dcterms:modified xsi:type="dcterms:W3CDTF">2016-08-02T16:24:35Z</dcterms:modified>
</cp:coreProperties>
</file>