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85" windowWidth="23715" windowHeight="9795" firstSheet="9" activeTab="13"/>
  </bookViews>
  <sheets>
    <sheet name="E N E R O    2016  " sheetId="1" r:id="rId1"/>
    <sheet name="REMISIONES  ENERO  2 0 1 6 " sheetId="2" r:id="rId2"/>
    <sheet name="FEBRERO  2016" sheetId="3" r:id="rId3"/>
    <sheet name="REMISONES FEBRERO 2016" sheetId="4" r:id="rId4"/>
    <sheet name="MARZO 2016" sheetId="5" r:id="rId5"/>
    <sheet name="REMISIONES MARZO 2016" sheetId="6" r:id="rId6"/>
    <sheet name="A B R I L  2016" sheetId="7" r:id="rId7"/>
    <sheet name="REMISIONES  ABRIL  2016" sheetId="8" r:id="rId8"/>
    <sheet name="M A Y O    2016  " sheetId="9" r:id="rId9"/>
    <sheet name="REMISIONES MAYO 2016  " sheetId="10" r:id="rId10"/>
    <sheet name="J U N I O  2016" sheetId="11" r:id="rId11"/>
    <sheet name="REMISIONES JUNIO 2016    " sheetId="12" r:id="rId12"/>
    <sheet name="J U L I O    2016 " sheetId="13" r:id="rId13"/>
    <sheet name="REMISIONES  J U L I O  2016" sheetId="14" r:id="rId14"/>
    <sheet name="Hoja9" sheetId="15" r:id="rId15"/>
    <sheet name="Hoja1" sheetId="16" r:id="rId16"/>
    <sheet name="Hoja2" sheetId="17" r:id="rId17"/>
    <sheet name="Hoja3" sheetId="18" r:id="rId18"/>
    <sheet name="Hoja5" sheetId="19" r:id="rId19"/>
    <sheet name="Hoja6" sheetId="20" r:id="rId20"/>
    <sheet name="Hoja7" sheetId="21" r:id="rId21"/>
    <sheet name="Hoja10" sheetId="22" r:id="rId22"/>
    <sheet name="Hoja11" sheetId="23" r:id="rId23"/>
  </sheets>
  <calcPr calcId="144525"/>
</workbook>
</file>

<file path=xl/calcChain.xml><?xml version="1.0" encoding="utf-8"?>
<calcChain xmlns="http://schemas.openxmlformats.org/spreadsheetml/2006/main">
  <c r="F17" i="14" l="1"/>
  <c r="V24" i="14"/>
  <c r="X24" i="14"/>
  <c r="AA24" i="14"/>
  <c r="V11" i="14"/>
  <c r="V9" i="14"/>
  <c r="Z7" i="13"/>
  <c r="K7" i="13"/>
  <c r="K44" i="13"/>
  <c r="L37" i="13"/>
  <c r="I37" i="13"/>
  <c r="F37" i="13"/>
  <c r="C37" i="13"/>
  <c r="K37" i="13"/>
  <c r="V7" i="14"/>
  <c r="V6" i="14"/>
  <c r="V5" i="14"/>
  <c r="J39" i="13" l="1"/>
  <c r="F40" i="13" s="1"/>
  <c r="F43" i="13" s="1"/>
  <c r="F45" i="13" s="1"/>
  <c r="K43" i="13" s="1"/>
  <c r="K45" i="13" s="1"/>
  <c r="V36" i="14"/>
  <c r="F14" i="14" l="1"/>
  <c r="L51" i="14" l="1"/>
  <c r="L48" i="14"/>
  <c r="L50" i="14"/>
  <c r="Q80" i="14" l="1"/>
  <c r="N80" i="14"/>
  <c r="L80" i="14"/>
  <c r="Z44" i="13" l="1"/>
  <c r="AA37" i="13"/>
  <c r="X37" i="13"/>
  <c r="U37" i="13"/>
  <c r="R37" i="13"/>
  <c r="Z37" i="13"/>
  <c r="Y39" i="13" l="1"/>
  <c r="U40" i="13" s="1"/>
  <c r="U43" i="13" s="1"/>
  <c r="U45" i="13" s="1"/>
  <c r="Z43" i="13" s="1"/>
  <c r="Z45" i="13" s="1"/>
  <c r="F26" i="12"/>
  <c r="L19" i="14"/>
  <c r="G36" i="14"/>
  <c r="G37" i="14"/>
  <c r="G38" i="14"/>
  <c r="G39" i="14"/>
  <c r="G40" i="14"/>
  <c r="G41" i="14"/>
  <c r="G4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L18" i="14"/>
  <c r="L17" i="14"/>
  <c r="L16" i="14"/>
  <c r="L14" i="14"/>
  <c r="L11" i="14"/>
  <c r="L7" i="14" l="1"/>
  <c r="L4" i="14" l="1"/>
  <c r="K7" i="11"/>
  <c r="AO7" i="13"/>
  <c r="D54" i="12" l="1"/>
  <c r="Q42" i="14" l="1"/>
  <c r="N42" i="14"/>
  <c r="L42" i="14"/>
  <c r="K44" i="11"/>
  <c r="L37" i="11"/>
  <c r="I37" i="11"/>
  <c r="F37" i="11"/>
  <c r="C37" i="11"/>
  <c r="K37" i="11"/>
  <c r="J39" i="11" l="1"/>
  <c r="F40" i="11" s="1"/>
  <c r="F43" i="11" s="1"/>
  <c r="F45" i="11" s="1"/>
  <c r="K43" i="11" s="1"/>
  <c r="K45" i="11" s="1"/>
  <c r="D56" i="14" l="1"/>
  <c r="D44" i="14"/>
  <c r="G4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F44" i="14"/>
  <c r="G6" i="14"/>
  <c r="G5" i="14"/>
  <c r="G4" i="14"/>
  <c r="AO44" i="13"/>
  <c r="AP37" i="13"/>
  <c r="AM37" i="13"/>
  <c r="AJ37" i="13"/>
  <c r="AG37" i="13"/>
  <c r="AO37" i="13"/>
  <c r="G7" i="14" l="1"/>
  <c r="G44" i="14" s="1"/>
  <c r="AN39" i="13"/>
  <c r="AJ40" i="13" s="1"/>
  <c r="AJ43" i="13" s="1"/>
  <c r="AJ45" i="13" s="1"/>
  <c r="AO43" i="13" s="1"/>
  <c r="AO45" i="13" s="1"/>
  <c r="F11" i="12"/>
  <c r="L84" i="12"/>
  <c r="L83" i="12"/>
  <c r="L81" i="12"/>
  <c r="L79" i="12"/>
  <c r="L78" i="12"/>
  <c r="L77" i="12"/>
  <c r="Q109" i="12"/>
  <c r="N109" i="12"/>
  <c r="L109" i="12"/>
  <c r="Z7" i="11" l="1"/>
  <c r="F7" i="12" l="1"/>
  <c r="Q67" i="12"/>
  <c r="L50" i="12" l="1"/>
  <c r="L49" i="12"/>
  <c r="Z44" i="11" l="1"/>
  <c r="AA37" i="11"/>
  <c r="X37" i="11"/>
  <c r="U37" i="11"/>
  <c r="R37" i="11"/>
  <c r="Z37" i="11"/>
  <c r="AO44" i="11"/>
  <c r="BD43" i="11"/>
  <c r="BD45" i="11"/>
  <c r="AQ17" i="11"/>
  <c r="AQ16" i="11"/>
  <c r="Y39" i="11" l="1"/>
  <c r="U40" i="11" s="1"/>
  <c r="U43" i="11" s="1"/>
  <c r="U45" i="11" s="1"/>
  <c r="Z43" i="11" s="1"/>
  <c r="Z45" i="11" s="1"/>
  <c r="AQ15" i="11" l="1"/>
  <c r="AQ14" i="11" l="1"/>
  <c r="AQ13" i="11"/>
  <c r="L46" i="12"/>
  <c r="N67" i="12"/>
  <c r="L67" i="12"/>
  <c r="AQ11" i="11"/>
  <c r="AO7" i="11"/>
  <c r="F16" i="10" l="1"/>
  <c r="Q37" i="12"/>
  <c r="L14" i="12"/>
  <c r="L9" i="12"/>
  <c r="G28" i="12"/>
  <c r="G29" i="12"/>
  <c r="G30" i="12"/>
  <c r="G31" i="12"/>
  <c r="G32" i="12"/>
  <c r="G33" i="12"/>
  <c r="G34" i="12"/>
  <c r="G35" i="12"/>
  <c r="AP37" i="11" l="1"/>
  <c r="AM37" i="11"/>
  <c r="AJ37" i="11"/>
  <c r="AG37" i="11"/>
  <c r="AO37" i="11"/>
  <c r="AN39" i="11" s="1"/>
  <c r="AJ40" i="11" s="1"/>
  <c r="AJ43" i="11" s="1"/>
  <c r="AJ45" i="11" s="1"/>
  <c r="AO43" i="11" s="1"/>
  <c r="AO45" i="11" s="1"/>
  <c r="L10" i="12" l="1"/>
  <c r="G22" i="12"/>
  <c r="G23" i="12"/>
  <c r="G24" i="12"/>
  <c r="G25" i="12"/>
  <c r="G26" i="12"/>
  <c r="G27" i="12"/>
  <c r="G36" i="12"/>
  <c r="L4" i="12"/>
  <c r="K7" i="9"/>
  <c r="BD7" i="11"/>
  <c r="L7" i="12" l="1"/>
  <c r="L5" i="12"/>
  <c r="N37" i="12" l="1"/>
  <c r="L37" i="12"/>
  <c r="D40" i="12" l="1"/>
  <c r="G39" i="12"/>
  <c r="G38" i="12"/>
  <c r="G37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F40" i="12"/>
  <c r="G4" i="12"/>
  <c r="BD44" i="11"/>
  <c r="BE37" i="11"/>
  <c r="BB37" i="11"/>
  <c r="AY37" i="11"/>
  <c r="AV37" i="11"/>
  <c r="BD37" i="11"/>
  <c r="G5" i="12" l="1"/>
  <c r="G40" i="12" s="1"/>
  <c r="BC39" i="11"/>
  <c r="AY40" i="11" s="1"/>
  <c r="AY43" i="11" s="1"/>
  <c r="AY45" i="11" s="1"/>
  <c r="F8" i="10"/>
  <c r="L87" i="10" l="1"/>
  <c r="L84" i="10"/>
  <c r="K44" i="9"/>
  <c r="L37" i="9"/>
  <c r="I37" i="9"/>
  <c r="F37" i="9"/>
  <c r="C37" i="9"/>
  <c r="K37" i="9"/>
  <c r="J39" i="9" l="1"/>
  <c r="F40" i="9" s="1"/>
  <c r="F43" i="9" s="1"/>
  <c r="F45" i="9" s="1"/>
  <c r="K43" i="9" s="1"/>
  <c r="K45" i="9" s="1"/>
  <c r="L81" i="10" l="1"/>
  <c r="Y7" i="9"/>
  <c r="Y44" i="9"/>
  <c r="Z37" i="9"/>
  <c r="W37" i="9"/>
  <c r="T37" i="9"/>
  <c r="Q37" i="9"/>
  <c r="Y37" i="9"/>
  <c r="AM7" i="9"/>
  <c r="Q109" i="10"/>
  <c r="N109" i="10"/>
  <c r="L109" i="10"/>
  <c r="X39" i="9" l="1"/>
  <c r="T40" i="9" s="1"/>
  <c r="T43" i="9" s="1"/>
  <c r="T45" i="9" s="1"/>
  <c r="Y43" i="9" s="1"/>
  <c r="Y45" i="9" s="1"/>
  <c r="F5" i="10" l="1"/>
  <c r="L61" i="10" l="1"/>
  <c r="L59" i="10"/>
  <c r="L60" i="10"/>
  <c r="L58" i="10"/>
  <c r="Q71" i="10"/>
  <c r="AM44" i="9" l="1"/>
  <c r="AN37" i="9"/>
  <c r="AK37" i="9"/>
  <c r="AH37" i="9"/>
  <c r="AE37" i="9"/>
  <c r="AM37" i="9"/>
  <c r="BA7" i="9"/>
  <c r="N71" i="10"/>
  <c r="L71" i="10"/>
  <c r="AL39" i="9" l="1"/>
  <c r="AH40" i="9" s="1"/>
  <c r="AH43" i="9" s="1"/>
  <c r="AH45" i="9" s="1"/>
  <c r="AM43" i="9" s="1"/>
  <c r="AM45" i="9" s="1"/>
  <c r="F22" i="8" l="1"/>
  <c r="L37" i="10"/>
  <c r="L34" i="10"/>
  <c r="L33" i="10"/>
  <c r="L31" i="10"/>
  <c r="Q51" i="10"/>
  <c r="G44" i="10" l="1"/>
  <c r="G45" i="10"/>
  <c r="G46" i="10"/>
  <c r="G47" i="10"/>
  <c r="G48" i="10"/>
  <c r="G49" i="10"/>
  <c r="N51" i="10"/>
  <c r="L51" i="10"/>
  <c r="C37" i="7" l="1"/>
  <c r="F37" i="7"/>
  <c r="D28" i="8" l="1"/>
  <c r="F18" i="8" l="1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50" i="10"/>
  <c r="G51" i="10"/>
  <c r="G52" i="10"/>
  <c r="G53" i="10"/>
  <c r="M32" i="7"/>
  <c r="L8" i="10"/>
  <c r="L7" i="10"/>
  <c r="D58" i="8"/>
  <c r="L6" i="10"/>
  <c r="D69" i="8"/>
  <c r="L5" i="10"/>
  <c r="D56" i="8"/>
  <c r="Q23" i="10"/>
  <c r="N23" i="10"/>
  <c r="L23" i="10"/>
  <c r="D69" i="10" l="1"/>
  <c r="D57" i="10"/>
  <c r="G56" i="10"/>
  <c r="G55" i="10"/>
  <c r="G54" i="10"/>
  <c r="G23" i="10"/>
  <c r="G22" i="10"/>
  <c r="G21" i="10"/>
  <c r="G14" i="10"/>
  <c r="G20" i="10"/>
  <c r="G19" i="10"/>
  <c r="G18" i="10"/>
  <c r="G17" i="10"/>
  <c r="G16" i="10"/>
  <c r="G15" i="10"/>
  <c r="G13" i="10"/>
  <c r="G12" i="10"/>
  <c r="G11" i="10"/>
  <c r="F57" i="10"/>
  <c r="G9" i="10"/>
  <c r="G8" i="10"/>
  <c r="G7" i="10"/>
  <c r="G6" i="10"/>
  <c r="G5" i="10"/>
  <c r="G4" i="10"/>
  <c r="BA44" i="9"/>
  <c r="AY37" i="9"/>
  <c r="AV37" i="9"/>
  <c r="AS37" i="9"/>
  <c r="BB37" i="9"/>
  <c r="BA37" i="9"/>
  <c r="G10" i="10" l="1"/>
  <c r="G57" i="10" s="1"/>
  <c r="AZ39" i="9"/>
  <c r="AV40" i="9" s="1"/>
  <c r="AV43" i="9" s="1"/>
  <c r="AV45" i="9" s="1"/>
  <c r="BA43" i="9" s="1"/>
  <c r="BA45" i="9" s="1"/>
  <c r="AA7" i="7"/>
  <c r="K7" i="7"/>
  <c r="D22" i="2" l="1"/>
  <c r="F10" i="8" l="1"/>
  <c r="L57" i="8" l="1"/>
  <c r="Q68" i="8"/>
  <c r="L55" i="8"/>
  <c r="K44" i="7"/>
  <c r="K37" i="7"/>
  <c r="J39" i="7" s="1"/>
  <c r="F40" i="7" s="1"/>
  <c r="I37" i="7"/>
  <c r="L21" i="7"/>
  <c r="L37" i="7" s="1"/>
  <c r="V42" i="7"/>
  <c r="AB21" i="7"/>
  <c r="AC21" i="7"/>
  <c r="F43" i="7" l="1"/>
  <c r="F45" i="7" s="1"/>
  <c r="K43" i="7" s="1"/>
  <c r="K45" i="7" s="1"/>
  <c r="L53" i="8"/>
  <c r="AA44" i="7"/>
  <c r="AB37" i="7"/>
  <c r="AA37" i="7"/>
  <c r="Y37" i="7"/>
  <c r="Z39" i="7" s="1"/>
  <c r="V37" i="7"/>
  <c r="S37" i="7"/>
  <c r="N68" i="8"/>
  <c r="L68" i="8"/>
  <c r="V40" i="7" l="1"/>
  <c r="V43" i="7" s="1"/>
  <c r="V45" i="7" s="1"/>
  <c r="AA43" i="7" s="1"/>
  <c r="AA45" i="7" s="1"/>
  <c r="G34" i="8" l="1"/>
  <c r="G35" i="8"/>
  <c r="G36" i="8"/>
  <c r="G37" i="8"/>
  <c r="G38" i="8"/>
  <c r="G39" i="8"/>
  <c r="G40" i="8"/>
  <c r="G41" i="8"/>
  <c r="F21" i="6"/>
  <c r="L16" i="8"/>
  <c r="L15" i="8"/>
  <c r="L14" i="8"/>
  <c r="L13" i="8"/>
  <c r="L12" i="8"/>
  <c r="G26" i="8" l="1"/>
  <c r="G27" i="8"/>
  <c r="G29" i="8"/>
  <c r="G30" i="8"/>
  <c r="G31" i="8"/>
  <c r="G32" i="8"/>
  <c r="G33" i="8"/>
  <c r="G42" i="8"/>
  <c r="G16" i="8" l="1"/>
  <c r="G17" i="8"/>
  <c r="G18" i="8"/>
  <c r="G19" i="8"/>
  <c r="G20" i="8"/>
  <c r="G21" i="8"/>
  <c r="G22" i="8"/>
  <c r="G23" i="8"/>
  <c r="G24" i="8"/>
  <c r="G25" i="8"/>
  <c r="Q41" i="8" l="1"/>
  <c r="L11" i="8" l="1"/>
  <c r="L10" i="8"/>
  <c r="L8" i="8"/>
  <c r="L6" i="8"/>
  <c r="L5" i="8"/>
  <c r="N41" i="8"/>
  <c r="L41" i="8"/>
  <c r="C36" i="6"/>
  <c r="K44" i="5" l="1"/>
  <c r="K7" i="5" l="1"/>
  <c r="K37" i="5"/>
  <c r="I37" i="5"/>
  <c r="J39" i="5" s="1"/>
  <c r="F40" i="5" s="1"/>
  <c r="F37" i="5"/>
  <c r="C15" i="5"/>
  <c r="C13" i="5"/>
  <c r="C12" i="5"/>
  <c r="L9" i="5"/>
  <c r="L8" i="5"/>
  <c r="L7" i="5"/>
  <c r="C7" i="5"/>
  <c r="C37" i="5" s="1"/>
  <c r="L4" i="5"/>
  <c r="L37" i="5" s="1"/>
  <c r="F43" i="5" l="1"/>
  <c r="F45" i="5" s="1"/>
  <c r="K43" i="5" s="1"/>
  <c r="K45" i="5" s="1"/>
  <c r="G13" i="8" l="1"/>
  <c r="G14" i="8"/>
  <c r="G15" i="8"/>
  <c r="G43" i="8"/>
  <c r="G44" i="8"/>
  <c r="D46" i="8"/>
  <c r="G45" i="8"/>
  <c r="G12" i="8"/>
  <c r="G11" i="8"/>
  <c r="G10" i="8"/>
  <c r="G9" i="8"/>
  <c r="G8" i="8"/>
  <c r="G7" i="8"/>
  <c r="G6" i="8"/>
  <c r="G5" i="8"/>
  <c r="F46" i="8"/>
  <c r="AQ44" i="7"/>
  <c r="AQ37" i="7"/>
  <c r="AO37" i="7"/>
  <c r="AP39" i="7" s="1"/>
  <c r="AL40" i="7" s="1"/>
  <c r="AL37" i="7"/>
  <c r="AI37" i="7"/>
  <c r="AR37" i="7"/>
  <c r="G4" i="8" l="1"/>
  <c r="G46" i="8" s="1"/>
  <c r="AL43" i="7"/>
  <c r="AL45" i="7" s="1"/>
  <c r="AQ43" i="7" s="1"/>
  <c r="AQ45" i="7" s="1"/>
  <c r="F12" i="6"/>
  <c r="T12" i="6"/>
  <c r="T9" i="6"/>
  <c r="Y23" i="6"/>
  <c r="V23" i="6"/>
  <c r="T8" i="6"/>
  <c r="T6" i="6"/>
  <c r="T4" i="6"/>
  <c r="T18" i="6"/>
  <c r="Y44" i="5" l="1"/>
  <c r="Y37" i="5"/>
  <c r="W37" i="5"/>
  <c r="X39" i="5" s="1"/>
  <c r="T37" i="5"/>
  <c r="Q15" i="5"/>
  <c r="Q13" i="5"/>
  <c r="Q12" i="5"/>
  <c r="Z9" i="5"/>
  <c r="Z8" i="5"/>
  <c r="Z7" i="5"/>
  <c r="Q7" i="5"/>
  <c r="Q37" i="5" s="1"/>
  <c r="Z6" i="5"/>
  <c r="Z4" i="5"/>
  <c r="Z37" i="5" s="1"/>
  <c r="T40" i="5" l="1"/>
  <c r="T43" i="5" s="1"/>
  <c r="T45" i="5" s="1"/>
  <c r="Y43" i="5" s="1"/>
  <c r="Y45" i="5" s="1"/>
  <c r="I46" i="6"/>
  <c r="N46" i="6"/>
  <c r="K46" i="6"/>
  <c r="I38" i="6"/>
  <c r="I36" i="6"/>
  <c r="I35" i="6"/>
  <c r="AE15" i="5" l="1"/>
  <c r="AE13" i="5"/>
  <c r="AE12" i="5"/>
  <c r="AE7" i="5"/>
  <c r="AS7" i="5"/>
  <c r="BF35" i="5" l="1"/>
  <c r="AM44" i="5" l="1"/>
  <c r="AM37" i="5"/>
  <c r="AK37" i="5"/>
  <c r="AL39" i="5" s="1"/>
  <c r="AH37" i="5"/>
  <c r="AE37" i="5"/>
  <c r="AN9" i="5"/>
  <c r="AN8" i="5"/>
  <c r="AN7" i="5"/>
  <c r="AN6" i="5"/>
  <c r="AN4" i="5"/>
  <c r="AN37" i="5" s="1"/>
  <c r="AH40" i="5" l="1"/>
  <c r="AH43" i="5" s="1"/>
  <c r="AH45" i="5" s="1"/>
  <c r="AM43" i="5" s="1"/>
  <c r="AM45" i="5" s="1"/>
  <c r="F4" i="6"/>
  <c r="N28" i="6"/>
  <c r="K28" i="6"/>
  <c r="BC16" i="5"/>
  <c r="BC15" i="5"/>
  <c r="BC13" i="5"/>
  <c r="BC12" i="5"/>
  <c r="BB6" i="5"/>
  <c r="BB9" i="5" l="1"/>
  <c r="BB8" i="5"/>
  <c r="BB7" i="5"/>
  <c r="BB4" i="5"/>
  <c r="K10" i="3" l="1"/>
  <c r="K7" i="3" l="1"/>
  <c r="K7" i="1"/>
  <c r="AM7" i="1"/>
  <c r="Y7" i="1"/>
  <c r="L32" i="3" l="1"/>
  <c r="L30" i="3"/>
  <c r="L28" i="3"/>
  <c r="L27" i="3"/>
  <c r="L26" i="3"/>
  <c r="L25" i="3"/>
  <c r="L23" i="3" l="1"/>
  <c r="L22" i="3"/>
  <c r="L21" i="3"/>
  <c r="L20" i="3"/>
  <c r="L19" i="3" l="1"/>
  <c r="L18" i="3"/>
  <c r="L17" i="3"/>
  <c r="L16" i="3"/>
  <c r="L15" i="3" l="1"/>
  <c r="L14" i="3"/>
  <c r="F13" i="4" l="1"/>
  <c r="K13" i="6" l="1"/>
  <c r="N13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D29" i="6"/>
  <c r="G28" i="6"/>
  <c r="G27" i="6"/>
  <c r="G26" i="6"/>
  <c r="G25" i="6"/>
  <c r="G11" i="6"/>
  <c r="G10" i="6"/>
  <c r="G9" i="6"/>
  <c r="G8" i="6"/>
  <c r="G7" i="6"/>
  <c r="G6" i="6"/>
  <c r="G5" i="6"/>
  <c r="F29" i="6"/>
  <c r="BA44" i="5"/>
  <c r="AY37" i="5"/>
  <c r="AV37" i="5"/>
  <c r="AS37" i="5"/>
  <c r="BA37" i="5"/>
  <c r="BB37" i="5"/>
  <c r="G4" i="6" l="1"/>
  <c r="G29" i="6" s="1"/>
  <c r="AZ39" i="5"/>
  <c r="AV40" i="5" s="1"/>
  <c r="AV43" i="5" s="1"/>
  <c r="AV45" i="5" s="1"/>
  <c r="BA43" i="5" s="1"/>
  <c r="BA45" i="5" s="1"/>
  <c r="L11" i="3"/>
  <c r="V51" i="4" l="1"/>
  <c r="S51" i="4"/>
  <c r="F11" i="4" l="1"/>
  <c r="V23" i="4"/>
  <c r="S23" i="4"/>
  <c r="F7" i="4" l="1"/>
  <c r="N72" i="4"/>
  <c r="K72" i="4"/>
  <c r="F4" i="4" l="1"/>
  <c r="N47" i="4"/>
  <c r="K47" i="4"/>
  <c r="L10" i="3" l="1"/>
  <c r="L9" i="3"/>
  <c r="L8" i="3"/>
  <c r="L5" i="3" l="1"/>
  <c r="L4" i="3"/>
  <c r="K44" i="3"/>
  <c r="I37" i="3"/>
  <c r="F37" i="3"/>
  <c r="C37" i="3"/>
  <c r="L37" i="3"/>
  <c r="K37" i="3"/>
  <c r="J39" i="3" l="1"/>
  <c r="F40" i="3" s="1"/>
  <c r="F43" i="3" s="1"/>
  <c r="F45" i="3" s="1"/>
  <c r="K43" i="3" s="1"/>
  <c r="K45" i="3" s="1"/>
  <c r="K44" i="1"/>
  <c r="I37" i="1"/>
  <c r="F37" i="1"/>
  <c r="C37" i="1"/>
  <c r="L34" i="1"/>
  <c r="L33" i="1"/>
  <c r="L32" i="1"/>
  <c r="L31" i="1"/>
  <c r="L30" i="1"/>
  <c r="L28" i="1"/>
  <c r="L27" i="1"/>
  <c r="L23" i="1"/>
  <c r="L22" i="1"/>
  <c r="L21" i="1"/>
  <c r="L20" i="1"/>
  <c r="L19" i="1"/>
  <c r="L18" i="1"/>
  <c r="L17" i="1"/>
  <c r="L15" i="1"/>
  <c r="L37" i="1" s="1"/>
  <c r="K37" i="1"/>
  <c r="J39" i="1" l="1"/>
  <c r="AM44" i="1"/>
  <c r="AO27" i="1"/>
  <c r="F40" i="1" l="1"/>
  <c r="F43" i="1" s="1"/>
  <c r="F45" i="1" s="1"/>
  <c r="K43" i="1" s="1"/>
  <c r="K45" i="1" s="1"/>
  <c r="T37" i="1"/>
  <c r="Y44" i="1" l="1"/>
  <c r="F13" i="2" l="1"/>
  <c r="Z17" i="1" l="1"/>
  <c r="N26" i="4"/>
  <c r="K26" i="4"/>
  <c r="D29" i="4" l="1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29" i="4"/>
  <c r="G4" i="4" l="1"/>
  <c r="G29" i="4" s="1"/>
  <c r="Z28" i="1"/>
  <c r="Z27" i="1"/>
  <c r="F7" i="2" l="1"/>
  <c r="O101" i="2"/>
  <c r="L101" i="2"/>
  <c r="Z23" i="1" l="1"/>
  <c r="Z22" i="1"/>
  <c r="Z21" i="1"/>
  <c r="Z20" i="1"/>
  <c r="AM6" i="1" l="1"/>
  <c r="W37" i="1"/>
  <c r="Q37" i="1"/>
  <c r="Z19" i="1"/>
  <c r="Z18" i="1"/>
  <c r="Z15" i="1"/>
  <c r="Z37" i="1" s="1"/>
  <c r="Y37" i="1"/>
  <c r="X39" i="1" l="1"/>
  <c r="T40" i="1" s="1"/>
  <c r="T43" i="1" s="1"/>
  <c r="T45" i="1" s="1"/>
  <c r="Y43" i="1" s="1"/>
  <c r="Y45" i="1" s="1"/>
  <c r="F4" i="2"/>
  <c r="F22" i="2" s="1"/>
  <c r="AN15" i="1" l="1"/>
  <c r="O60" i="2" l="1"/>
  <c r="L60" i="2"/>
  <c r="O32" i="2" l="1"/>
  <c r="L32" i="2"/>
  <c r="G21" i="2" l="1"/>
  <c r="G20" i="2"/>
  <c r="G19" i="2"/>
  <c r="G18" i="2"/>
  <c r="G17" i="2"/>
  <c r="G16" i="2"/>
  <c r="G15" i="2"/>
  <c r="G14" i="2"/>
  <c r="G12" i="2"/>
  <c r="G11" i="2"/>
  <c r="G10" i="2"/>
  <c r="G9" i="2"/>
  <c r="G8" i="2"/>
  <c r="G7" i="2"/>
  <c r="G6" i="2"/>
  <c r="G5" i="2"/>
  <c r="G4" i="2"/>
  <c r="AK37" i="1"/>
  <c r="AH37" i="1"/>
  <c r="AE37" i="1"/>
  <c r="AM37" i="1"/>
  <c r="AN37" i="1"/>
  <c r="G13" i="2" l="1"/>
  <c r="G22" i="2" s="1"/>
  <c r="AL39" i="1"/>
  <c r="AH40" i="1" s="1"/>
  <c r="AH43" i="1" s="1"/>
  <c r="AH45" i="1" s="1"/>
  <c r="AM43" i="1" s="1"/>
  <c r="AM45" i="1" s="1"/>
</calcChain>
</file>

<file path=xl/sharedStrings.xml><?xml version="1.0" encoding="utf-8"?>
<sst xmlns="http://schemas.openxmlformats.org/spreadsheetml/2006/main" count="1777" uniqueCount="427">
  <si>
    <t>COMPRAS</t>
  </si>
  <si>
    <t>INVENTARIO INICIAL</t>
  </si>
  <si>
    <t xml:space="preserve">VENTAS  </t>
  </si>
  <si>
    <t>G  A  S   T  O  S</t>
  </si>
  <si>
    <t>BANCO</t>
  </si>
  <si>
    <t>TELEFONOS</t>
  </si>
  <si>
    <t xml:space="preserve">LUZ  </t>
  </si>
  <si>
    <t>RENTA</t>
  </si>
  <si>
    <t xml:space="preserve">FUMIGACION </t>
  </si>
  <si>
    <t>camara comercio</t>
  </si>
  <si>
    <t>BUJES NISSAN</t>
  </si>
  <si>
    <t>TOTAL</t>
  </si>
  <si>
    <t>GRAN TOTAL GASTOS</t>
  </si>
  <si>
    <t>VENTAS NETAS</t>
  </si>
  <si>
    <t>REMISIONES OBRADOR</t>
  </si>
  <si>
    <t>INVENTARIO FINAL</t>
  </si>
  <si>
    <t>Sub Total 1</t>
  </si>
  <si>
    <t>CRECDITOS</t>
  </si>
  <si>
    <t xml:space="preserve">SUB Total 2 </t>
  </si>
  <si>
    <t>GANANCIA</t>
  </si>
  <si>
    <t xml:space="preserve">BALANCE    DE  E N E R O      2016    C O M E R C I O </t>
  </si>
  <si>
    <t>REMISIONES     CIC  COMERCIO</t>
  </si>
  <si>
    <t>FECHA</t>
  </si>
  <si>
    <t>Remision</t>
  </si>
  <si>
    <t>IMPORTE</t>
  </si>
  <si>
    <t>FECHA DE PAGO</t>
  </si>
  <si>
    <t>SALDO</t>
  </si>
  <si>
    <t>24322 A</t>
  </si>
  <si>
    <t>PAGOS DE COMERCIO</t>
  </si>
  <si>
    <t># transfer</t>
  </si>
  <si>
    <t>IMPORTE Transfer</t>
  </si>
  <si>
    <t>Santander</t>
  </si>
  <si>
    <t>22256 A</t>
  </si>
  <si>
    <t>23155 A</t>
  </si>
  <si>
    <t>23156 A</t>
  </si>
  <si>
    <t>23288 A</t>
  </si>
  <si>
    <t>RESTO</t>
  </si>
  <si>
    <t>ABONO</t>
  </si>
  <si>
    <t>24756 A</t>
  </si>
  <si>
    <t>24219 A</t>
  </si>
  <si>
    <t>24854 A</t>
  </si>
  <si>
    <t>23287 A</t>
  </si>
  <si>
    <t>23307 A</t>
  </si>
  <si>
    <t>24019 A</t>
  </si>
  <si>
    <t>00269 B</t>
  </si>
  <si>
    <t>00822 B</t>
  </si>
  <si>
    <t>00979 B</t>
  </si>
  <si>
    <t>01517 B</t>
  </si>
  <si>
    <t>XXXXX</t>
  </si>
  <si>
    <t>Sancocho</t>
  </si>
  <si>
    <t>NOMINA 01</t>
  </si>
  <si>
    <t>NOMINA 02</t>
  </si>
  <si>
    <t>NOMINA 03</t>
  </si>
  <si>
    <t>NOMINA 04</t>
  </si>
  <si>
    <t>ALBICIA</t>
  </si>
  <si>
    <t>Tocino</t>
  </si>
  <si>
    <t>carnero</t>
  </si>
  <si>
    <t>Chuleta Ahum</t>
  </si>
  <si>
    <t>CARNERO</t>
  </si>
  <si>
    <t>CENTRAL</t>
  </si>
  <si>
    <t xml:space="preserve">06-Ene--09-Ene </t>
  </si>
  <si>
    <t>01664 B</t>
  </si>
  <si>
    <t>01663 B</t>
  </si>
  <si>
    <t xml:space="preserve">09-Ene --27-Ene </t>
  </si>
  <si>
    <t>01834 B</t>
  </si>
  <si>
    <t>02250 B</t>
  </si>
  <si>
    <t>02412 B</t>
  </si>
  <si>
    <t>02681 B</t>
  </si>
  <si>
    <t>PECHOS</t>
  </si>
  <si>
    <t>03054 B</t>
  </si>
  <si>
    <t>03579 B</t>
  </si>
  <si>
    <t>03111 B</t>
  </si>
  <si>
    <t xml:space="preserve"> </t>
  </si>
  <si>
    <t xml:space="preserve">27-Ene--11-Feb </t>
  </si>
  <si>
    <t>NOMINA 05</t>
  </si>
  <si>
    <t xml:space="preserve">BALANCE    DE     FEBRERO       2016    C O M E R C I O </t>
  </si>
  <si>
    <t>NOMINA 06</t>
  </si>
  <si>
    <t>NOMINA 07</t>
  </si>
  <si>
    <t>NOMINA 08</t>
  </si>
  <si>
    <t>NOMINA 09</t>
  </si>
  <si>
    <t>NOMINA 10</t>
  </si>
  <si>
    <t>Sesos copa</t>
  </si>
  <si>
    <t>Albicia</t>
  </si>
  <si>
    <t>04253 B</t>
  </si>
  <si>
    <t>04254 B</t>
  </si>
  <si>
    <t>04331 B</t>
  </si>
  <si>
    <t>cheque</t>
  </si>
  <si>
    <t xml:space="preserve">11-Feb --13-Feb </t>
  </si>
  <si>
    <t>abono</t>
  </si>
  <si>
    <t>04853 B</t>
  </si>
  <si>
    <t>05268 B</t>
  </si>
  <si>
    <t>04795 B</t>
  </si>
  <si>
    <t>04796 B</t>
  </si>
  <si>
    <t xml:space="preserve">13-Feb--20-Feb </t>
  </si>
  <si>
    <t>05698 B</t>
  </si>
  <si>
    <t>05699 B</t>
  </si>
  <si>
    <t>resto</t>
  </si>
  <si>
    <t>20-Feb --25-Feb</t>
  </si>
  <si>
    <t>06415 B</t>
  </si>
  <si>
    <t>06617 B</t>
  </si>
  <si>
    <t>06970 B</t>
  </si>
  <si>
    <t>06842 B</t>
  </si>
  <si>
    <t xml:space="preserve">25-Feb --04-Mar </t>
  </si>
  <si>
    <t>espaldilla--pecho</t>
  </si>
  <si>
    <t xml:space="preserve">BALANCE    DE     MARZO        2016    C O M E R C I O </t>
  </si>
  <si>
    <t>07384 B</t>
  </si>
  <si>
    <t>07248 B</t>
  </si>
  <si>
    <t>07601 B</t>
  </si>
  <si>
    <t>07788 B</t>
  </si>
  <si>
    <t>07923 B</t>
  </si>
  <si>
    <t xml:space="preserve">08129 B </t>
  </si>
  <si>
    <t>08161 B</t>
  </si>
  <si>
    <t>08297 B</t>
  </si>
  <si>
    <t>NOMINA</t>
  </si>
  <si>
    <t>NOMINA 11</t>
  </si>
  <si>
    <t>NOMINA 12</t>
  </si>
  <si>
    <t>NOMINA 13</t>
  </si>
  <si>
    <t xml:space="preserve">NOMINA </t>
  </si>
  <si>
    <t>08740 B</t>
  </si>
  <si>
    <t>08825 B</t>
  </si>
  <si>
    <t>08988 B</t>
  </si>
  <si>
    <t>Sra Norma 2-Mar</t>
  </si>
  <si>
    <t>R-6970-7248</t>
  </si>
  <si>
    <t>R-7384</t>
  </si>
  <si>
    <t>R-7601</t>
  </si>
  <si>
    <t>R-7788-7923</t>
  </si>
  <si>
    <t>R-7923-8161-8129</t>
  </si>
  <si>
    <t>R-8129-8352-8297</t>
  </si>
  <si>
    <t>R-8297</t>
  </si>
  <si>
    <t>08352 B</t>
  </si>
  <si>
    <t>08472 B</t>
  </si>
  <si>
    <t xml:space="preserve">04-Mar --19-Mar </t>
  </si>
  <si>
    <t>Sra Norma</t>
  </si>
  <si>
    <t>09195 B</t>
  </si>
  <si>
    <t>09292 B</t>
  </si>
  <si>
    <t>09379 B</t>
  </si>
  <si>
    <t>09416 B</t>
  </si>
  <si>
    <t>09116 B</t>
  </si>
  <si>
    <t>09645 B</t>
  </si>
  <si>
    <t>09874 B</t>
  </si>
  <si>
    <t>09884 B</t>
  </si>
  <si>
    <t>R-8129-</t>
  </si>
  <si>
    <t>OK PP</t>
  </si>
  <si>
    <t>R-8740</t>
  </si>
  <si>
    <t>R-8740-8825-8988</t>
  </si>
  <si>
    <t>R-8988-9292-9195</t>
  </si>
  <si>
    <t>R-9195</t>
  </si>
  <si>
    <t>10011B</t>
  </si>
  <si>
    <t>10359 B</t>
  </si>
  <si>
    <t>EFECTIVO</t>
  </si>
  <si>
    <t xml:space="preserve">21-Mar--31-Mar </t>
  </si>
  <si>
    <t xml:space="preserve">BALANCE    DE     A B R I L        2016    C O M E R C I O </t>
  </si>
  <si>
    <t>10771 B</t>
  </si>
  <si>
    <t>10243 B</t>
  </si>
  <si>
    <t>R-9195-9379-9645-9116-9416</t>
  </si>
  <si>
    <t>R-9416</t>
  </si>
  <si>
    <t>R-9874</t>
  </si>
  <si>
    <t>R-9874-10011-2435</t>
  </si>
  <si>
    <t>R-10011</t>
  </si>
  <si>
    <t>R-1011--10359</t>
  </si>
  <si>
    <t>X</t>
  </si>
  <si>
    <t>10911 B</t>
  </si>
  <si>
    <t>11196 B</t>
  </si>
  <si>
    <t>11641 B</t>
  </si>
  <si>
    <t>11922 B</t>
  </si>
  <si>
    <t>12036 B</t>
  </si>
  <si>
    <t>12123 B</t>
  </si>
  <si>
    <t>12237 B</t>
  </si>
  <si>
    <t>11352 B</t>
  </si>
  <si>
    <t>Sancocho R-9416-9884-9874</t>
  </si>
  <si>
    <t>sancocho</t>
  </si>
  <si>
    <t>albicia</t>
  </si>
  <si>
    <t>R-8297-8472</t>
  </si>
  <si>
    <t>proledo</t>
  </si>
  <si>
    <t xml:space="preserve"> sancochoR-7788-7923</t>
  </si>
  <si>
    <t>PERDIDA</t>
  </si>
  <si>
    <t>R-10359-10243-10771</t>
  </si>
  <si>
    <t>R-10911</t>
  </si>
  <si>
    <t>NOMINA 14</t>
  </si>
  <si>
    <t>NOMINA 15</t>
  </si>
  <si>
    <t>NOMINA 16</t>
  </si>
  <si>
    <t>NOMINA 17</t>
  </si>
  <si>
    <t>12100 B</t>
  </si>
  <si>
    <t>12503 B</t>
  </si>
  <si>
    <t>12820 B</t>
  </si>
  <si>
    <t>12867 B</t>
  </si>
  <si>
    <t>13050 B</t>
  </si>
  <si>
    <t>R-10911-11196</t>
  </si>
  <si>
    <t xml:space="preserve">R-10911       </t>
  </si>
  <si>
    <t>R-11196-11352</t>
  </si>
  <si>
    <t>R-11352</t>
  </si>
  <si>
    <t>R-11641</t>
  </si>
  <si>
    <t>R-11641--11922</t>
  </si>
  <si>
    <t>R-11922--12036</t>
  </si>
  <si>
    <t xml:space="preserve">31-Mar --19 Abril </t>
  </si>
  <si>
    <t>error de nota  $ 125.00</t>
  </si>
  <si>
    <t>13192 B</t>
  </si>
  <si>
    <t>ALBICIA R-12036-12123</t>
  </si>
  <si>
    <t>LUZ  12-Abril</t>
  </si>
  <si>
    <t>LUZ  M-A  12-Abril</t>
  </si>
  <si>
    <t>R-12123</t>
  </si>
  <si>
    <t>Extintores 13-Abril</t>
  </si>
  <si>
    <t>Sancocho R-+12123-R-12237- R-1203</t>
  </si>
  <si>
    <t>R-12503</t>
  </si>
  <si>
    <t>R-12867</t>
  </si>
  <si>
    <t>13696 B</t>
  </si>
  <si>
    <t>13801 B</t>
  </si>
  <si>
    <t>R-12867-12100-13050</t>
  </si>
  <si>
    <t>R-13192</t>
  </si>
  <si>
    <t>R-13192-13696</t>
  </si>
  <si>
    <t>FINITQUIO</t>
  </si>
  <si>
    <t>ARELY 23-Abril</t>
  </si>
  <si>
    <t>R-13696</t>
  </si>
  <si>
    <t>R-13696-13801</t>
  </si>
  <si>
    <t>13975 B</t>
  </si>
  <si>
    <t>14001 B</t>
  </si>
  <si>
    <t>sobrante</t>
  </si>
  <si>
    <t>faltante</t>
  </si>
  <si>
    <t xml:space="preserve">19-abril --27-Abril </t>
  </si>
  <si>
    <t xml:space="preserve">LUZ  Dic --Ene </t>
  </si>
  <si>
    <t xml:space="preserve">NLP </t>
  </si>
  <si>
    <t>14233 B</t>
  </si>
  <si>
    <t>14564 B</t>
  </si>
  <si>
    <t>14707 B</t>
  </si>
  <si>
    <t xml:space="preserve">BALANCE    DE     M A Y O         2016    C O M E R C I O </t>
  </si>
  <si>
    <t xml:space="preserve">Extintores </t>
  </si>
  <si>
    <t>15002 B</t>
  </si>
  <si>
    <t>R-13801</t>
  </si>
  <si>
    <t>cabeza-lomo-sancocho-R-13801--13975</t>
  </si>
  <si>
    <t>VARIOS</t>
  </si>
  <si>
    <t>central R-13975-14001</t>
  </si>
  <si>
    <t>R-14001--Panza</t>
  </si>
  <si>
    <t>panza</t>
  </si>
  <si>
    <t xml:space="preserve">27-Abril --05Mayo </t>
  </si>
  <si>
    <t>NOMINA  18</t>
  </si>
  <si>
    <t>14857 B</t>
  </si>
  <si>
    <t>compras extras</t>
  </si>
  <si>
    <t>15414 B</t>
  </si>
  <si>
    <t>15594 B</t>
  </si>
  <si>
    <t>15819 B</t>
  </si>
  <si>
    <t>16053 B</t>
  </si>
  <si>
    <t>16141 B</t>
  </si>
  <si>
    <t>R-14233-14564-14707</t>
  </si>
  <si>
    <t>14715 B</t>
  </si>
  <si>
    <t>R-14707</t>
  </si>
  <si>
    <t>R-14707--Sancocho</t>
  </si>
  <si>
    <t>Sancocho 35 KG</t>
  </si>
  <si>
    <t>R-14707-14715-14857-15002</t>
  </si>
  <si>
    <t>lomo--R-155002</t>
  </si>
  <si>
    <t>lomo de cabeza 12.22kg</t>
  </si>
  <si>
    <t>R-15002</t>
  </si>
  <si>
    <t>R-15002-15594</t>
  </si>
  <si>
    <t>05-May --16-May</t>
  </si>
  <si>
    <t>16482 B</t>
  </si>
  <si>
    <t>R-15594-15414</t>
  </si>
  <si>
    <t>R-15414</t>
  </si>
  <si>
    <t># 01</t>
  </si>
  <si>
    <t># 02</t>
  </si>
  <si>
    <t>R-15414-15819</t>
  </si>
  <si>
    <t>16692 B</t>
  </si>
  <si>
    <t>16712 B</t>
  </si>
  <si>
    <t>R-15819</t>
  </si>
  <si>
    <t>R-15819-16053-16141</t>
  </si>
  <si>
    <t>NOMINA 19</t>
  </si>
  <si>
    <t>NOMINA 20</t>
  </si>
  <si>
    <t>NOMINA 21</t>
  </si>
  <si>
    <t>NOMINA 22</t>
  </si>
  <si>
    <t>R-16141</t>
  </si>
  <si>
    <t xml:space="preserve">16-May --21-May </t>
  </si>
  <si>
    <t>17269 B</t>
  </si>
  <si>
    <t>17743 B</t>
  </si>
  <si>
    <t>17623 B</t>
  </si>
  <si>
    <t>17928 B</t>
  </si>
  <si>
    <t># 03</t>
  </si>
  <si>
    <t>R-13141</t>
  </si>
  <si>
    <t>R--16141-16482-+16692-16712</t>
  </si>
  <si>
    <t>R-16712</t>
  </si>
  <si>
    <t>18391 B</t>
  </si>
  <si>
    <t>18449 B</t>
  </si>
  <si>
    <t>R-13712-1726-17623</t>
  </si>
  <si>
    <t>R-17623</t>
  </si>
  <si>
    <t>SANCOCHO r-17623</t>
  </si>
  <si>
    <t>pago de guias</t>
  </si>
  <si>
    <t xml:space="preserve">21-May--31-May </t>
  </si>
  <si>
    <t>Sancocho 31.4 KG</t>
  </si>
  <si>
    <t xml:space="preserve">GANANCIA </t>
  </si>
  <si>
    <t>17117 B</t>
  </si>
  <si>
    <t>18647 B</t>
  </si>
  <si>
    <t xml:space="preserve">BALANCE    DE     J U N I O          2016    C O M E R C I O </t>
  </si>
  <si>
    <t>18800 B</t>
  </si>
  <si>
    <t>18835 B</t>
  </si>
  <si>
    <t>19091 B</t>
  </si>
  <si>
    <t>19240 B</t>
  </si>
  <si>
    <t># 04</t>
  </si>
  <si>
    <t>R-17623-17743-17928</t>
  </si>
  <si>
    <t>R-17928</t>
  </si>
  <si>
    <t>R-17928-18391-+17117</t>
  </si>
  <si>
    <t>R-17117</t>
  </si>
  <si>
    <t>LUZ  ????</t>
  </si>
  <si>
    <t>SANCOCHO</t>
  </si>
  <si>
    <t>R-17117--Sancocho</t>
  </si>
  <si>
    <t>R-18647-18800-18835-18449</t>
  </si>
  <si>
    <t>R-17117-18647</t>
  </si>
  <si>
    <t>R-18449</t>
  </si>
  <si>
    <t>R-18449-19091-19240</t>
  </si>
  <si>
    <t>19451 B</t>
  </si>
  <si>
    <t>19610 B</t>
  </si>
  <si>
    <t>19748 B</t>
  </si>
  <si>
    <t>19817 B</t>
  </si>
  <si>
    <t>NOMINA 23</t>
  </si>
  <si>
    <t>NOMINA 24</t>
  </si>
  <si>
    <t>NOMINA 25</t>
  </si>
  <si>
    <t>NOMINA 26</t>
  </si>
  <si>
    <t>R-19240</t>
  </si>
  <si>
    <t>31-May--13-Jun</t>
  </si>
  <si>
    <t>20200 B</t>
  </si>
  <si>
    <t>19987 B</t>
  </si>
  <si>
    <t>20305 B</t>
  </si>
  <si>
    <t>R-19240-19451-19610--caspote</t>
  </si>
  <si>
    <t>Capote</t>
  </si>
  <si>
    <t>Cuero pierna</t>
  </si>
  <si>
    <t xml:space="preserve">R-19748-19610-Cuero </t>
  </si>
  <si>
    <t>R-19987</t>
  </si>
  <si>
    <t>R-19987--Sancocho</t>
  </si>
  <si>
    <t>20680 B</t>
  </si>
  <si>
    <t>R-19987-20200--Albicia</t>
  </si>
  <si>
    <t>R-20200+20305+19817--Sancocho</t>
  </si>
  <si>
    <t>20895 B</t>
  </si>
  <si>
    <t>21006 B</t>
  </si>
  <si>
    <t>21091 B</t>
  </si>
  <si>
    <t>13-Jun --21-Jun</t>
  </si>
  <si>
    <t>R-19817--20680</t>
  </si>
  <si>
    <t>R-20895</t>
  </si>
  <si>
    <t>R-20895-21006</t>
  </si>
  <si>
    <t>21351 B</t>
  </si>
  <si>
    <t>21399 B</t>
  </si>
  <si>
    <t>21509 B</t>
  </si>
  <si>
    <t>21576 B</t>
  </si>
  <si>
    <t>R-21006-21091</t>
  </si>
  <si>
    <t>R-21091-21351-21399-21360</t>
  </si>
  <si>
    <t>21360 B</t>
  </si>
  <si>
    <t>21724 B</t>
  </si>
  <si>
    <t>21918 B</t>
  </si>
  <si>
    <t>21933 B</t>
  </si>
  <si>
    <t>22272 B</t>
  </si>
  <si>
    <t>22274 B</t>
  </si>
  <si>
    <t>22420 B</t>
  </si>
  <si>
    <t>Santanderr</t>
  </si>
  <si>
    <t xml:space="preserve">21Jun --30-Jun </t>
  </si>
  <si>
    <t>22276 B</t>
  </si>
  <si>
    <t>22497 B</t>
  </si>
  <si>
    <t xml:space="preserve">BALANCE    DE     J U L I O          2016    C O M E R C I O </t>
  </si>
  <si>
    <t>22750 B</t>
  </si>
  <si>
    <t>22769 B</t>
  </si>
  <si>
    <t>22854 B</t>
  </si>
  <si>
    <t>22860 B</t>
  </si>
  <si>
    <t>22876 B</t>
  </si>
  <si>
    <t>22901 B</t>
  </si>
  <si>
    <t>22974 B</t>
  </si>
  <si>
    <t>23359 B</t>
  </si>
  <si>
    <t>23452 B</t>
  </si>
  <si>
    <t>23738 B</t>
  </si>
  <si>
    <t>23765 B</t>
  </si>
  <si>
    <t>23911 B</t>
  </si>
  <si>
    <t>24119 B</t>
  </si>
  <si>
    <t>R-21360</t>
  </si>
  <si>
    <t>R-21360-21724-21509</t>
  </si>
  <si>
    <t>R-21509-22576</t>
  </si>
  <si>
    <t>R-21576-Sanchocho</t>
  </si>
  <si>
    <t>R-21576--21933</t>
  </si>
  <si>
    <t>R-21933--21918--Albicia</t>
  </si>
  <si>
    <t>R21918--prioledo</t>
  </si>
  <si>
    <t>R-21918</t>
  </si>
  <si>
    <t>R-21918-22272-2274</t>
  </si>
  <si>
    <t>Fumigacion</t>
  </si>
  <si>
    <t>VACACIONES</t>
  </si>
  <si>
    <t>R-22274-22276-22420-22497-22750</t>
  </si>
  <si>
    <t>MANTECA-SANCOCHO</t>
  </si>
  <si>
    <t xml:space="preserve">30-Jun --15-Jul </t>
  </si>
  <si>
    <t>NOMINA 27</t>
  </si>
  <si>
    <t>NOMINA 28</t>
  </si>
  <si>
    <t>NOMINA 29</t>
  </si>
  <si>
    <t>NOMINA 30</t>
  </si>
  <si>
    <t>R-22750-22769-22854-22860</t>
  </si>
  <si>
    <t>R-22860-22876-22901</t>
  </si>
  <si>
    <t>R-22901-22974 pulpa</t>
  </si>
  <si>
    <t>pulpa</t>
  </si>
  <si>
    <t>R-22974-23359 sancocho</t>
  </si>
  <si>
    <t>R-23359</t>
  </si>
  <si>
    <t>LUZ  May-Junio-Julio</t>
  </si>
  <si>
    <t>R-23359-23452</t>
  </si>
  <si>
    <t>R-23452-23765 Espaldilla</t>
  </si>
  <si>
    <t>R-23765-23911</t>
  </si>
  <si>
    <t>R-23911-23738</t>
  </si>
  <si>
    <t>R-23738</t>
  </si>
  <si>
    <t>R-23738 SANCOCHO</t>
  </si>
  <si>
    <t>R-22738-24119</t>
  </si>
  <si>
    <t>24630 B</t>
  </si>
  <si>
    <t>24637 B</t>
  </si>
  <si>
    <t>24663 B</t>
  </si>
  <si>
    <t>24671 B</t>
  </si>
  <si>
    <t>R-24119</t>
  </si>
  <si>
    <t>R-24119-24630</t>
  </si>
  <si>
    <t xml:space="preserve">15-Jul --23-Jul </t>
  </si>
  <si>
    <t>24855 B</t>
  </si>
  <si>
    <t>24959 B</t>
  </si>
  <si>
    <t>00094 C</t>
  </si>
  <si>
    <t>00115 C</t>
  </si>
  <si>
    <t>00502 C</t>
  </si>
  <si>
    <t>00503 C</t>
  </si>
  <si>
    <t>00819 C</t>
  </si>
  <si>
    <t>R-24630-24637</t>
  </si>
  <si>
    <t>R-24637-24663</t>
  </si>
  <si>
    <t>espaldilla</t>
  </si>
  <si>
    <t xml:space="preserve">muelles </t>
  </si>
  <si>
    <t>R-24663-24671-24855</t>
  </si>
  <si>
    <t>R-24855-24959-94</t>
  </si>
  <si>
    <t>PATA</t>
  </si>
  <si>
    <t>R-094</t>
  </si>
  <si>
    <t>R-94--115</t>
  </si>
  <si>
    <t>Abono</t>
  </si>
  <si>
    <t xml:space="preserve">23-Jul --27-Jul </t>
  </si>
  <si>
    <t>01042 C</t>
  </si>
  <si>
    <t>00991 C</t>
  </si>
  <si>
    <t>01334 C</t>
  </si>
  <si>
    <t>01353 C</t>
  </si>
  <si>
    <t>01420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</si>
</sst>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6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"/>
      <family val="2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8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8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44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/>
    <xf numFmtId="0" fontId="2" fillId="0" borderId="3" xfId="0" applyFont="1" applyBorder="1"/>
    <xf numFmtId="44" fontId="2" fillId="0" borderId="4" xfId="1" applyFont="1" applyBorder="1"/>
    <xf numFmtId="0" fontId="6" fillId="0" borderId="0" xfId="0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164" fontId="2" fillId="0" borderId="10" xfId="0" applyNumberFormat="1" applyFont="1" applyFill="1" applyBorder="1"/>
    <xf numFmtId="44" fontId="2" fillId="0" borderId="11" xfId="1" applyFont="1" applyFill="1" applyBorder="1"/>
    <xf numFmtId="165" fontId="2" fillId="0" borderId="13" xfId="0" applyNumberFormat="1" applyFont="1" applyFill="1" applyBorder="1"/>
    <xf numFmtId="0" fontId="0" fillId="0" borderId="0" xfId="0" applyFill="1"/>
    <xf numFmtId="165" fontId="2" fillId="0" borderId="15" xfId="0" applyNumberFormat="1" applyFont="1" applyFill="1" applyBorder="1"/>
    <xf numFmtId="0" fontId="2" fillId="0" borderId="16" xfId="0" applyFont="1" applyBorder="1"/>
    <xf numFmtId="0" fontId="2" fillId="0" borderId="17" xfId="0" applyFont="1" applyBorder="1"/>
    <xf numFmtId="44" fontId="2" fillId="0" borderId="0" xfId="1" applyFont="1" applyFill="1" applyBorder="1"/>
    <xf numFmtId="165" fontId="8" fillId="0" borderId="0" xfId="0" applyNumberFormat="1" applyFont="1" applyFill="1"/>
    <xf numFmtId="15" fontId="2" fillId="0" borderId="18" xfId="0" applyNumberFormat="1" applyFont="1" applyFill="1" applyBorder="1"/>
    <xf numFmtId="165" fontId="0" fillId="0" borderId="0" xfId="0" applyNumberFormat="1" applyFill="1" applyBorder="1"/>
    <xf numFmtId="15" fontId="2" fillId="0" borderId="19" xfId="0" applyNumberFormat="1" applyFont="1" applyFill="1" applyBorder="1"/>
    <xf numFmtId="0" fontId="2" fillId="0" borderId="19" xfId="0" applyFont="1" applyBorder="1"/>
    <xf numFmtId="165" fontId="2" fillId="0" borderId="13" xfId="0" applyNumberFormat="1" applyFont="1" applyBorder="1"/>
    <xf numFmtId="0" fontId="9" fillId="2" borderId="19" xfId="0" applyFont="1" applyFill="1" applyBorder="1"/>
    <xf numFmtId="165" fontId="0" fillId="0" borderId="0" xfId="0" applyNumberFormat="1" applyFont="1" applyFill="1"/>
    <xf numFmtId="0" fontId="10" fillId="0" borderId="0" xfId="0" applyFont="1"/>
    <xf numFmtId="0" fontId="8" fillId="0" borderId="0" xfId="0" applyFont="1"/>
    <xf numFmtId="165" fontId="11" fillId="0" borderId="0" xfId="0" applyNumberFormat="1" applyFont="1" applyFill="1"/>
    <xf numFmtId="0" fontId="12" fillId="0" borderId="19" xfId="0" applyFont="1" applyBorder="1"/>
    <xf numFmtId="16" fontId="2" fillId="0" borderId="19" xfId="0" applyNumberFormat="1" applyFont="1" applyBorder="1" applyAlignment="1">
      <alignment horizontal="center"/>
    </xf>
    <xf numFmtId="0" fontId="13" fillId="0" borderId="19" xfId="0" applyFont="1" applyBorder="1"/>
    <xf numFmtId="44" fontId="0" fillId="0" borderId="0" xfId="1" applyFont="1" applyFill="1"/>
    <xf numFmtId="16" fontId="2" fillId="0" borderId="19" xfId="0" applyNumberFormat="1" applyFont="1" applyBorder="1"/>
    <xf numFmtId="0" fontId="12" fillId="0" borderId="19" xfId="0" applyFont="1" applyFill="1" applyBorder="1"/>
    <xf numFmtId="16" fontId="2" fillId="0" borderId="19" xfId="0" applyNumberFormat="1" applyFont="1" applyFill="1" applyBorder="1"/>
    <xf numFmtId="0" fontId="13" fillId="0" borderId="19" xfId="0" applyFont="1" applyBorder="1" applyAlignment="1">
      <alignment wrapText="1"/>
    </xf>
    <xf numFmtId="165" fontId="2" fillId="0" borderId="0" xfId="0" applyNumberFormat="1" applyFont="1" applyFill="1" applyBorder="1"/>
    <xf numFmtId="165" fontId="2" fillId="0" borderId="21" xfId="0" applyNumberFormat="1" applyFont="1" applyFill="1" applyBorder="1"/>
    <xf numFmtId="165" fontId="13" fillId="0" borderId="0" xfId="0" applyNumberFormat="1" applyFont="1" applyFill="1"/>
    <xf numFmtId="165" fontId="14" fillId="0" borderId="0" xfId="0" applyNumberFormat="1" applyFont="1" applyFill="1" applyBorder="1"/>
    <xf numFmtId="165" fontId="10" fillId="0" borderId="0" xfId="0" applyNumberFormat="1" applyFont="1" applyFill="1"/>
    <xf numFmtId="0" fontId="15" fillId="0" borderId="2" xfId="0" applyFont="1" applyBorder="1"/>
    <xf numFmtId="0" fontId="12" fillId="0" borderId="3" xfId="0" applyFont="1" applyBorder="1"/>
    <xf numFmtId="44" fontId="2" fillId="0" borderId="11" xfId="1" applyFont="1" applyBorder="1"/>
    <xf numFmtId="165" fontId="0" fillId="0" borderId="0" xfId="0" applyNumberFormat="1"/>
    <xf numFmtId="0" fontId="2" fillId="0" borderId="18" xfId="0" applyFont="1" applyBorder="1"/>
    <xf numFmtId="0" fontId="5" fillId="0" borderId="19" xfId="0" applyFont="1" applyBorder="1" applyAlignment="1">
      <alignment horizontal="center"/>
    </xf>
    <xf numFmtId="165" fontId="2" fillId="0" borderId="15" xfId="0" applyNumberFormat="1" applyFont="1" applyBorder="1"/>
    <xf numFmtId="44" fontId="2" fillId="0" borderId="0" xfId="1" applyFont="1" applyBorder="1"/>
    <xf numFmtId="0" fontId="16" fillId="0" borderId="0" xfId="0" applyFont="1"/>
    <xf numFmtId="0" fontId="2" fillId="0" borderId="23" xfId="0" applyFont="1" applyBorder="1"/>
    <xf numFmtId="44" fontId="2" fillId="0" borderId="24" xfId="1" applyFont="1" applyBorder="1"/>
    <xf numFmtId="0" fontId="2" fillId="0" borderId="25" xfId="0" applyFont="1" applyBorder="1"/>
    <xf numFmtId="165" fontId="2" fillId="0" borderId="26" xfId="0" applyNumberFormat="1" applyFont="1" applyBorder="1"/>
    <xf numFmtId="0" fontId="5" fillId="0" borderId="27" xfId="0" applyFont="1" applyBorder="1" applyAlignment="1">
      <alignment horizontal="center"/>
    </xf>
    <xf numFmtId="165" fontId="2" fillId="0" borderId="28" xfId="0" applyNumberFormat="1" applyFont="1" applyBorder="1"/>
    <xf numFmtId="0" fontId="2" fillId="0" borderId="29" xfId="0" applyFont="1" applyBorder="1"/>
    <xf numFmtId="44" fontId="2" fillId="0" borderId="25" xfId="1" applyFont="1" applyBorder="1"/>
    <xf numFmtId="0" fontId="4" fillId="0" borderId="0" xfId="0" applyFont="1"/>
    <xf numFmtId="44" fontId="4" fillId="0" borderId="0" xfId="1" applyFont="1"/>
    <xf numFmtId="0" fontId="5" fillId="0" borderId="0" xfId="0" applyFont="1" applyAlignment="1">
      <alignment horizontal="center"/>
    </xf>
    <xf numFmtId="165" fontId="5" fillId="0" borderId="0" xfId="0" applyNumberFormat="1" applyFont="1"/>
    <xf numFmtId="165" fontId="2" fillId="0" borderId="0" xfId="0" applyNumberFormat="1" applyFont="1"/>
    <xf numFmtId="0" fontId="11" fillId="0" borderId="0" xfId="0" applyFont="1" applyBorder="1"/>
    <xf numFmtId="0" fontId="2" fillId="0" borderId="0" xfId="0" applyFont="1" applyBorder="1"/>
    <xf numFmtId="0" fontId="0" fillId="0" borderId="0" xfId="0" applyBorder="1"/>
    <xf numFmtId="44" fontId="18" fillId="0" borderId="0" xfId="1" applyFont="1" applyBorder="1" applyAlignment="1">
      <alignment horizontal="center"/>
    </xf>
    <xf numFmtId="165" fontId="2" fillId="0" borderId="0" xfId="0" applyNumberFormat="1" applyFont="1" applyBorder="1"/>
    <xf numFmtId="165" fontId="18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11" fillId="0" borderId="0" xfId="0" applyFont="1"/>
    <xf numFmtId="0" fontId="2" fillId="3" borderId="33" xfId="0" applyFont="1" applyFill="1" applyBorder="1"/>
    <xf numFmtId="165" fontId="2" fillId="3" borderId="33" xfId="0" applyNumberFormat="1" applyFont="1" applyFill="1" applyBorder="1"/>
    <xf numFmtId="165" fontId="5" fillId="0" borderId="34" xfId="0" applyNumberFormat="1" applyFont="1" applyBorder="1"/>
    <xf numFmtId="0" fontId="2" fillId="0" borderId="34" xfId="0" applyFont="1" applyBorder="1"/>
    <xf numFmtId="44" fontId="2" fillId="0" borderId="34" xfId="0" applyNumberFormat="1" applyFont="1" applyBorder="1"/>
    <xf numFmtId="165" fontId="4" fillId="0" borderId="0" xfId="0" applyNumberFormat="1" applyFont="1"/>
    <xf numFmtId="165" fontId="18" fillId="0" borderId="9" xfId="0" applyNumberFormat="1" applyFont="1" applyBorder="1"/>
    <xf numFmtId="0" fontId="13" fillId="0" borderId="0" xfId="0" applyFont="1" applyFill="1"/>
    <xf numFmtId="44" fontId="2" fillId="0" borderId="0" xfId="1" applyFont="1" applyFill="1"/>
    <xf numFmtId="0" fontId="2" fillId="0" borderId="0" xfId="0" applyFont="1" applyFill="1"/>
    <xf numFmtId="164" fontId="2" fillId="0" borderId="0" xfId="0" applyNumberFormat="1" applyFont="1" applyAlignment="1">
      <alignment horizontal="center"/>
    </xf>
    <xf numFmtId="1" fontId="19" fillId="0" borderId="0" xfId="1" applyNumberFormat="1" applyFont="1" applyAlignment="1">
      <alignment horizontal="center"/>
    </xf>
    <xf numFmtId="164" fontId="2" fillId="0" borderId="0" xfId="0" applyNumberFormat="1" applyFont="1"/>
    <xf numFmtId="0" fontId="20" fillId="0" borderId="0" xfId="0" applyFont="1"/>
    <xf numFmtId="0" fontId="0" fillId="0" borderId="35" xfId="0" applyBorder="1"/>
    <xf numFmtId="0" fontId="2" fillId="0" borderId="36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Fill="1" applyBorder="1" applyAlignment="1">
      <alignment horizontal="center" wrapText="1"/>
    </xf>
    <xf numFmtId="0" fontId="2" fillId="0" borderId="38" xfId="0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/>
    </xf>
    <xf numFmtId="0" fontId="22" fillId="0" borderId="30" xfId="0" applyFont="1" applyFill="1" applyBorder="1" applyAlignment="1">
      <alignment horizontal="center"/>
    </xf>
    <xf numFmtId="165" fontId="14" fillId="0" borderId="30" xfId="0" applyNumberFormat="1" applyFont="1" applyFill="1" applyBorder="1"/>
    <xf numFmtId="164" fontId="2" fillId="0" borderId="0" xfId="0" applyNumberFormat="1" applyFont="1" applyFill="1" applyBorder="1"/>
    <xf numFmtId="164" fontId="2" fillId="0" borderId="21" xfId="0" applyNumberFormat="1" applyFont="1" applyFill="1" applyBorder="1" applyAlignment="1">
      <alignment horizontal="center"/>
    </xf>
    <xf numFmtId="165" fontId="2" fillId="0" borderId="32" xfId="0" applyNumberFormat="1" applyFont="1" applyFill="1" applyBorder="1"/>
    <xf numFmtId="16" fontId="22" fillId="0" borderId="30" xfId="0" applyNumberFormat="1" applyFont="1" applyFill="1" applyBorder="1" applyAlignment="1">
      <alignment horizontal="center"/>
    </xf>
    <xf numFmtId="165" fontId="23" fillId="0" borderId="32" xfId="0" applyNumberFormat="1" applyFont="1" applyFill="1" applyBorder="1"/>
    <xf numFmtId="165" fontId="2" fillId="0" borderId="30" xfId="0" applyNumberFormat="1" applyFont="1" applyFill="1" applyBorder="1"/>
    <xf numFmtId="165" fontId="24" fillId="0" borderId="30" xfId="0" applyNumberFormat="1" applyFont="1" applyFill="1" applyBorder="1"/>
    <xf numFmtId="164" fontId="4" fillId="0" borderId="0" xfId="0" applyNumberFormat="1" applyFont="1" applyFill="1" applyBorder="1"/>
    <xf numFmtId="166" fontId="2" fillId="0" borderId="0" xfId="0" applyNumberFormat="1" applyFont="1" applyFill="1" applyBorder="1"/>
    <xf numFmtId="0" fontId="0" fillId="0" borderId="33" xfId="0" applyFill="1" applyBorder="1"/>
    <xf numFmtId="165" fontId="14" fillId="0" borderId="39" xfId="0" applyNumberFormat="1" applyFont="1" applyFill="1" applyBorder="1"/>
    <xf numFmtId="44" fontId="0" fillId="0" borderId="33" xfId="1" applyFont="1" applyFill="1" applyBorder="1"/>
    <xf numFmtId="165" fontId="23" fillId="0" borderId="40" xfId="0" applyNumberFormat="1" applyFont="1" applyFill="1" applyBorder="1"/>
    <xf numFmtId="165" fontId="21" fillId="0" borderId="0" xfId="0" applyNumberFormat="1" applyFont="1"/>
    <xf numFmtId="165" fontId="21" fillId="0" borderId="0" xfId="0" applyNumberFormat="1" applyFont="1" applyFill="1"/>
    <xf numFmtId="0" fontId="20" fillId="0" borderId="0" xfId="0" applyFont="1" applyAlignment="1">
      <alignment horizontal="center"/>
    </xf>
    <xf numFmtId="164" fontId="20" fillId="4" borderId="35" xfId="1" applyNumberFormat="1" applyFont="1" applyFill="1" applyBorder="1" applyAlignment="1">
      <alignment horizontal="center"/>
    </xf>
    <xf numFmtId="164" fontId="0" fillId="0" borderId="0" xfId="0" applyNumberFormat="1" applyFont="1"/>
    <xf numFmtId="0" fontId="26" fillId="0" borderId="0" xfId="0" applyFont="1"/>
    <xf numFmtId="0" fontId="26" fillId="0" borderId="0" xfId="0" applyFont="1" applyAlignment="1">
      <alignment horizontal="center"/>
    </xf>
    <xf numFmtId="44" fontId="26" fillId="0" borderId="0" xfId="1" applyFont="1"/>
    <xf numFmtId="0" fontId="21" fillId="0" borderId="33" xfId="0" applyFont="1" applyBorder="1"/>
    <xf numFmtId="0" fontId="21" fillId="0" borderId="33" xfId="0" applyFont="1" applyBorder="1" applyAlignment="1">
      <alignment horizontal="center"/>
    </xf>
    <xf numFmtId="44" fontId="21" fillId="0" borderId="33" xfId="1" applyFont="1" applyBorder="1"/>
    <xf numFmtId="164" fontId="2" fillId="0" borderId="33" xfId="0" applyNumberFormat="1" applyFont="1" applyBorder="1"/>
    <xf numFmtId="44" fontId="21" fillId="0" borderId="22" xfId="1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/>
    </xf>
    <xf numFmtId="44" fontId="26" fillId="0" borderId="22" xfId="1" applyFont="1" applyFill="1" applyBorder="1"/>
    <xf numFmtId="164" fontId="0" fillId="0" borderId="22" xfId="0" applyNumberFormat="1" applyFont="1" applyFill="1" applyBorder="1"/>
    <xf numFmtId="44" fontId="2" fillId="0" borderId="21" xfId="1" applyFont="1" applyFill="1" applyBorder="1" applyAlignment="1">
      <alignment horizontal="center"/>
    </xf>
    <xf numFmtId="0" fontId="26" fillId="0" borderId="21" xfId="0" applyFont="1" applyFill="1" applyBorder="1" applyAlignment="1">
      <alignment horizontal="center"/>
    </xf>
    <xf numFmtId="44" fontId="26" fillId="0" borderId="21" xfId="1" applyFont="1" applyFill="1" applyBorder="1"/>
    <xf numFmtId="164" fontId="0" fillId="0" borderId="21" xfId="0" applyNumberFormat="1" applyFont="1" applyFill="1" applyBorder="1"/>
    <xf numFmtId="44" fontId="2" fillId="0" borderId="20" xfId="1" applyFont="1" applyFill="1" applyBorder="1" applyAlignment="1">
      <alignment horizontal="center"/>
    </xf>
    <xf numFmtId="0" fontId="2" fillId="0" borderId="21" xfId="0" applyFont="1" applyFill="1" applyBorder="1"/>
    <xf numFmtId="0" fontId="0" fillId="0" borderId="21" xfId="0" applyFill="1" applyBorder="1" applyAlignment="1">
      <alignment horizontal="center"/>
    </xf>
    <xf numFmtId="44" fontId="0" fillId="0" borderId="21" xfId="1" applyFont="1" applyFill="1" applyBorder="1"/>
    <xf numFmtId="44" fontId="14" fillId="0" borderId="30" xfId="1" applyFont="1" applyFill="1" applyBorder="1"/>
    <xf numFmtId="0" fontId="22" fillId="0" borderId="43" xfId="0" applyFont="1" applyFill="1" applyBorder="1" applyAlignment="1">
      <alignment horizontal="center"/>
    </xf>
    <xf numFmtId="44" fontId="14" fillId="0" borderId="43" xfId="1" applyFont="1" applyFill="1" applyBorder="1"/>
    <xf numFmtId="0" fontId="0" fillId="0" borderId="20" xfId="0" applyFill="1" applyBorder="1" applyAlignment="1">
      <alignment horizontal="center"/>
    </xf>
    <xf numFmtId="44" fontId="0" fillId="0" borderId="20" xfId="1" applyFont="1" applyFill="1" applyBorder="1"/>
    <xf numFmtId="164" fontId="0" fillId="0" borderId="20" xfId="0" applyNumberFormat="1" applyFont="1" applyFill="1" applyBorder="1"/>
    <xf numFmtId="0" fontId="0" fillId="0" borderId="44" xfId="0" applyBorder="1"/>
    <xf numFmtId="0" fontId="0" fillId="0" borderId="44" xfId="0" applyBorder="1" applyAlignment="1">
      <alignment horizontal="center"/>
    </xf>
    <xf numFmtId="44" fontId="0" fillId="0" borderId="44" xfId="1" applyFont="1" applyBorder="1"/>
    <xf numFmtId="164" fontId="0" fillId="0" borderId="44" xfId="0" applyNumberFormat="1" applyBorder="1"/>
    <xf numFmtId="44" fontId="21" fillId="0" borderId="0" xfId="1" applyFont="1" applyBorder="1"/>
    <xf numFmtId="44" fontId="20" fillId="0" borderId="0" xfId="1" applyFont="1" applyBorder="1"/>
    <xf numFmtId="164" fontId="0" fillId="0" borderId="0" xfId="0" applyNumberFormat="1" applyBorder="1"/>
    <xf numFmtId="14" fontId="0" fillId="0" borderId="0" xfId="0" applyNumberFormat="1"/>
    <xf numFmtId="0" fontId="23" fillId="0" borderId="0" xfId="0" applyFont="1" applyFill="1" applyBorder="1"/>
    <xf numFmtId="0" fontId="0" fillId="0" borderId="0" xfId="0" applyFill="1" applyBorder="1"/>
    <xf numFmtId="164" fontId="20" fillId="6" borderId="35" xfId="1" applyNumberFormat="1" applyFont="1" applyFill="1" applyBorder="1" applyAlignment="1">
      <alignment horizontal="center"/>
    </xf>
    <xf numFmtId="44" fontId="2" fillId="5" borderId="11" xfId="1" applyFont="1" applyFill="1" applyBorder="1"/>
    <xf numFmtId="165" fontId="2" fillId="5" borderId="0" xfId="0" applyNumberFormat="1" applyFont="1" applyFill="1"/>
    <xf numFmtId="15" fontId="2" fillId="5" borderId="12" xfId="0" applyNumberFormat="1" applyFont="1" applyFill="1" applyBorder="1"/>
    <xf numFmtId="165" fontId="2" fillId="5" borderId="13" xfId="0" applyNumberFormat="1" applyFont="1" applyFill="1" applyBorder="1"/>
    <xf numFmtId="0" fontId="0" fillId="5" borderId="0" xfId="0" applyFill="1"/>
    <xf numFmtId="15" fontId="2" fillId="5" borderId="14" xfId="0" applyNumberFormat="1" applyFont="1" applyFill="1" applyBorder="1"/>
    <xf numFmtId="165" fontId="2" fillId="5" borderId="15" xfId="0" applyNumberFormat="1" applyFont="1" applyFill="1" applyBorder="1"/>
    <xf numFmtId="44" fontId="2" fillId="5" borderId="0" xfId="1" applyFont="1" applyFill="1" applyBorder="1"/>
    <xf numFmtId="44" fontId="2" fillId="3" borderId="0" xfId="1" applyFont="1" applyFill="1"/>
    <xf numFmtId="165" fontId="2" fillId="0" borderId="45" xfId="0" applyNumberFormat="1" applyFont="1" applyFill="1" applyBorder="1"/>
    <xf numFmtId="16" fontId="0" fillId="0" borderId="0" xfId="0" applyNumberFormat="1"/>
    <xf numFmtId="164" fontId="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65" fontId="23" fillId="0" borderId="0" xfId="0" applyNumberFormat="1" applyFont="1" applyFill="1" applyBorder="1"/>
    <xf numFmtId="16" fontId="0" fillId="0" borderId="0" xfId="0" applyNumberFormat="1" applyFill="1" applyBorder="1"/>
    <xf numFmtId="165" fontId="24" fillId="0" borderId="0" xfId="0" applyNumberFormat="1" applyFont="1" applyFill="1" applyBorder="1"/>
    <xf numFmtId="44" fontId="0" fillId="0" borderId="0" xfId="1" applyFont="1" applyFill="1" applyBorder="1"/>
    <xf numFmtId="165" fontId="21" fillId="0" borderId="0" xfId="0" applyNumberFormat="1" applyFont="1" applyBorder="1"/>
    <xf numFmtId="165" fontId="21" fillId="0" borderId="0" xfId="0" applyNumberFormat="1" applyFont="1" applyFill="1" applyBorder="1"/>
    <xf numFmtId="164" fontId="2" fillId="0" borderId="0" xfId="0" applyNumberFormat="1" applyFont="1" applyBorder="1" applyAlignment="1">
      <alignment horizontal="center"/>
    </xf>
    <xf numFmtId="1" fontId="19" fillId="0" borderId="0" xfId="1" applyNumberFormat="1" applyFont="1" applyBorder="1" applyAlignment="1">
      <alignment horizontal="center"/>
    </xf>
    <xf numFmtId="164" fontId="2" fillId="0" borderId="0" xfId="0" applyNumberFormat="1" applyFont="1" applyBorder="1"/>
    <xf numFmtId="164" fontId="2" fillId="0" borderId="44" xfId="0" applyNumberFormat="1" applyFont="1" applyFill="1" applyBorder="1" applyAlignment="1">
      <alignment horizontal="center"/>
    </xf>
    <xf numFmtId="0" fontId="22" fillId="0" borderId="46" xfId="0" applyFont="1" applyFill="1" applyBorder="1" applyAlignment="1">
      <alignment horizontal="center"/>
    </xf>
    <xf numFmtId="165" fontId="14" fillId="0" borderId="46" xfId="0" applyNumberFormat="1" applyFont="1" applyFill="1" applyBorder="1"/>
    <xf numFmtId="164" fontId="2" fillId="0" borderId="33" xfId="0" applyNumberFormat="1" applyFont="1" applyFill="1" applyBorder="1"/>
    <xf numFmtId="165" fontId="2" fillId="0" borderId="47" xfId="0" applyNumberFormat="1" applyFont="1" applyFill="1" applyBorder="1"/>
    <xf numFmtId="164" fontId="2" fillId="7" borderId="0" xfId="0" applyNumberFormat="1" applyFont="1" applyFill="1" applyAlignment="1">
      <alignment horizontal="center"/>
    </xf>
    <xf numFmtId="1" fontId="19" fillId="7" borderId="0" xfId="1" applyNumberFormat="1" applyFont="1" applyFill="1" applyAlignment="1">
      <alignment horizontal="center"/>
    </xf>
    <xf numFmtId="0" fontId="20" fillId="7" borderId="0" xfId="0" applyFont="1" applyFill="1"/>
    <xf numFmtId="164" fontId="2" fillId="7" borderId="0" xfId="0" applyNumberFormat="1" applyFont="1" applyFill="1"/>
    <xf numFmtId="44" fontId="0" fillId="7" borderId="0" xfId="1" applyFont="1" applyFill="1"/>
    <xf numFmtId="0" fontId="0" fillId="7" borderId="0" xfId="0" applyFill="1"/>
    <xf numFmtId="164" fontId="9" fillId="0" borderId="0" xfId="0" applyNumberFormat="1" applyFont="1" applyFill="1" applyBorder="1"/>
    <xf numFmtId="165" fontId="0" fillId="0" borderId="0" xfId="1" applyNumberFormat="1" applyFont="1"/>
    <xf numFmtId="165" fontId="0" fillId="0" borderId="0" xfId="1" applyNumberFormat="1" applyFont="1" applyBorder="1"/>
    <xf numFmtId="165" fontId="2" fillId="0" borderId="0" xfId="0" applyNumberFormat="1" applyFont="1" applyFill="1"/>
    <xf numFmtId="15" fontId="2" fillId="0" borderId="12" xfId="0" applyNumberFormat="1" applyFont="1" applyFill="1" applyBorder="1"/>
    <xf numFmtId="15" fontId="2" fillId="0" borderId="14" xfId="0" applyNumberFormat="1" applyFont="1" applyFill="1" applyBorder="1"/>
    <xf numFmtId="16" fontId="22" fillId="4" borderId="30" xfId="0" applyNumberFormat="1" applyFont="1" applyFill="1" applyBorder="1" applyAlignment="1">
      <alignment horizontal="center"/>
    </xf>
    <xf numFmtId="0" fontId="22" fillId="4" borderId="30" xfId="0" applyFont="1" applyFill="1" applyBorder="1" applyAlignment="1">
      <alignment horizontal="center"/>
    </xf>
    <xf numFmtId="165" fontId="14" fillId="4" borderId="30" xfId="0" applyNumberFormat="1" applyFont="1" applyFill="1" applyBorder="1"/>
    <xf numFmtId="164" fontId="20" fillId="8" borderId="35" xfId="1" applyNumberFormat="1" applyFont="1" applyFill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44" fontId="0" fillId="0" borderId="21" xfId="1" applyFont="1" applyBorder="1"/>
    <xf numFmtId="164" fontId="20" fillId="2" borderId="35" xfId="1" applyNumberFormat="1" applyFont="1" applyFill="1" applyBorder="1" applyAlignment="1">
      <alignment horizontal="center"/>
    </xf>
    <xf numFmtId="164" fontId="11" fillId="0" borderId="0" xfId="0" applyNumberFormat="1" applyFont="1" applyFill="1" applyBorder="1"/>
    <xf numFmtId="164" fontId="20" fillId="7" borderId="35" xfId="1" applyNumberFormat="1" applyFont="1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44" fontId="0" fillId="0" borderId="44" xfId="1" applyFont="1" applyFill="1" applyBorder="1"/>
    <xf numFmtId="44" fontId="21" fillId="0" borderId="0" xfId="1" applyFont="1" applyFill="1" applyBorder="1"/>
    <xf numFmtId="44" fontId="20" fillId="0" borderId="0" xfId="1" applyFont="1" applyFill="1" applyBorder="1"/>
    <xf numFmtId="164" fontId="0" fillId="0" borderId="0" xfId="0" applyNumberFormat="1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164" fontId="20" fillId="0" borderId="0" xfId="1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44" fontId="26" fillId="0" borderId="0" xfId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/>
    </xf>
    <xf numFmtId="44" fontId="21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44" fontId="14" fillId="0" borderId="0" xfId="1" applyFont="1" applyFill="1" applyBorder="1"/>
    <xf numFmtId="0" fontId="22" fillId="7" borderId="30" xfId="0" applyFont="1" applyFill="1" applyBorder="1" applyAlignment="1">
      <alignment horizontal="center"/>
    </xf>
    <xf numFmtId="165" fontId="14" fillId="7" borderId="30" xfId="0" applyNumberFormat="1" applyFont="1" applyFill="1" applyBorder="1"/>
    <xf numFmtId="44" fontId="2" fillId="0" borderId="44" xfId="1" applyFont="1" applyFill="1" applyBorder="1" applyAlignment="1">
      <alignment horizontal="center"/>
    </xf>
    <xf numFmtId="164" fontId="0" fillId="0" borderId="44" xfId="0" applyNumberFormat="1" applyFont="1" applyFill="1" applyBorder="1"/>
    <xf numFmtId="165" fontId="14" fillId="0" borderId="0" xfId="1" applyNumberFormat="1" applyFont="1" applyFill="1" applyBorder="1"/>
    <xf numFmtId="44" fontId="0" fillId="3" borderId="0" xfId="1" applyFont="1" applyFill="1"/>
    <xf numFmtId="44" fontId="1" fillId="3" borderId="0" xfId="1" applyFont="1" applyFill="1"/>
    <xf numFmtId="44" fontId="0" fillId="0" borderId="0" xfId="0" applyNumberFormat="1"/>
    <xf numFmtId="164" fontId="12" fillId="0" borderId="0" xfId="0" applyNumberFormat="1" applyFont="1" applyFill="1" applyBorder="1"/>
    <xf numFmtId="165" fontId="0" fillId="0" borderId="0" xfId="0" applyNumberFormat="1" applyBorder="1"/>
    <xf numFmtId="0" fontId="2" fillId="0" borderId="19" xfId="0" applyFont="1" applyBorder="1" applyAlignment="1">
      <alignment wrapText="1"/>
    </xf>
    <xf numFmtId="0" fontId="13" fillId="0" borderId="22" xfId="0" applyFont="1" applyBorder="1" applyAlignment="1"/>
    <xf numFmtId="16" fontId="2" fillId="0" borderId="20" xfId="0" applyNumberFormat="1" applyFont="1" applyBorder="1" applyAlignment="1"/>
    <xf numFmtId="165" fontId="2" fillId="4" borderId="13" xfId="0" applyNumberFormat="1" applyFont="1" applyFill="1" applyBorder="1"/>
    <xf numFmtId="165" fontId="2" fillId="4" borderId="15" xfId="0" applyNumberFormat="1" applyFont="1" applyFill="1" applyBorder="1"/>
    <xf numFmtId="44" fontId="2" fillId="4" borderId="11" xfId="1" applyFont="1" applyFill="1" applyBorder="1"/>
    <xf numFmtId="0" fontId="22" fillId="0" borderId="21" xfId="0" applyFont="1" applyFill="1" applyBorder="1" applyAlignment="1">
      <alignment horizontal="center"/>
    </xf>
    <xf numFmtId="44" fontId="14" fillId="0" borderId="21" xfId="1" applyFont="1" applyFill="1" applyBorder="1"/>
    <xf numFmtId="44" fontId="2" fillId="0" borderId="30" xfId="1" applyFont="1" applyFill="1" applyBorder="1"/>
    <xf numFmtId="44" fontId="21" fillId="0" borderId="0" xfId="0" applyNumberFormat="1" applyFont="1" applyFill="1" applyBorder="1"/>
    <xf numFmtId="165" fontId="14" fillId="5" borderId="30" xfId="0" applyNumberFormat="1" applyFont="1" applyFill="1" applyBorder="1"/>
    <xf numFmtId="44" fontId="1" fillId="0" borderId="0" xfId="1" applyFont="1" applyFill="1"/>
    <xf numFmtId="44" fontId="0" fillId="0" borderId="0" xfId="0" applyNumberFormat="1" applyFill="1"/>
    <xf numFmtId="0" fontId="21" fillId="0" borderId="21" xfId="0" applyFont="1" applyFill="1" applyBorder="1"/>
    <xf numFmtId="0" fontId="21" fillId="0" borderId="21" xfId="0" applyFont="1" applyFill="1" applyBorder="1" applyAlignment="1">
      <alignment horizontal="center"/>
    </xf>
    <xf numFmtId="44" fontId="21" fillId="0" borderId="21" xfId="1" applyFont="1" applyFill="1" applyBorder="1"/>
    <xf numFmtId="164" fontId="0" fillId="0" borderId="21" xfId="0" applyNumberFormat="1" applyFill="1" applyBorder="1"/>
    <xf numFmtId="16" fontId="0" fillId="0" borderId="21" xfId="0" applyNumberFormat="1" applyBorder="1"/>
    <xf numFmtId="165" fontId="2" fillId="0" borderId="21" xfId="1" applyNumberFormat="1" applyFont="1" applyBorder="1"/>
    <xf numFmtId="44" fontId="0" fillId="0" borderId="21" xfId="0" applyNumberFormat="1" applyBorder="1"/>
    <xf numFmtId="0" fontId="21" fillId="0" borderId="0" xfId="0" applyFont="1"/>
    <xf numFmtId="44" fontId="21" fillId="0" borderId="0" xfId="0" applyNumberFormat="1" applyFont="1"/>
    <xf numFmtId="164" fontId="27" fillId="0" borderId="21" xfId="0" applyNumberFormat="1" applyFont="1" applyFill="1" applyBorder="1" applyAlignment="1">
      <alignment horizontal="center"/>
    </xf>
    <xf numFmtId="0" fontId="28" fillId="0" borderId="30" xfId="0" applyFont="1" applyFill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4" fontId="29" fillId="0" borderId="21" xfId="0" applyNumberFormat="1" applyFont="1" applyFill="1" applyBorder="1" applyAlignment="1">
      <alignment horizontal="center"/>
    </xf>
    <xf numFmtId="16" fontId="0" fillId="0" borderId="0" xfId="0" applyNumberFormat="1" applyBorder="1" applyAlignment="1"/>
    <xf numFmtId="16" fontId="0" fillId="0" borderId="0" xfId="0" applyNumberFormat="1" applyBorder="1"/>
    <xf numFmtId="44" fontId="0" fillId="0" borderId="0" xfId="1" applyFont="1" applyBorder="1" applyAlignment="1"/>
    <xf numFmtId="16" fontId="11" fillId="0" borderId="0" xfId="0" applyNumberFormat="1" applyFont="1" applyBorder="1"/>
    <xf numFmtId="0" fontId="2" fillId="0" borderId="33" xfId="0" applyFont="1" applyFill="1" applyBorder="1"/>
    <xf numFmtId="165" fontId="2" fillId="0" borderId="33" xfId="0" applyNumberFormat="1" applyFont="1" applyFill="1" applyBorder="1"/>
    <xf numFmtId="44" fontId="2" fillId="0" borderId="33" xfId="1" applyFont="1" applyBorder="1"/>
    <xf numFmtId="44" fontId="20" fillId="7" borderId="0" xfId="1" applyFont="1" applyFill="1"/>
    <xf numFmtId="44" fontId="2" fillId="0" borderId="37" xfId="1" applyFont="1" applyBorder="1" applyAlignment="1">
      <alignment horizontal="center" wrapText="1"/>
    </xf>
    <xf numFmtId="44" fontId="14" fillId="0" borderId="39" xfId="1" applyFont="1" applyFill="1" applyBorder="1"/>
    <xf numFmtId="44" fontId="21" fillId="0" borderId="0" xfId="1" applyFont="1"/>
    <xf numFmtId="16" fontId="0" fillId="0" borderId="0" xfId="0" applyNumberFormat="1" applyFill="1"/>
    <xf numFmtId="44" fontId="4" fillId="0" borderId="33" xfId="1" applyFont="1" applyFill="1" applyBorder="1"/>
    <xf numFmtId="164" fontId="4" fillId="0" borderId="33" xfId="0" applyNumberFormat="1" applyFont="1" applyFill="1" applyBorder="1"/>
    <xf numFmtId="0" fontId="0" fillId="4" borderId="0" xfId="0" applyFill="1"/>
    <xf numFmtId="15" fontId="2" fillId="4" borderId="19" xfId="0" applyNumberFormat="1" applyFont="1" applyFill="1" applyBorder="1"/>
    <xf numFmtId="0" fontId="2" fillId="3" borderId="0" xfId="0" applyFont="1" applyFill="1"/>
    <xf numFmtId="0" fontId="30" fillId="2" borderId="19" xfId="0" applyFont="1" applyFill="1" applyBorder="1"/>
    <xf numFmtId="165" fontId="0" fillId="4" borderId="0" xfId="0" applyNumberFormat="1" applyFill="1" applyBorder="1"/>
    <xf numFmtId="44" fontId="0" fillId="0" borderId="0" xfId="0" applyNumberFormat="1" applyBorder="1"/>
    <xf numFmtId="44" fontId="21" fillId="9" borderId="0" xfId="1" applyFont="1" applyFill="1"/>
    <xf numFmtId="44" fontId="21" fillId="0" borderId="0" xfId="1" applyFont="1" applyFill="1"/>
    <xf numFmtId="0" fontId="2" fillId="4" borderId="33" xfId="0" applyFont="1" applyFill="1" applyBorder="1"/>
    <xf numFmtId="165" fontId="2" fillId="4" borderId="33" xfId="0" applyNumberFormat="1" applyFont="1" applyFill="1" applyBorder="1"/>
    <xf numFmtId="44" fontId="21" fillId="10" borderId="0" xfId="1" applyFont="1" applyFill="1"/>
    <xf numFmtId="0" fontId="0" fillId="10" borderId="0" xfId="0" applyFill="1"/>
    <xf numFmtId="0" fontId="2" fillId="10" borderId="0" xfId="0" applyFont="1" applyFill="1"/>
    <xf numFmtId="0" fontId="16" fillId="0" borderId="2" xfId="0" applyFont="1" applyBorder="1"/>
    <xf numFmtId="0" fontId="22" fillId="0" borderId="44" xfId="0" applyFont="1" applyFill="1" applyBorder="1" applyAlignment="1">
      <alignment horizontal="center"/>
    </xf>
    <xf numFmtId="44" fontId="14" fillId="0" borderId="44" xfId="1" applyFont="1" applyFill="1" applyBorder="1"/>
    <xf numFmtId="164" fontId="31" fillId="0" borderId="0" xfId="0" applyNumberFormat="1" applyFont="1" applyFill="1" applyBorder="1"/>
    <xf numFmtId="0" fontId="2" fillId="0" borderId="19" xfId="0" applyFont="1" applyFill="1" applyBorder="1"/>
    <xf numFmtId="0" fontId="31" fillId="2" borderId="19" xfId="0" applyFont="1" applyFill="1" applyBorder="1"/>
    <xf numFmtId="16" fontId="2" fillId="0" borderId="0" xfId="0" applyNumberFormat="1" applyFont="1" applyFill="1"/>
    <xf numFmtId="164" fontId="20" fillId="11" borderId="35" xfId="1" applyNumberFormat="1" applyFont="1" applyFill="1" applyBorder="1" applyAlignment="1">
      <alignment horizontal="center"/>
    </xf>
    <xf numFmtId="44" fontId="21" fillId="4" borderId="0" xfId="1" applyFont="1" applyFill="1"/>
    <xf numFmtId="0" fontId="21" fillId="0" borderId="22" xfId="0" applyFont="1" applyFill="1" applyBorder="1" applyAlignment="1">
      <alignment horizontal="center"/>
    </xf>
    <xf numFmtId="164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2" fillId="0" borderId="21" xfId="1" applyFont="1" applyFill="1" applyBorder="1"/>
    <xf numFmtId="0" fontId="2" fillId="0" borderId="44" xfId="0" applyFont="1" applyFill="1" applyBorder="1" applyAlignment="1">
      <alignment horizontal="center"/>
    </xf>
    <xf numFmtId="44" fontId="2" fillId="0" borderId="44" xfId="1" applyFont="1" applyFill="1" applyBorder="1"/>
    <xf numFmtId="164" fontId="2" fillId="0" borderId="44" xfId="0" applyNumberFormat="1" applyFont="1" applyFill="1" applyBorder="1"/>
    <xf numFmtId="44" fontId="21" fillId="0" borderId="22" xfId="1" applyFont="1" applyFill="1" applyBorder="1"/>
    <xf numFmtId="164" fontId="2" fillId="0" borderId="22" xfId="0" applyNumberFormat="1" applyFont="1" applyFill="1" applyBorder="1"/>
    <xf numFmtId="16" fontId="22" fillId="0" borderId="0" xfId="0" applyNumberFormat="1" applyFont="1" applyFill="1" applyBorder="1" applyAlignment="1">
      <alignment horizontal="center"/>
    </xf>
    <xf numFmtId="44" fontId="0" fillId="0" borderId="0" xfId="0" applyNumberFormat="1" applyFill="1" applyBorder="1"/>
    <xf numFmtId="0" fontId="32" fillId="7" borderId="0" xfId="0" applyFont="1" applyFill="1" applyAlignment="1">
      <alignment horizontal="center"/>
    </xf>
    <xf numFmtId="165" fontId="2" fillId="4" borderId="0" xfId="0" applyNumberFormat="1" applyFont="1" applyFill="1" applyBorder="1"/>
    <xf numFmtId="164" fontId="20" fillId="12" borderId="35" xfId="1" applyNumberFormat="1" applyFont="1" applyFill="1" applyBorder="1" applyAlignment="1">
      <alignment horizontal="center"/>
    </xf>
    <xf numFmtId="0" fontId="22" fillId="0" borderId="20" xfId="0" applyFont="1" applyFill="1" applyBorder="1" applyAlignment="1">
      <alignment horizontal="center"/>
    </xf>
    <xf numFmtId="44" fontId="14" fillId="0" borderId="20" xfId="1" applyFont="1" applyFill="1" applyBorder="1"/>
    <xf numFmtId="0" fontId="2" fillId="0" borderId="20" xfId="0" applyFont="1" applyFill="1" applyBorder="1" applyAlignment="1">
      <alignment horizontal="center"/>
    </xf>
    <xf numFmtId="44" fontId="2" fillId="0" borderId="20" xfId="1" applyFont="1" applyFill="1" applyBorder="1"/>
    <xf numFmtId="164" fontId="2" fillId="0" borderId="20" xfId="0" applyNumberFormat="1" applyFont="1" applyFill="1" applyBorder="1"/>
    <xf numFmtId="44" fontId="0" fillId="0" borderId="0" xfId="1" applyFont="1" applyBorder="1"/>
    <xf numFmtId="0" fontId="4" fillId="2" borderId="19" xfId="0" applyFont="1" applyFill="1" applyBorder="1"/>
    <xf numFmtId="44" fontId="2" fillId="0" borderId="21" xfId="1" applyFont="1" applyFill="1" applyBorder="1" applyAlignment="1">
      <alignment horizontal="left"/>
    </xf>
    <xf numFmtId="44" fontId="24" fillId="0" borderId="30" xfId="1" applyFont="1" applyFill="1" applyBorder="1"/>
    <xf numFmtId="44" fontId="2" fillId="9" borderId="0" xfId="1" applyFont="1" applyFill="1" applyBorder="1"/>
    <xf numFmtId="165" fontId="14" fillId="0" borderId="32" xfId="0" applyNumberFormat="1" applyFont="1" applyFill="1" applyBorder="1"/>
    <xf numFmtId="165" fontId="14" fillId="5" borderId="32" xfId="0" applyNumberFormat="1" applyFont="1" applyFill="1" applyBorder="1"/>
    <xf numFmtId="165" fontId="24" fillId="5" borderId="30" xfId="0" applyNumberFormat="1" applyFont="1" applyFill="1" applyBorder="1"/>
    <xf numFmtId="44" fontId="14" fillId="4" borderId="30" xfId="1" applyFont="1" applyFill="1" applyBorder="1"/>
    <xf numFmtId="165" fontId="23" fillId="5" borderId="32" xfId="0" applyNumberFormat="1" applyFont="1" applyFill="1" applyBorder="1"/>
    <xf numFmtId="44" fontId="2" fillId="4" borderId="21" xfId="1" applyFont="1" applyFill="1" applyBorder="1"/>
    <xf numFmtId="44" fontId="2" fillId="0" borderId="13" xfId="1" applyFont="1" applyBorder="1"/>
    <xf numFmtId="165" fontId="2" fillId="0" borderId="21" xfId="0" applyNumberFormat="1" applyFont="1" applyBorder="1"/>
    <xf numFmtId="44" fontId="2" fillId="0" borderId="17" xfId="1" applyFont="1" applyBorder="1"/>
    <xf numFmtId="44" fontId="14" fillId="5" borderId="30" xfId="1" applyFont="1" applyFill="1" applyBorder="1"/>
    <xf numFmtId="0" fontId="2" fillId="0" borderId="0" xfId="0" applyFont="1" applyFill="1" applyBorder="1" applyAlignment="1">
      <alignment horizontal="center"/>
    </xf>
    <xf numFmtId="165" fontId="2" fillId="0" borderId="46" xfId="0" applyNumberFormat="1" applyFont="1" applyFill="1" applyBorder="1"/>
    <xf numFmtId="0" fontId="2" fillId="0" borderId="0" xfId="0" applyFont="1" applyFill="1" applyAlignment="1">
      <alignment horizontal="center" wrapText="1"/>
    </xf>
    <xf numFmtId="165" fontId="18" fillId="0" borderId="30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18" fillId="0" borderId="0" xfId="0" applyNumberFormat="1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3" fillId="0" borderId="20" xfId="0" applyFont="1" applyBorder="1" applyAlignment="1">
      <alignment horizontal="center" wrapText="1"/>
    </xf>
    <xf numFmtId="0" fontId="13" fillId="0" borderId="22" xfId="0" applyFont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42" xfId="0" applyFont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 wrapText="1"/>
    </xf>
    <xf numFmtId="0" fontId="9" fillId="2" borderId="22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31" name="30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1" name="30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4" name="33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5" name="34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7" name="36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1" name="40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2" name="41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4" name="43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7" name="46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8" name="47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35" name="34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9" name="18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5" name="24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8" name="27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1" name="30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7" name="36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8" name="37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6" name="5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7" name="6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0" name="9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1" name="10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2" name="11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3" name="12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2" name="21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4" name="23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0" name="9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1" name="10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2" name="11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3" name="12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34" name="33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36" name="35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2" name="41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4" name="43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6" name="45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8" name="47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0" name="49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1" name="50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2" name="51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3" name="52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4" name="53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5" name="5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6" name="55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7" name="5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22" name="21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24" name="23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2" name="31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2" name="41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4" name="43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6" name="45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8" name="47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P111"/>
  <sheetViews>
    <sheetView topLeftCell="A25" workbookViewId="0">
      <selection activeCell="L49" sqref="L49"/>
    </sheetView>
  </sheetViews>
  <sheetFormatPr baseColWidth="10" defaultRowHeight="15" x14ac:dyDescent="0.25"/>
  <cols>
    <col min="1" max="1" width="5" customWidth="1"/>
    <col min="2" max="2" width="13.140625" style="1" customWidth="1"/>
    <col min="3" max="3" width="16.28515625" style="2" customWidth="1"/>
    <col min="4" max="4" width="12.42578125" customWidth="1"/>
    <col min="5" max="5" width="11.42578125" style="1"/>
    <col min="6" max="6" width="16.28515625" style="1" customWidth="1"/>
    <col min="7" max="7" width="4.85546875" customWidth="1"/>
    <col min="8" max="8" width="11.42578125" style="1"/>
    <col min="9" max="9" width="12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5" max="15" width="8.140625" customWidth="1"/>
    <col min="16" max="16" width="10.7109375" style="1" customWidth="1"/>
    <col min="17" max="17" width="16.28515625" style="2" customWidth="1"/>
    <col min="18" max="18" width="12.42578125" customWidth="1"/>
    <col min="19" max="19" width="11.42578125" style="1"/>
    <col min="20" max="20" width="17.85546875" style="1" bestFit="1" customWidth="1"/>
    <col min="21" max="21" width="4.85546875" customWidth="1"/>
    <col min="22" max="22" width="11.42578125" style="1"/>
    <col min="23" max="23" width="14.140625" style="1" customWidth="1"/>
    <col min="24" max="24" width="11.42578125" style="1"/>
    <col min="25" max="25" width="14.85546875" style="1" bestFit="1" customWidth="1"/>
    <col min="26" max="26" width="14.140625" style="2" bestFit="1" customWidth="1"/>
    <col min="27" max="27" width="12.5703125" style="3" bestFit="1" customWidth="1"/>
    <col min="28" max="28" width="13.42578125" customWidth="1"/>
    <col min="29" max="29" width="8.140625" customWidth="1"/>
    <col min="30" max="30" width="10.7109375" style="1" customWidth="1"/>
    <col min="31" max="31" width="16.28515625" style="2" customWidth="1"/>
    <col min="32" max="32" width="12.42578125" customWidth="1"/>
    <col min="33" max="33" width="11.42578125" style="1"/>
    <col min="34" max="34" width="17.85546875" style="1" bestFit="1" customWidth="1"/>
    <col min="35" max="35" width="4.85546875" customWidth="1"/>
    <col min="36" max="36" width="11.42578125" style="1"/>
    <col min="37" max="37" width="14.140625" style="1" customWidth="1"/>
    <col min="38" max="38" width="11.42578125" style="1"/>
    <col min="39" max="39" width="14.85546875" style="1" bestFit="1" customWidth="1"/>
    <col min="40" max="40" width="14.140625" style="2" bestFit="1" customWidth="1"/>
    <col min="41" max="41" width="12.5703125" style="3" bestFit="1" customWidth="1"/>
    <col min="42" max="42" width="13.42578125" customWidth="1"/>
  </cols>
  <sheetData>
    <row r="1" spans="1:42" ht="24" customHeight="1" thickBot="1" x14ac:dyDescent="0.4">
      <c r="C1" s="334" t="s">
        <v>20</v>
      </c>
      <c r="D1" s="334"/>
      <c r="E1" s="334"/>
      <c r="F1" s="334"/>
      <c r="G1" s="334"/>
      <c r="H1" s="334"/>
      <c r="I1" s="334"/>
      <c r="J1" s="334"/>
      <c r="Q1" s="334" t="s">
        <v>20</v>
      </c>
      <c r="R1" s="334"/>
      <c r="S1" s="334"/>
      <c r="T1" s="334"/>
      <c r="U1" s="334"/>
      <c r="V1" s="334"/>
      <c r="W1" s="334"/>
      <c r="X1" s="334"/>
      <c r="AE1" s="334" t="s">
        <v>20</v>
      </c>
      <c r="AF1" s="334"/>
      <c r="AG1" s="334"/>
      <c r="AH1" s="334"/>
      <c r="AI1" s="334"/>
      <c r="AJ1" s="334"/>
      <c r="AK1" s="334"/>
      <c r="AL1" s="334"/>
    </row>
    <row r="2" spans="1:42" ht="19.5" customHeight="1" thickBot="1" x14ac:dyDescent="0.3">
      <c r="C2" s="4" t="s">
        <v>0</v>
      </c>
      <c r="E2" s="5"/>
      <c r="F2" s="5"/>
      <c r="Q2" s="4" t="s">
        <v>0</v>
      </c>
      <c r="S2" s="5"/>
      <c r="T2" s="5"/>
      <c r="AE2" s="4" t="s">
        <v>0</v>
      </c>
      <c r="AG2" s="5"/>
      <c r="AH2" s="5"/>
    </row>
    <row r="3" spans="1:42" ht="32.25" customHeight="1" thickTop="1" thickBot="1" x14ac:dyDescent="0.35">
      <c r="A3" s="280" t="s">
        <v>1</v>
      </c>
      <c r="B3" s="7"/>
      <c r="C3" s="8">
        <v>580958.05000000005</v>
      </c>
      <c r="D3" s="9"/>
      <c r="E3" s="335" t="s">
        <v>2</v>
      </c>
      <c r="F3" s="336"/>
      <c r="I3" s="337" t="s">
        <v>3</v>
      </c>
      <c r="J3" s="338"/>
      <c r="K3" s="339"/>
      <c r="L3" s="10" t="s">
        <v>4</v>
      </c>
      <c r="O3" s="6" t="s">
        <v>1</v>
      </c>
      <c r="P3" s="7"/>
      <c r="Q3" s="8">
        <v>580958.05000000005</v>
      </c>
      <c r="R3" s="9"/>
      <c r="S3" s="335" t="s">
        <v>2</v>
      </c>
      <c r="T3" s="336"/>
      <c r="W3" s="337" t="s">
        <v>3</v>
      </c>
      <c r="X3" s="338"/>
      <c r="Y3" s="339"/>
      <c r="Z3" s="10" t="s">
        <v>4</v>
      </c>
      <c r="AC3" s="6" t="s">
        <v>1</v>
      </c>
      <c r="AD3" s="7"/>
      <c r="AE3" s="8">
        <v>580958.05000000005</v>
      </c>
      <c r="AF3" s="9"/>
      <c r="AG3" s="335" t="s">
        <v>2</v>
      </c>
      <c r="AH3" s="336"/>
      <c r="AK3" s="337" t="s">
        <v>3</v>
      </c>
      <c r="AL3" s="338"/>
      <c r="AM3" s="339"/>
      <c r="AN3" s="10" t="s">
        <v>4</v>
      </c>
    </row>
    <row r="4" spans="1:42" ht="15.75" thickTop="1" x14ac:dyDescent="0.25">
      <c r="B4" s="11">
        <v>42370</v>
      </c>
      <c r="C4" s="149">
        <v>0</v>
      </c>
      <c r="D4" s="150"/>
      <c r="E4" s="151">
        <v>42370</v>
      </c>
      <c r="F4" s="152">
        <v>0</v>
      </c>
      <c r="G4" s="153"/>
      <c r="H4" s="154">
        <v>42370</v>
      </c>
      <c r="I4" s="155">
        <v>0</v>
      </c>
      <c r="J4" s="16"/>
      <c r="K4" s="17"/>
      <c r="L4" s="156">
        <v>0</v>
      </c>
      <c r="P4" s="11">
        <v>42370</v>
      </c>
      <c r="Q4" s="149">
        <v>0</v>
      </c>
      <c r="R4" s="150"/>
      <c r="S4" s="151">
        <v>42370</v>
      </c>
      <c r="T4" s="152">
        <v>0</v>
      </c>
      <c r="U4" s="153"/>
      <c r="V4" s="154">
        <v>42370</v>
      </c>
      <c r="W4" s="155">
        <v>0</v>
      </c>
      <c r="X4" s="16"/>
      <c r="Y4" s="17"/>
      <c r="Z4" s="156">
        <v>0</v>
      </c>
      <c r="AA4" s="33"/>
      <c r="AB4" s="14"/>
      <c r="AD4" s="11">
        <v>42370</v>
      </c>
      <c r="AE4" s="149">
        <v>0</v>
      </c>
      <c r="AF4" s="150"/>
      <c r="AG4" s="151">
        <v>42370</v>
      </c>
      <c r="AH4" s="152">
        <v>0</v>
      </c>
      <c r="AI4" s="153"/>
      <c r="AJ4" s="154">
        <v>42370</v>
      </c>
      <c r="AK4" s="155">
        <v>0</v>
      </c>
      <c r="AL4" s="16"/>
      <c r="AM4" s="17"/>
      <c r="AN4" s="156">
        <v>0</v>
      </c>
      <c r="AO4" s="33"/>
      <c r="AP4" s="14"/>
    </row>
    <row r="5" spans="1:42" x14ac:dyDescent="0.25">
      <c r="B5" s="11">
        <v>42371</v>
      </c>
      <c r="C5" s="12">
        <v>0</v>
      </c>
      <c r="D5" s="19"/>
      <c r="E5" s="20">
        <v>42371</v>
      </c>
      <c r="F5" s="13">
        <v>0</v>
      </c>
      <c r="G5" s="21"/>
      <c r="H5" s="22">
        <v>42371</v>
      </c>
      <c r="I5" s="15">
        <v>0</v>
      </c>
      <c r="J5" s="23" t="s">
        <v>5</v>
      </c>
      <c r="K5" s="24">
        <v>863</v>
      </c>
      <c r="L5" s="18">
        <v>0</v>
      </c>
      <c r="P5" s="11">
        <v>42371</v>
      </c>
      <c r="Q5" s="12">
        <v>0</v>
      </c>
      <c r="R5" s="19"/>
      <c r="S5" s="20">
        <v>42371</v>
      </c>
      <c r="T5" s="13">
        <v>0</v>
      </c>
      <c r="U5" s="21"/>
      <c r="V5" s="22">
        <v>42371</v>
      </c>
      <c r="W5" s="15">
        <v>0</v>
      </c>
      <c r="X5" s="23" t="s">
        <v>5</v>
      </c>
      <c r="Y5" s="24">
        <v>863</v>
      </c>
      <c r="Z5" s="18">
        <v>0</v>
      </c>
      <c r="AA5" s="33"/>
      <c r="AB5" s="14"/>
      <c r="AD5" s="11">
        <v>42371</v>
      </c>
      <c r="AE5" s="12">
        <v>0</v>
      </c>
      <c r="AF5" s="19"/>
      <c r="AG5" s="20">
        <v>42371</v>
      </c>
      <c r="AH5" s="13">
        <v>0</v>
      </c>
      <c r="AI5" s="21"/>
      <c r="AJ5" s="22">
        <v>42371</v>
      </c>
      <c r="AK5" s="15">
        <v>0</v>
      </c>
      <c r="AL5" s="23" t="s">
        <v>5</v>
      </c>
      <c r="AM5" s="24">
        <v>0</v>
      </c>
      <c r="AN5" s="18">
        <v>0</v>
      </c>
      <c r="AO5" s="33"/>
      <c r="AP5" s="14"/>
    </row>
    <row r="6" spans="1:42" x14ac:dyDescent="0.25">
      <c r="B6" s="11">
        <v>42372</v>
      </c>
      <c r="C6" s="12">
        <v>0</v>
      </c>
      <c r="D6" s="19"/>
      <c r="E6" s="20">
        <v>42372</v>
      </c>
      <c r="F6" s="13">
        <v>87352</v>
      </c>
      <c r="G6" s="14"/>
      <c r="H6" s="22">
        <v>42372</v>
      </c>
      <c r="I6" s="15">
        <v>350</v>
      </c>
      <c r="J6" s="25" t="s">
        <v>219</v>
      </c>
      <c r="K6" s="24">
        <v>20000</v>
      </c>
      <c r="L6" s="18">
        <v>87002</v>
      </c>
      <c r="P6" s="11">
        <v>42372</v>
      </c>
      <c r="Q6" s="12">
        <v>0</v>
      </c>
      <c r="R6" s="19"/>
      <c r="S6" s="20">
        <v>42372</v>
      </c>
      <c r="T6" s="13">
        <v>87352</v>
      </c>
      <c r="U6" s="14"/>
      <c r="V6" s="22">
        <v>42372</v>
      </c>
      <c r="W6" s="15">
        <v>350</v>
      </c>
      <c r="X6" s="25" t="s">
        <v>6</v>
      </c>
      <c r="Y6" s="24">
        <v>5000</v>
      </c>
      <c r="Z6" s="18">
        <v>87002</v>
      </c>
      <c r="AA6" s="33"/>
      <c r="AB6" s="14"/>
      <c r="AD6" s="11">
        <v>42372</v>
      </c>
      <c r="AE6" s="12">
        <v>0</v>
      </c>
      <c r="AF6" s="19"/>
      <c r="AG6" s="20">
        <v>42372</v>
      </c>
      <c r="AH6" s="13">
        <v>87352</v>
      </c>
      <c r="AI6" s="14"/>
      <c r="AJ6" s="22">
        <v>42372</v>
      </c>
      <c r="AK6" s="15">
        <v>350</v>
      </c>
      <c r="AL6" s="25" t="s">
        <v>6</v>
      </c>
      <c r="AM6" s="24">
        <f>2500</f>
        <v>2500</v>
      </c>
      <c r="AN6" s="18">
        <v>87002</v>
      </c>
      <c r="AO6" s="33"/>
      <c r="AP6" s="14"/>
    </row>
    <row r="7" spans="1:42" x14ac:dyDescent="0.25">
      <c r="B7" s="11">
        <v>42373</v>
      </c>
      <c r="C7" s="12">
        <v>9343</v>
      </c>
      <c r="D7" s="26" t="s">
        <v>54</v>
      </c>
      <c r="E7" s="20">
        <v>42373</v>
      </c>
      <c r="F7" s="13">
        <v>224523</v>
      </c>
      <c r="G7" s="14"/>
      <c r="H7" s="22">
        <v>42373</v>
      </c>
      <c r="I7" s="15">
        <v>0</v>
      </c>
      <c r="J7" s="23" t="s">
        <v>7</v>
      </c>
      <c r="K7" s="24">
        <f>7187.5+7187.5+7187.5+7187.5</f>
        <v>28750</v>
      </c>
      <c r="L7" s="18">
        <v>215179.5</v>
      </c>
      <c r="P7" s="11">
        <v>42373</v>
      </c>
      <c r="Q7" s="12">
        <v>9343</v>
      </c>
      <c r="R7" s="26" t="s">
        <v>54</v>
      </c>
      <c r="S7" s="20">
        <v>42373</v>
      </c>
      <c r="T7" s="13">
        <v>224523</v>
      </c>
      <c r="U7" s="14"/>
      <c r="V7" s="22">
        <v>42373</v>
      </c>
      <c r="W7" s="15">
        <v>0</v>
      </c>
      <c r="X7" s="23" t="s">
        <v>7</v>
      </c>
      <c r="Y7" s="24">
        <f>7187.5+7187.5+7187.5</f>
        <v>21562.5</v>
      </c>
      <c r="Z7" s="18">
        <v>215179.5</v>
      </c>
      <c r="AA7" s="33"/>
      <c r="AB7" s="14"/>
      <c r="AD7" s="11">
        <v>42373</v>
      </c>
      <c r="AE7" s="12">
        <v>9343</v>
      </c>
      <c r="AF7" s="26" t="s">
        <v>54</v>
      </c>
      <c r="AG7" s="20">
        <v>42373</v>
      </c>
      <c r="AH7" s="13">
        <v>224523</v>
      </c>
      <c r="AI7" s="14"/>
      <c r="AJ7" s="22">
        <v>42373</v>
      </c>
      <c r="AK7" s="15">
        <v>0</v>
      </c>
      <c r="AL7" s="23" t="s">
        <v>7</v>
      </c>
      <c r="AM7" s="24">
        <f>7187.5</f>
        <v>7187.5</v>
      </c>
      <c r="AN7" s="18">
        <v>215179.5</v>
      </c>
      <c r="AO7" s="33"/>
      <c r="AP7" s="14"/>
    </row>
    <row r="8" spans="1:42" x14ac:dyDescent="0.25">
      <c r="B8" s="11">
        <v>42374</v>
      </c>
      <c r="C8" s="12">
        <v>0</v>
      </c>
      <c r="D8" s="26"/>
      <c r="E8" s="20">
        <v>42374</v>
      </c>
      <c r="F8" s="13">
        <v>56193</v>
      </c>
      <c r="G8" s="14"/>
      <c r="H8" s="22">
        <v>42374</v>
      </c>
      <c r="I8" s="15">
        <v>0</v>
      </c>
      <c r="J8" s="23" t="s">
        <v>50</v>
      </c>
      <c r="K8" s="13">
        <v>9001.2000000000007</v>
      </c>
      <c r="L8" s="18">
        <v>94901</v>
      </c>
      <c r="P8" s="11">
        <v>42374</v>
      </c>
      <c r="Q8" s="12">
        <v>0</v>
      </c>
      <c r="R8" s="26"/>
      <c r="S8" s="20">
        <v>42374</v>
      </c>
      <c r="T8" s="13">
        <v>94901</v>
      </c>
      <c r="U8" s="14"/>
      <c r="V8" s="22">
        <v>42374</v>
      </c>
      <c r="W8" s="15">
        <v>0</v>
      </c>
      <c r="X8" s="23" t="s">
        <v>50</v>
      </c>
      <c r="Y8" s="13">
        <v>9001.2000000000007</v>
      </c>
      <c r="Z8" s="18">
        <v>94901</v>
      </c>
      <c r="AA8" s="33"/>
      <c r="AB8" s="14"/>
      <c r="AD8" s="11">
        <v>42374</v>
      </c>
      <c r="AE8" s="12">
        <v>0</v>
      </c>
      <c r="AF8" s="26"/>
      <c r="AG8" s="20">
        <v>42374</v>
      </c>
      <c r="AH8" s="13">
        <v>94901</v>
      </c>
      <c r="AI8" s="14"/>
      <c r="AJ8" s="22">
        <v>42374</v>
      </c>
      <c r="AK8" s="15">
        <v>0</v>
      </c>
      <c r="AL8" s="23" t="s">
        <v>50</v>
      </c>
      <c r="AM8" s="13">
        <v>9001.2000000000007</v>
      </c>
      <c r="AN8" s="18">
        <v>94901</v>
      </c>
      <c r="AO8" s="33"/>
      <c r="AP8" s="14"/>
    </row>
    <row r="9" spans="1:42" x14ac:dyDescent="0.25">
      <c r="B9" s="11">
        <v>42375</v>
      </c>
      <c r="C9" s="12">
        <v>186</v>
      </c>
      <c r="D9" s="26" t="s">
        <v>55</v>
      </c>
      <c r="E9" s="20">
        <v>42375</v>
      </c>
      <c r="F9" s="13">
        <v>62098.5</v>
      </c>
      <c r="G9" s="14"/>
      <c r="H9" s="22">
        <v>42375</v>
      </c>
      <c r="I9" s="15">
        <v>348</v>
      </c>
      <c r="J9" s="23" t="s">
        <v>51</v>
      </c>
      <c r="K9" s="13">
        <v>7839.29</v>
      </c>
      <c r="L9" s="18">
        <v>60764.5</v>
      </c>
      <c r="P9" s="11">
        <v>42375</v>
      </c>
      <c r="Q9" s="12">
        <v>186</v>
      </c>
      <c r="R9" s="26" t="s">
        <v>55</v>
      </c>
      <c r="S9" s="20">
        <v>42375</v>
      </c>
      <c r="T9" s="13">
        <v>62098.5</v>
      </c>
      <c r="U9" s="14"/>
      <c r="V9" s="22">
        <v>42375</v>
      </c>
      <c r="W9" s="15">
        <v>348</v>
      </c>
      <c r="X9" s="23" t="s">
        <v>51</v>
      </c>
      <c r="Y9" s="13">
        <v>7839.29</v>
      </c>
      <c r="Z9" s="18">
        <v>60764.5</v>
      </c>
      <c r="AA9" s="33"/>
      <c r="AB9" s="14"/>
      <c r="AD9" s="11">
        <v>42375</v>
      </c>
      <c r="AE9" s="12">
        <v>186</v>
      </c>
      <c r="AF9" s="26" t="s">
        <v>55</v>
      </c>
      <c r="AG9" s="20">
        <v>42375</v>
      </c>
      <c r="AH9" s="13">
        <v>62098.5</v>
      </c>
      <c r="AI9" s="14"/>
      <c r="AJ9" s="22">
        <v>42375</v>
      </c>
      <c r="AK9" s="15">
        <v>348</v>
      </c>
      <c r="AL9" s="23" t="s">
        <v>51</v>
      </c>
      <c r="AM9" s="13">
        <v>7839.29</v>
      </c>
      <c r="AN9" s="18">
        <v>60764.5</v>
      </c>
      <c r="AO9" s="33"/>
      <c r="AP9" s="14"/>
    </row>
    <row r="10" spans="1:42" x14ac:dyDescent="0.25">
      <c r="A10" s="27"/>
      <c r="B10" s="11">
        <v>42376</v>
      </c>
      <c r="C10" s="12">
        <v>0</v>
      </c>
      <c r="D10" s="26"/>
      <c r="E10" s="20">
        <v>42376</v>
      </c>
      <c r="F10" s="13">
        <v>53608.5</v>
      </c>
      <c r="G10" s="14"/>
      <c r="H10" s="22">
        <v>42376</v>
      </c>
      <c r="I10" s="15">
        <v>0</v>
      </c>
      <c r="J10" s="23" t="s">
        <v>52</v>
      </c>
      <c r="K10" s="13">
        <v>8039.28</v>
      </c>
      <c r="L10" s="18">
        <v>53608.5</v>
      </c>
      <c r="O10" s="27"/>
      <c r="P10" s="11">
        <v>42376</v>
      </c>
      <c r="Q10" s="12">
        <v>0</v>
      </c>
      <c r="R10" s="26"/>
      <c r="S10" s="20">
        <v>42376</v>
      </c>
      <c r="T10" s="13">
        <v>53608.5</v>
      </c>
      <c r="U10" s="14"/>
      <c r="V10" s="22">
        <v>42376</v>
      </c>
      <c r="W10" s="15">
        <v>0</v>
      </c>
      <c r="X10" s="23" t="s">
        <v>52</v>
      </c>
      <c r="Y10" s="13">
        <v>8039.28</v>
      </c>
      <c r="Z10" s="18">
        <v>53608.5</v>
      </c>
      <c r="AA10" s="33"/>
      <c r="AB10" s="14"/>
      <c r="AC10" s="27"/>
      <c r="AD10" s="11">
        <v>42376</v>
      </c>
      <c r="AE10" s="12">
        <v>0</v>
      </c>
      <c r="AF10" s="26"/>
      <c r="AG10" s="20">
        <v>42376</v>
      </c>
      <c r="AH10" s="13">
        <v>53608.5</v>
      </c>
      <c r="AI10" s="14"/>
      <c r="AJ10" s="22">
        <v>42376</v>
      </c>
      <c r="AK10" s="15">
        <v>0</v>
      </c>
      <c r="AL10" s="23" t="s">
        <v>52</v>
      </c>
      <c r="AM10" s="13">
        <v>0</v>
      </c>
      <c r="AN10" s="18">
        <v>53608.5</v>
      </c>
      <c r="AO10" s="33"/>
      <c r="AP10" s="14"/>
    </row>
    <row r="11" spans="1:42" x14ac:dyDescent="0.25">
      <c r="B11" s="11">
        <v>42377</v>
      </c>
      <c r="C11" s="12">
        <v>1393</v>
      </c>
      <c r="D11" s="26" t="s">
        <v>56</v>
      </c>
      <c r="E11" s="20">
        <v>42377</v>
      </c>
      <c r="F11" s="13">
        <v>147782</v>
      </c>
      <c r="G11" s="14"/>
      <c r="H11" s="22">
        <v>42377</v>
      </c>
      <c r="I11" s="15">
        <v>50</v>
      </c>
      <c r="J11" s="23" t="s">
        <v>53</v>
      </c>
      <c r="K11" s="13">
        <v>7789.29</v>
      </c>
      <c r="L11" s="18">
        <v>146339</v>
      </c>
      <c r="P11" s="11">
        <v>42377</v>
      </c>
      <c r="Q11" s="12">
        <v>1393</v>
      </c>
      <c r="R11" s="26" t="s">
        <v>56</v>
      </c>
      <c r="S11" s="20">
        <v>42377</v>
      </c>
      <c r="T11" s="13">
        <v>147782</v>
      </c>
      <c r="U11" s="14"/>
      <c r="V11" s="22">
        <v>42377</v>
      </c>
      <c r="W11" s="15">
        <v>50</v>
      </c>
      <c r="X11" s="23" t="s">
        <v>53</v>
      </c>
      <c r="Y11" s="13">
        <v>7789.29</v>
      </c>
      <c r="Z11" s="18">
        <v>146339</v>
      </c>
      <c r="AA11" s="33"/>
      <c r="AB11" s="14"/>
      <c r="AD11" s="11">
        <v>42377</v>
      </c>
      <c r="AE11" s="12">
        <v>1393</v>
      </c>
      <c r="AF11" s="26" t="s">
        <v>56</v>
      </c>
      <c r="AG11" s="20">
        <v>42377</v>
      </c>
      <c r="AH11" s="13">
        <v>147782</v>
      </c>
      <c r="AI11" s="14"/>
      <c r="AJ11" s="22">
        <v>42377</v>
      </c>
      <c r="AK11" s="15">
        <v>50</v>
      </c>
      <c r="AL11" s="23" t="s">
        <v>53</v>
      </c>
      <c r="AM11" s="13">
        <v>0</v>
      </c>
      <c r="AN11" s="18">
        <v>146339</v>
      </c>
      <c r="AO11" s="33"/>
      <c r="AP11" s="14"/>
    </row>
    <row r="12" spans="1:42" x14ac:dyDescent="0.25">
      <c r="A12" s="28"/>
      <c r="B12" s="11">
        <v>42378</v>
      </c>
      <c r="C12" s="12">
        <v>1709</v>
      </c>
      <c r="D12" s="19" t="s">
        <v>56</v>
      </c>
      <c r="E12" s="20">
        <v>42378</v>
      </c>
      <c r="F12" s="13">
        <v>49303.5</v>
      </c>
      <c r="G12" s="14"/>
      <c r="H12" s="22">
        <v>42378</v>
      </c>
      <c r="I12" s="15">
        <v>0</v>
      </c>
      <c r="J12" s="23" t="s">
        <v>74</v>
      </c>
      <c r="K12" s="13">
        <v>8608.33</v>
      </c>
      <c r="L12" s="18">
        <v>47594.5</v>
      </c>
      <c r="O12" s="28"/>
      <c r="P12" s="11">
        <v>42378</v>
      </c>
      <c r="Q12" s="12">
        <v>1709</v>
      </c>
      <c r="R12" s="19" t="s">
        <v>56</v>
      </c>
      <c r="S12" s="20">
        <v>42378</v>
      </c>
      <c r="T12" s="13">
        <v>49303.5</v>
      </c>
      <c r="U12" s="14"/>
      <c r="V12" s="22">
        <v>42378</v>
      </c>
      <c r="W12" s="15">
        <v>0</v>
      </c>
      <c r="X12" s="23"/>
      <c r="Y12" s="13">
        <v>0</v>
      </c>
      <c r="Z12" s="18">
        <v>47594.5</v>
      </c>
      <c r="AA12" s="33"/>
      <c r="AB12" s="14"/>
      <c r="AC12" s="28"/>
      <c r="AD12" s="11">
        <v>42378</v>
      </c>
      <c r="AE12" s="12">
        <v>1709</v>
      </c>
      <c r="AF12" s="19" t="s">
        <v>56</v>
      </c>
      <c r="AG12" s="20">
        <v>42378</v>
      </c>
      <c r="AH12" s="13">
        <v>49303.5</v>
      </c>
      <c r="AI12" s="14"/>
      <c r="AJ12" s="22">
        <v>42378</v>
      </c>
      <c r="AK12" s="15">
        <v>0</v>
      </c>
      <c r="AL12" s="23"/>
      <c r="AM12" s="13">
        <v>0</v>
      </c>
      <c r="AN12" s="18">
        <v>47594.5</v>
      </c>
      <c r="AO12" s="33"/>
      <c r="AP12" s="14"/>
    </row>
    <row r="13" spans="1:42" x14ac:dyDescent="0.25">
      <c r="A13" s="28"/>
      <c r="B13" s="11">
        <v>42379</v>
      </c>
      <c r="C13" s="12">
        <v>269</v>
      </c>
      <c r="D13" s="29" t="s">
        <v>57</v>
      </c>
      <c r="E13" s="20">
        <v>42379</v>
      </c>
      <c r="F13" s="13">
        <v>84910</v>
      </c>
      <c r="G13" s="14"/>
      <c r="H13" s="22">
        <v>42379</v>
      </c>
      <c r="I13" s="15">
        <v>100</v>
      </c>
      <c r="J13" s="30" t="s">
        <v>8</v>
      </c>
      <c r="K13" s="13">
        <v>800</v>
      </c>
      <c r="L13" s="18">
        <v>84541</v>
      </c>
      <c r="O13" s="28"/>
      <c r="P13" s="11">
        <v>42379</v>
      </c>
      <c r="Q13" s="12">
        <v>269</v>
      </c>
      <c r="R13" s="29" t="s">
        <v>57</v>
      </c>
      <c r="S13" s="20">
        <v>42379</v>
      </c>
      <c r="T13" s="13">
        <v>84910</v>
      </c>
      <c r="U13" s="14"/>
      <c r="V13" s="22">
        <v>42379</v>
      </c>
      <c r="W13" s="15">
        <v>100</v>
      </c>
      <c r="X13" s="30" t="s">
        <v>8</v>
      </c>
      <c r="Y13" s="13">
        <v>800</v>
      </c>
      <c r="Z13" s="18">
        <v>84541</v>
      </c>
      <c r="AA13" s="33"/>
      <c r="AB13" s="14"/>
      <c r="AC13" s="28"/>
      <c r="AD13" s="11">
        <v>42379</v>
      </c>
      <c r="AE13" s="12">
        <v>269</v>
      </c>
      <c r="AF13" s="29" t="s">
        <v>57</v>
      </c>
      <c r="AG13" s="20">
        <v>42379</v>
      </c>
      <c r="AH13" s="13">
        <v>84910</v>
      </c>
      <c r="AI13" s="14"/>
      <c r="AJ13" s="22">
        <v>42379</v>
      </c>
      <c r="AK13" s="15">
        <v>100</v>
      </c>
      <c r="AL13" s="30" t="s">
        <v>8</v>
      </c>
      <c r="AM13" s="13">
        <v>800</v>
      </c>
      <c r="AN13" s="18">
        <v>84541</v>
      </c>
      <c r="AO13" s="33"/>
      <c r="AP13" s="14"/>
    </row>
    <row r="14" spans="1:42" x14ac:dyDescent="0.25">
      <c r="B14" s="11">
        <v>42380</v>
      </c>
      <c r="C14" s="12">
        <v>0</v>
      </c>
      <c r="D14" s="19"/>
      <c r="E14" s="20">
        <v>42380</v>
      </c>
      <c r="F14" s="13">
        <v>162317</v>
      </c>
      <c r="G14" s="14"/>
      <c r="H14" s="22">
        <v>42380</v>
      </c>
      <c r="I14" s="15">
        <v>0</v>
      </c>
      <c r="J14" s="31">
        <v>42375</v>
      </c>
      <c r="K14" s="13">
        <v>0</v>
      </c>
      <c r="L14" s="18">
        <v>162317</v>
      </c>
      <c r="P14" s="11">
        <v>42380</v>
      </c>
      <c r="Q14" s="12">
        <v>0</v>
      </c>
      <c r="R14" s="19"/>
      <c r="S14" s="20">
        <v>42380</v>
      </c>
      <c r="T14" s="13">
        <v>162317</v>
      </c>
      <c r="U14" s="14"/>
      <c r="V14" s="22">
        <v>42380</v>
      </c>
      <c r="W14" s="15">
        <v>0</v>
      </c>
      <c r="X14" s="31">
        <v>42375</v>
      </c>
      <c r="Y14" s="13">
        <v>0</v>
      </c>
      <c r="Z14" s="18">
        <v>162317</v>
      </c>
      <c r="AA14" s="33"/>
      <c r="AB14" s="14"/>
      <c r="AD14" s="11">
        <v>42380</v>
      </c>
      <c r="AE14" s="12">
        <v>0</v>
      </c>
      <c r="AF14" s="19"/>
      <c r="AG14" s="20">
        <v>42380</v>
      </c>
      <c r="AH14" s="13">
        <v>162317</v>
      </c>
      <c r="AI14" s="14"/>
      <c r="AJ14" s="22">
        <v>42380</v>
      </c>
      <c r="AK14" s="15">
        <v>0</v>
      </c>
      <c r="AL14" s="31">
        <v>42375</v>
      </c>
      <c r="AM14" s="13">
        <v>0</v>
      </c>
      <c r="AN14" s="18">
        <v>162317</v>
      </c>
      <c r="AO14" s="33"/>
      <c r="AP14" s="14"/>
    </row>
    <row r="15" spans="1:42" x14ac:dyDescent="0.25">
      <c r="A15" s="28"/>
      <c r="B15" s="11">
        <v>42381</v>
      </c>
      <c r="C15" s="12">
        <v>6779</v>
      </c>
      <c r="D15" s="19" t="s">
        <v>58</v>
      </c>
      <c r="E15" s="20">
        <v>42381</v>
      </c>
      <c r="F15" s="13">
        <v>45144.5</v>
      </c>
      <c r="G15" s="14"/>
      <c r="H15" s="22">
        <v>42381</v>
      </c>
      <c r="I15" s="15">
        <v>0</v>
      </c>
      <c r="J15" s="32" t="s">
        <v>9</v>
      </c>
      <c r="K15" s="13">
        <v>0</v>
      </c>
      <c r="L15" s="18">
        <f>25800+6589.5+5976</f>
        <v>38365.5</v>
      </c>
      <c r="O15" s="28"/>
      <c r="P15" s="11">
        <v>42381</v>
      </c>
      <c r="Q15" s="12">
        <v>6779</v>
      </c>
      <c r="R15" s="19" t="s">
        <v>58</v>
      </c>
      <c r="S15" s="20">
        <v>42381</v>
      </c>
      <c r="T15" s="13">
        <v>45144.5</v>
      </c>
      <c r="U15" s="14"/>
      <c r="V15" s="22">
        <v>42381</v>
      </c>
      <c r="W15" s="15">
        <v>0</v>
      </c>
      <c r="X15" s="32" t="s">
        <v>9</v>
      </c>
      <c r="Y15" s="13">
        <v>0</v>
      </c>
      <c r="Z15" s="18">
        <f>25800+6589.5+5976</f>
        <v>38365.5</v>
      </c>
      <c r="AA15" s="81"/>
      <c r="AB15" s="82"/>
      <c r="AC15" s="28"/>
      <c r="AD15" s="11">
        <v>42381</v>
      </c>
      <c r="AE15" s="12">
        <v>6779</v>
      </c>
      <c r="AF15" s="19" t="s">
        <v>58</v>
      </c>
      <c r="AG15" s="20">
        <v>42381</v>
      </c>
      <c r="AH15" s="13">
        <v>45144.5</v>
      </c>
      <c r="AI15" s="14"/>
      <c r="AJ15" s="22">
        <v>42381</v>
      </c>
      <c r="AK15" s="15">
        <v>0</v>
      </c>
      <c r="AL15" s="32" t="s">
        <v>9</v>
      </c>
      <c r="AM15" s="13">
        <v>0</v>
      </c>
      <c r="AN15" s="18">
        <f>25800+6589.5+5976</f>
        <v>38365.5</v>
      </c>
      <c r="AO15" s="157">
        <v>5976</v>
      </c>
      <c r="AP15" s="82" t="s">
        <v>59</v>
      </c>
    </row>
    <row r="16" spans="1:42" x14ac:dyDescent="0.25">
      <c r="A16" s="28"/>
      <c r="B16" s="11">
        <v>42382</v>
      </c>
      <c r="C16" s="12">
        <v>2664</v>
      </c>
      <c r="D16" s="19" t="s">
        <v>49</v>
      </c>
      <c r="E16" s="20">
        <v>42382</v>
      </c>
      <c r="F16" s="13">
        <v>85645</v>
      </c>
      <c r="G16" s="14"/>
      <c r="H16" s="22">
        <v>42382</v>
      </c>
      <c r="I16" s="15">
        <v>0</v>
      </c>
      <c r="J16" s="34"/>
      <c r="K16" s="13">
        <v>0</v>
      </c>
      <c r="L16" s="18">
        <v>84417</v>
      </c>
      <c r="O16" s="28"/>
      <c r="P16" s="11">
        <v>42382</v>
      </c>
      <c r="Q16" s="12">
        <v>2664</v>
      </c>
      <c r="R16" s="19" t="s">
        <v>49</v>
      </c>
      <c r="S16" s="20">
        <v>42382</v>
      </c>
      <c r="T16" s="13">
        <v>85645</v>
      </c>
      <c r="U16" s="14"/>
      <c r="V16" s="22">
        <v>42382</v>
      </c>
      <c r="W16" s="15">
        <v>0</v>
      </c>
      <c r="X16" s="34"/>
      <c r="Y16" s="13">
        <v>0</v>
      </c>
      <c r="Z16" s="18">
        <v>84417</v>
      </c>
      <c r="AA16" s="33"/>
      <c r="AB16" s="14"/>
      <c r="AC16" s="28"/>
      <c r="AD16" s="11">
        <v>42382</v>
      </c>
      <c r="AE16" s="12"/>
      <c r="AF16" s="19"/>
      <c r="AG16" s="20">
        <v>42382</v>
      </c>
      <c r="AH16" s="13"/>
      <c r="AI16" s="14"/>
      <c r="AJ16" s="22">
        <v>42382</v>
      </c>
      <c r="AK16" s="15">
        <v>0</v>
      </c>
      <c r="AL16" s="34"/>
      <c r="AM16" s="13">
        <v>0</v>
      </c>
      <c r="AN16" s="18"/>
      <c r="AO16" s="33"/>
      <c r="AP16" s="14"/>
    </row>
    <row r="17" spans="1:42" x14ac:dyDescent="0.25">
      <c r="A17" s="28"/>
      <c r="B17" s="11">
        <v>42383</v>
      </c>
      <c r="C17" s="12">
        <v>0</v>
      </c>
      <c r="D17" s="19"/>
      <c r="E17" s="20">
        <v>42383</v>
      </c>
      <c r="F17" s="13">
        <v>119138</v>
      </c>
      <c r="G17" s="14"/>
      <c r="H17" s="22">
        <v>42383</v>
      </c>
      <c r="I17" s="15">
        <v>0</v>
      </c>
      <c r="J17" s="35"/>
      <c r="K17" s="13">
        <v>0</v>
      </c>
      <c r="L17" s="18">
        <f>40000+58638+500</f>
        <v>99138</v>
      </c>
      <c r="O17" s="28"/>
      <c r="P17" s="11">
        <v>42383</v>
      </c>
      <c r="Q17" s="12">
        <v>0</v>
      </c>
      <c r="R17" s="19"/>
      <c r="S17" s="20">
        <v>42383</v>
      </c>
      <c r="T17" s="13">
        <v>119138</v>
      </c>
      <c r="U17" s="14"/>
      <c r="V17" s="22">
        <v>42383</v>
      </c>
      <c r="W17" s="15">
        <v>0</v>
      </c>
      <c r="X17" s="35" t="s">
        <v>10</v>
      </c>
      <c r="Y17" s="13">
        <v>0</v>
      </c>
      <c r="Z17" s="18">
        <f>40000+58638+500</f>
        <v>99138</v>
      </c>
      <c r="AA17" s="33"/>
      <c r="AB17" s="14"/>
      <c r="AC17" s="28"/>
      <c r="AD17" s="11">
        <v>42383</v>
      </c>
      <c r="AE17" s="12"/>
      <c r="AF17" s="19"/>
      <c r="AG17" s="20">
        <v>42383</v>
      </c>
      <c r="AH17" s="13"/>
      <c r="AI17" s="14"/>
      <c r="AJ17" s="22">
        <v>42383</v>
      </c>
      <c r="AK17" s="15">
        <v>0</v>
      </c>
      <c r="AL17" s="35" t="s">
        <v>10</v>
      </c>
      <c r="AM17" s="13">
        <v>0</v>
      </c>
      <c r="AN17" s="18"/>
      <c r="AO17" s="33"/>
      <c r="AP17" s="14"/>
    </row>
    <row r="18" spans="1:42" x14ac:dyDescent="0.25">
      <c r="B18" s="11">
        <v>42384</v>
      </c>
      <c r="C18" s="12">
        <v>0</v>
      </c>
      <c r="D18" s="19"/>
      <c r="E18" s="20">
        <v>42384</v>
      </c>
      <c r="F18" s="13">
        <v>140894.5</v>
      </c>
      <c r="G18" s="14"/>
      <c r="H18" s="22">
        <v>42384</v>
      </c>
      <c r="I18" s="15">
        <v>0</v>
      </c>
      <c r="J18" s="36"/>
      <c r="K18" s="24">
        <v>0</v>
      </c>
      <c r="L18" s="18">
        <f>68120+60000+45000+7901.5</f>
        <v>181021.5</v>
      </c>
      <c r="P18" s="11">
        <v>42384</v>
      </c>
      <c r="Q18" s="12">
        <v>0</v>
      </c>
      <c r="R18" s="19"/>
      <c r="S18" s="20">
        <v>42384</v>
      </c>
      <c r="T18" s="13">
        <v>140894.5</v>
      </c>
      <c r="U18" s="14"/>
      <c r="V18" s="22">
        <v>42384</v>
      </c>
      <c r="W18" s="15">
        <v>0</v>
      </c>
      <c r="X18" s="36"/>
      <c r="Y18" s="24">
        <v>0</v>
      </c>
      <c r="Z18" s="18">
        <f>68120+60000+45000+7901.5</f>
        <v>181021.5</v>
      </c>
      <c r="AA18" s="81"/>
      <c r="AB18" s="14"/>
      <c r="AD18" s="11">
        <v>42384</v>
      </c>
      <c r="AE18" s="12"/>
      <c r="AF18" s="19"/>
      <c r="AG18" s="20">
        <v>42384</v>
      </c>
      <c r="AH18" s="13"/>
      <c r="AI18" s="14"/>
      <c r="AJ18" s="22">
        <v>42384</v>
      </c>
      <c r="AK18" s="15">
        <v>0</v>
      </c>
      <c r="AL18" s="36"/>
      <c r="AM18" s="24">
        <v>0</v>
      </c>
      <c r="AN18" s="18"/>
      <c r="AO18" s="81"/>
      <c r="AP18" s="14"/>
    </row>
    <row r="19" spans="1:42" x14ac:dyDescent="0.25">
      <c r="A19" s="28"/>
      <c r="B19" s="11">
        <v>42385</v>
      </c>
      <c r="C19" s="12">
        <v>0</v>
      </c>
      <c r="D19" s="19"/>
      <c r="E19" s="20">
        <v>42385</v>
      </c>
      <c r="F19" s="13">
        <v>108066.5</v>
      </c>
      <c r="G19" s="14"/>
      <c r="H19" s="22">
        <v>42385</v>
      </c>
      <c r="I19" s="15">
        <v>0</v>
      </c>
      <c r="J19" s="37"/>
      <c r="K19" s="13">
        <v>0</v>
      </c>
      <c r="L19" s="18">
        <f>65530+42536</f>
        <v>108066</v>
      </c>
      <c r="O19" s="28"/>
      <c r="P19" s="11">
        <v>42385</v>
      </c>
      <c r="Q19" s="12">
        <v>0</v>
      </c>
      <c r="R19" s="19"/>
      <c r="S19" s="20">
        <v>42385</v>
      </c>
      <c r="T19" s="13">
        <v>108066.5</v>
      </c>
      <c r="U19" s="14"/>
      <c r="V19" s="22">
        <v>42385</v>
      </c>
      <c r="W19" s="15">
        <v>0</v>
      </c>
      <c r="X19" s="37"/>
      <c r="Y19" s="13">
        <v>0</v>
      </c>
      <c r="Z19" s="18">
        <f>65530+42536</f>
        <v>108066</v>
      </c>
      <c r="AA19" s="81"/>
      <c r="AB19" s="14"/>
      <c r="AC19" s="28"/>
      <c r="AD19" s="11">
        <v>42385</v>
      </c>
      <c r="AE19" s="12"/>
      <c r="AF19" s="19"/>
      <c r="AG19" s="20">
        <v>42385</v>
      </c>
      <c r="AH19" s="13"/>
      <c r="AI19" s="14"/>
      <c r="AJ19" s="22">
        <v>42385</v>
      </c>
      <c r="AK19" s="15">
        <v>0</v>
      </c>
      <c r="AL19" s="37"/>
      <c r="AM19" s="13">
        <v>0</v>
      </c>
      <c r="AN19" s="18"/>
      <c r="AO19" s="33"/>
      <c r="AP19" s="14"/>
    </row>
    <row r="20" spans="1:42" ht="15.75" customHeight="1" x14ac:dyDescent="0.25">
      <c r="B20" s="11">
        <v>42386</v>
      </c>
      <c r="C20" s="12">
        <v>0</v>
      </c>
      <c r="D20" s="19"/>
      <c r="E20" s="20">
        <v>42386</v>
      </c>
      <c r="F20" s="13">
        <v>50329</v>
      </c>
      <c r="G20" s="14"/>
      <c r="H20" s="22">
        <v>42386</v>
      </c>
      <c r="I20" s="38">
        <v>100</v>
      </c>
      <c r="J20" s="340"/>
      <c r="K20" s="39">
        <v>0</v>
      </c>
      <c r="L20" s="18">
        <f>14142+36087</f>
        <v>50229</v>
      </c>
      <c r="P20" s="11">
        <v>42386</v>
      </c>
      <c r="Q20" s="12">
        <v>0</v>
      </c>
      <c r="R20" s="19"/>
      <c r="S20" s="20">
        <v>42386</v>
      </c>
      <c r="T20" s="13">
        <v>50329</v>
      </c>
      <c r="U20" s="14"/>
      <c r="V20" s="22">
        <v>42386</v>
      </c>
      <c r="W20" s="38">
        <v>100</v>
      </c>
      <c r="X20" s="340"/>
      <c r="Y20" s="39">
        <v>0</v>
      </c>
      <c r="Z20" s="18">
        <f>14142+36087</f>
        <v>50229</v>
      </c>
      <c r="AA20" s="81"/>
      <c r="AB20" s="14"/>
      <c r="AD20" s="11">
        <v>42386</v>
      </c>
      <c r="AE20" s="12"/>
      <c r="AF20" s="19"/>
      <c r="AG20" s="20">
        <v>42386</v>
      </c>
      <c r="AH20" s="13"/>
      <c r="AI20" s="14"/>
      <c r="AJ20" s="22">
        <v>42386</v>
      </c>
      <c r="AK20" s="38"/>
      <c r="AL20" s="340"/>
      <c r="AM20" s="39">
        <v>0</v>
      </c>
      <c r="AN20" s="18"/>
      <c r="AO20" s="33"/>
      <c r="AP20" s="14"/>
    </row>
    <row r="21" spans="1:42" ht="18" customHeight="1" x14ac:dyDescent="0.25">
      <c r="B21" s="11">
        <v>42387</v>
      </c>
      <c r="C21" s="12">
        <v>0</v>
      </c>
      <c r="D21" s="40"/>
      <c r="E21" s="20">
        <v>42387</v>
      </c>
      <c r="F21" s="13">
        <v>156252.5</v>
      </c>
      <c r="G21" s="14"/>
      <c r="H21" s="22">
        <v>42387</v>
      </c>
      <c r="I21" s="38">
        <v>0</v>
      </c>
      <c r="J21" s="341"/>
      <c r="K21" s="24">
        <v>0</v>
      </c>
      <c r="L21" s="18">
        <f>59000+65000+32252.5</f>
        <v>156252.5</v>
      </c>
      <c r="P21" s="11">
        <v>42387</v>
      </c>
      <c r="Q21" s="12">
        <v>0</v>
      </c>
      <c r="R21" s="40"/>
      <c r="S21" s="20">
        <v>42387</v>
      </c>
      <c r="T21" s="13">
        <v>156252.5</v>
      </c>
      <c r="U21" s="14"/>
      <c r="V21" s="22">
        <v>42387</v>
      </c>
      <c r="W21" s="38">
        <v>0</v>
      </c>
      <c r="X21" s="341"/>
      <c r="Y21" s="24">
        <v>0</v>
      </c>
      <c r="Z21" s="18">
        <f>59000+65000+32252.5</f>
        <v>156252.5</v>
      </c>
      <c r="AA21" s="81"/>
      <c r="AB21" s="14"/>
      <c r="AD21" s="11">
        <v>42387</v>
      </c>
      <c r="AE21" s="12"/>
      <c r="AF21" s="40"/>
      <c r="AG21" s="20">
        <v>42387</v>
      </c>
      <c r="AH21" s="13"/>
      <c r="AI21" s="14"/>
      <c r="AJ21" s="22">
        <v>42387</v>
      </c>
      <c r="AK21" s="38"/>
      <c r="AL21" s="341"/>
      <c r="AM21" s="24">
        <v>0</v>
      </c>
      <c r="AN21" s="18"/>
      <c r="AO21" s="33"/>
      <c r="AP21" s="14"/>
    </row>
    <row r="22" spans="1:42" x14ac:dyDescent="0.25">
      <c r="B22" s="11">
        <v>42388</v>
      </c>
      <c r="C22" s="12">
        <v>0</v>
      </c>
      <c r="D22" s="40"/>
      <c r="E22" s="20">
        <v>42388</v>
      </c>
      <c r="F22" s="13">
        <v>58089.5</v>
      </c>
      <c r="G22" s="21"/>
      <c r="H22" s="22">
        <v>42388</v>
      </c>
      <c r="I22" s="15">
        <v>60</v>
      </c>
      <c r="J22" s="23"/>
      <c r="K22" s="24">
        <v>0</v>
      </c>
      <c r="L22" s="18">
        <f>29686+27240+1103</f>
        <v>58029</v>
      </c>
      <c r="P22" s="11">
        <v>42388</v>
      </c>
      <c r="Q22" s="12">
        <v>0</v>
      </c>
      <c r="R22" s="40"/>
      <c r="S22" s="20">
        <v>42388</v>
      </c>
      <c r="T22" s="13">
        <v>58089.5</v>
      </c>
      <c r="U22" s="21"/>
      <c r="V22" s="22">
        <v>42388</v>
      </c>
      <c r="W22" s="15">
        <v>60</v>
      </c>
      <c r="X22" s="23"/>
      <c r="Y22" s="24">
        <v>0</v>
      </c>
      <c r="Z22" s="18">
        <f>29686+27240+1103</f>
        <v>58029</v>
      </c>
      <c r="AA22" s="81"/>
      <c r="AB22" s="14"/>
      <c r="AD22" s="11">
        <v>42388</v>
      </c>
      <c r="AE22" s="12"/>
      <c r="AF22" s="40"/>
      <c r="AG22" s="20">
        <v>42388</v>
      </c>
      <c r="AH22" s="13"/>
      <c r="AI22" s="21"/>
      <c r="AJ22" s="22">
        <v>42388</v>
      </c>
      <c r="AK22" s="15"/>
      <c r="AL22" s="23"/>
      <c r="AM22" s="24">
        <v>0</v>
      </c>
      <c r="AN22" s="18"/>
      <c r="AO22" s="33"/>
      <c r="AP22" s="14"/>
    </row>
    <row r="23" spans="1:42" ht="19.5" customHeight="1" x14ac:dyDescent="0.25">
      <c r="A23" s="28"/>
      <c r="B23" s="11">
        <v>42389</v>
      </c>
      <c r="C23" s="12">
        <v>4440</v>
      </c>
      <c r="D23" s="40" t="s">
        <v>49</v>
      </c>
      <c r="E23" s="20">
        <v>42389</v>
      </c>
      <c r="F23" s="13">
        <v>124556</v>
      </c>
      <c r="G23" s="14"/>
      <c r="H23" s="22">
        <v>42389</v>
      </c>
      <c r="I23" s="15">
        <v>0</v>
      </c>
      <c r="J23" s="32"/>
      <c r="K23" s="13">
        <v>0</v>
      </c>
      <c r="L23" s="18">
        <f>107000+13116</f>
        <v>120116</v>
      </c>
      <c r="O23" s="28"/>
      <c r="P23" s="11">
        <v>42389</v>
      </c>
      <c r="Q23" s="12">
        <v>4440</v>
      </c>
      <c r="R23" s="40" t="s">
        <v>49</v>
      </c>
      <c r="S23" s="20">
        <v>42389</v>
      </c>
      <c r="T23" s="13">
        <v>124556</v>
      </c>
      <c r="U23" s="14"/>
      <c r="V23" s="22">
        <v>42389</v>
      </c>
      <c r="W23" s="15">
        <v>0</v>
      </c>
      <c r="X23" s="32"/>
      <c r="Y23" s="13">
        <v>0</v>
      </c>
      <c r="Z23" s="18">
        <f>107000+13116</f>
        <v>120116</v>
      </c>
      <c r="AA23" s="33"/>
      <c r="AC23" s="28"/>
      <c r="AD23" s="11">
        <v>42389</v>
      </c>
      <c r="AE23" s="12"/>
      <c r="AF23" s="40"/>
      <c r="AG23" s="20">
        <v>42389</v>
      </c>
      <c r="AH23" s="13"/>
      <c r="AI23" s="14"/>
      <c r="AJ23" s="22">
        <v>42389</v>
      </c>
      <c r="AK23" s="15"/>
      <c r="AL23" s="32"/>
      <c r="AM23" s="13">
        <v>0</v>
      </c>
      <c r="AN23" s="18"/>
      <c r="AO23" s="94">
        <v>64808.800000000003</v>
      </c>
    </row>
    <row r="24" spans="1:42" ht="16.5" customHeight="1" x14ac:dyDescent="0.25">
      <c r="A24" s="28"/>
      <c r="B24" s="11">
        <v>42390</v>
      </c>
      <c r="C24" s="12">
        <v>0</v>
      </c>
      <c r="D24" s="40"/>
      <c r="E24" s="20">
        <v>42390</v>
      </c>
      <c r="F24" s="13">
        <v>133201</v>
      </c>
      <c r="G24" s="14"/>
      <c r="H24" s="22">
        <v>42390</v>
      </c>
      <c r="I24" s="15">
        <v>0</v>
      </c>
      <c r="J24" s="34"/>
      <c r="K24" s="24"/>
      <c r="L24" s="18">
        <v>133201</v>
      </c>
      <c r="O24" s="28"/>
      <c r="P24" s="11">
        <v>42390</v>
      </c>
      <c r="Q24" s="12">
        <v>0</v>
      </c>
      <c r="R24" s="40"/>
      <c r="S24" s="20">
        <v>42390</v>
      </c>
      <c r="T24" s="13">
        <v>133201</v>
      </c>
      <c r="U24" s="14"/>
      <c r="V24" s="22">
        <v>42390</v>
      </c>
      <c r="W24" s="15">
        <v>0</v>
      </c>
      <c r="X24" s="34"/>
      <c r="Y24" s="24"/>
      <c r="Z24" s="18">
        <v>133201</v>
      </c>
      <c r="AC24" s="28"/>
      <c r="AD24" s="11">
        <v>42390</v>
      </c>
      <c r="AE24" s="12"/>
      <c r="AF24" s="40"/>
      <c r="AG24" s="20">
        <v>42390</v>
      </c>
      <c r="AH24" s="13"/>
      <c r="AI24" s="14"/>
      <c r="AJ24" s="22">
        <v>42390</v>
      </c>
      <c r="AK24" s="15"/>
      <c r="AL24" s="34"/>
      <c r="AM24" s="24"/>
      <c r="AN24" s="18"/>
      <c r="AO24" s="94">
        <v>46406.8</v>
      </c>
    </row>
    <row r="25" spans="1:42" x14ac:dyDescent="0.25">
      <c r="B25" s="11">
        <v>42391</v>
      </c>
      <c r="C25" s="12">
        <v>13258</v>
      </c>
      <c r="D25" s="19" t="s">
        <v>54</v>
      </c>
      <c r="E25" s="20">
        <v>42391</v>
      </c>
      <c r="F25" s="13">
        <v>166887</v>
      </c>
      <c r="G25" s="14"/>
      <c r="H25" s="22">
        <v>42391</v>
      </c>
      <c r="I25" s="15">
        <v>50</v>
      </c>
      <c r="J25" s="23"/>
      <c r="K25" s="24"/>
      <c r="L25" s="18">
        <v>153579</v>
      </c>
      <c r="P25" s="11">
        <v>42391</v>
      </c>
      <c r="Q25" s="12">
        <v>13258</v>
      </c>
      <c r="R25" s="19" t="s">
        <v>54</v>
      </c>
      <c r="S25" s="20">
        <v>42391</v>
      </c>
      <c r="T25" s="13">
        <v>166887</v>
      </c>
      <c r="U25" s="14"/>
      <c r="V25" s="22">
        <v>42391</v>
      </c>
      <c r="W25" s="15">
        <v>50</v>
      </c>
      <c r="X25" s="23"/>
      <c r="Y25" s="24"/>
      <c r="Z25" s="18">
        <v>153579</v>
      </c>
      <c r="AD25" s="11">
        <v>42391</v>
      </c>
      <c r="AE25" s="12"/>
      <c r="AF25" s="19"/>
      <c r="AG25" s="20">
        <v>42391</v>
      </c>
      <c r="AH25" s="13"/>
      <c r="AI25" s="14"/>
      <c r="AJ25" s="22">
        <v>42391</v>
      </c>
      <c r="AK25" s="15"/>
      <c r="AL25" s="23"/>
      <c r="AM25" s="24"/>
      <c r="AN25" s="18"/>
      <c r="AO25" s="94">
        <v>256564</v>
      </c>
    </row>
    <row r="26" spans="1:42" x14ac:dyDescent="0.25">
      <c r="B26" s="11">
        <v>42392</v>
      </c>
      <c r="C26" s="12">
        <v>0</v>
      </c>
      <c r="D26" s="19"/>
      <c r="E26" s="20">
        <v>42392</v>
      </c>
      <c r="F26" s="13">
        <v>67048.5</v>
      </c>
      <c r="G26" s="14"/>
      <c r="H26" s="22">
        <v>42392</v>
      </c>
      <c r="I26" s="15">
        <v>60</v>
      </c>
      <c r="J26" s="23"/>
      <c r="K26" s="24"/>
      <c r="L26" s="18">
        <v>66988.5</v>
      </c>
      <c r="P26" s="11">
        <v>42392</v>
      </c>
      <c r="Q26" s="12">
        <v>0</v>
      </c>
      <c r="R26" s="19"/>
      <c r="S26" s="20">
        <v>42392</v>
      </c>
      <c r="T26" s="13">
        <v>67048.5</v>
      </c>
      <c r="U26" s="14"/>
      <c r="V26" s="22">
        <v>42392</v>
      </c>
      <c r="W26" s="15">
        <v>60</v>
      </c>
      <c r="X26" s="23"/>
      <c r="Y26" s="24"/>
      <c r="Z26" s="18">
        <v>66988.5</v>
      </c>
      <c r="AD26" s="11">
        <v>42392</v>
      </c>
      <c r="AE26" s="12"/>
      <c r="AF26" s="19"/>
      <c r="AG26" s="20">
        <v>42392</v>
      </c>
      <c r="AH26" s="13"/>
      <c r="AI26" s="14"/>
      <c r="AJ26" s="22">
        <v>42392</v>
      </c>
      <c r="AK26" s="15"/>
      <c r="AL26" s="23"/>
      <c r="AM26" s="24"/>
      <c r="AN26" s="18"/>
      <c r="AO26" s="94">
        <v>227579.35</v>
      </c>
    </row>
    <row r="27" spans="1:42" x14ac:dyDescent="0.25">
      <c r="B27" s="11">
        <v>42393</v>
      </c>
      <c r="C27" s="12">
        <v>2388</v>
      </c>
      <c r="D27" s="19" t="s">
        <v>54</v>
      </c>
      <c r="E27" s="20">
        <v>42393</v>
      </c>
      <c r="F27" s="13">
        <v>97458</v>
      </c>
      <c r="G27" s="14"/>
      <c r="H27" s="22">
        <v>42393</v>
      </c>
      <c r="I27" s="15">
        <v>100</v>
      </c>
      <c r="J27" s="23"/>
      <c r="K27" s="24"/>
      <c r="L27" s="18">
        <f>65000+29970</f>
        <v>94970</v>
      </c>
      <c r="P27" s="11">
        <v>42393</v>
      </c>
      <c r="Q27" s="12">
        <v>2388</v>
      </c>
      <c r="R27" s="19" t="s">
        <v>54</v>
      </c>
      <c r="S27" s="20">
        <v>42393</v>
      </c>
      <c r="T27" s="13">
        <v>97458</v>
      </c>
      <c r="U27" s="14"/>
      <c r="V27" s="22">
        <v>42393</v>
      </c>
      <c r="W27" s="15">
        <v>100</v>
      </c>
      <c r="X27" s="23"/>
      <c r="Y27" s="24"/>
      <c r="Z27" s="18">
        <f>65000+29970</f>
        <v>94970</v>
      </c>
      <c r="AD27" s="11">
        <v>42393</v>
      </c>
      <c r="AE27" s="12"/>
      <c r="AF27" s="19"/>
      <c r="AG27" s="20">
        <v>42393</v>
      </c>
      <c r="AH27" s="13"/>
      <c r="AI27" s="14"/>
      <c r="AJ27" s="22">
        <v>42393</v>
      </c>
      <c r="AK27" s="15"/>
      <c r="AL27" s="23"/>
      <c r="AM27" s="24"/>
      <c r="AN27" s="18"/>
      <c r="AO27" s="183">
        <f>SUM(AO23:AO26)</f>
        <v>595358.94999999995</v>
      </c>
    </row>
    <row r="28" spans="1:42" x14ac:dyDescent="0.25">
      <c r="B28" s="11">
        <v>42394</v>
      </c>
      <c r="C28" s="12">
        <v>595</v>
      </c>
      <c r="D28" s="19" t="s">
        <v>68</v>
      </c>
      <c r="E28" s="20">
        <v>42394</v>
      </c>
      <c r="F28" s="13">
        <v>187544</v>
      </c>
      <c r="G28" s="14"/>
      <c r="H28" s="22">
        <v>42394</v>
      </c>
      <c r="I28" s="15">
        <v>0</v>
      </c>
      <c r="J28" s="23"/>
      <c r="K28" s="24"/>
      <c r="L28" s="18">
        <f>956+16200+45000+3629+5446+84363+30956.5</f>
        <v>186550.5</v>
      </c>
      <c r="P28" s="11">
        <v>42394</v>
      </c>
      <c r="Q28" s="12">
        <v>484</v>
      </c>
      <c r="R28" s="19" t="s">
        <v>68</v>
      </c>
      <c r="S28" s="20">
        <v>42394</v>
      </c>
      <c r="T28" s="13">
        <v>187544</v>
      </c>
      <c r="U28" s="14"/>
      <c r="V28" s="22">
        <v>42394</v>
      </c>
      <c r="W28" s="15">
        <v>0</v>
      </c>
      <c r="X28" s="23"/>
      <c r="Y28" s="24"/>
      <c r="Z28" s="18">
        <f>956+16200+45000+3629+5446+84363+30956.5</f>
        <v>186550.5</v>
      </c>
      <c r="AA28" s="33"/>
      <c r="AD28" s="11">
        <v>42394</v>
      </c>
      <c r="AE28" s="12"/>
      <c r="AF28" s="19"/>
      <c r="AG28" s="20">
        <v>42394</v>
      </c>
      <c r="AH28" s="13"/>
      <c r="AI28" s="14"/>
      <c r="AJ28" s="22">
        <v>42394</v>
      </c>
      <c r="AK28" s="15"/>
      <c r="AL28" s="23"/>
      <c r="AM28" s="24"/>
      <c r="AN28" s="18"/>
    </row>
    <row r="29" spans="1:42" ht="19.5" customHeight="1" x14ac:dyDescent="0.25">
      <c r="B29" s="11">
        <v>42395</v>
      </c>
      <c r="C29" s="12">
        <v>0</v>
      </c>
      <c r="D29" s="19"/>
      <c r="E29" s="20">
        <v>42395</v>
      </c>
      <c r="F29" s="13">
        <v>49145</v>
      </c>
      <c r="G29" s="14"/>
      <c r="H29" s="22">
        <v>42395</v>
      </c>
      <c r="I29" s="15">
        <v>0</v>
      </c>
      <c r="J29" s="23"/>
      <c r="K29" s="24"/>
      <c r="L29" s="18">
        <v>49145</v>
      </c>
      <c r="P29" s="11">
        <v>42395</v>
      </c>
      <c r="Q29" s="12">
        <v>0</v>
      </c>
      <c r="R29" s="19"/>
      <c r="S29" s="20">
        <v>42395</v>
      </c>
      <c r="T29" s="13"/>
      <c r="U29" s="14"/>
      <c r="V29" s="22">
        <v>42395</v>
      </c>
      <c r="W29" s="15">
        <v>0</v>
      </c>
      <c r="X29" s="23"/>
      <c r="Y29" s="24"/>
      <c r="Z29" s="18">
        <v>0</v>
      </c>
      <c r="AA29" s="41"/>
      <c r="AD29" s="11">
        <v>42395</v>
      </c>
      <c r="AE29" s="12"/>
      <c r="AF29" s="19"/>
      <c r="AG29" s="20">
        <v>42395</v>
      </c>
      <c r="AH29" s="13"/>
      <c r="AI29" s="14"/>
      <c r="AJ29" s="22">
        <v>42395</v>
      </c>
      <c r="AK29" s="15"/>
      <c r="AL29" s="23"/>
      <c r="AM29" s="24"/>
      <c r="AN29" s="18"/>
    </row>
    <row r="30" spans="1:42" ht="16.5" customHeight="1" x14ac:dyDescent="0.25">
      <c r="B30" s="11">
        <v>42396</v>
      </c>
      <c r="C30" s="12">
        <v>0</v>
      </c>
      <c r="D30" s="19"/>
      <c r="E30" s="20">
        <v>42396</v>
      </c>
      <c r="F30" s="13">
        <v>41685</v>
      </c>
      <c r="G30" s="14"/>
      <c r="H30" s="22">
        <v>42396</v>
      </c>
      <c r="I30" s="15">
        <v>0</v>
      </c>
      <c r="J30" s="23"/>
      <c r="K30" s="24"/>
      <c r="L30" s="18">
        <f>14767+26918</f>
        <v>41685</v>
      </c>
      <c r="P30" s="11">
        <v>42396</v>
      </c>
      <c r="Q30" s="12">
        <v>0</v>
      </c>
      <c r="R30" s="19"/>
      <c r="S30" s="20">
        <v>42396</v>
      </c>
      <c r="T30" s="13"/>
      <c r="U30" s="14"/>
      <c r="V30" s="22">
        <v>42396</v>
      </c>
      <c r="W30" s="15">
        <v>0</v>
      </c>
      <c r="X30" s="23"/>
      <c r="Y30" s="24"/>
      <c r="Z30" s="18">
        <v>0</v>
      </c>
      <c r="AA30" s="41"/>
      <c r="AD30" s="11">
        <v>42396</v>
      </c>
      <c r="AE30" s="12"/>
      <c r="AF30" s="19"/>
      <c r="AG30" s="20">
        <v>42396</v>
      </c>
      <c r="AH30" s="13"/>
      <c r="AI30" s="14"/>
      <c r="AJ30" s="22">
        <v>42396</v>
      </c>
      <c r="AK30" s="15"/>
      <c r="AL30" s="23"/>
      <c r="AM30" s="24"/>
      <c r="AN30" s="18"/>
    </row>
    <row r="31" spans="1:42" x14ac:dyDescent="0.25">
      <c r="B31" s="11">
        <v>42397</v>
      </c>
      <c r="C31" s="12">
        <v>0</v>
      </c>
      <c r="D31" s="19"/>
      <c r="E31" s="20">
        <v>42397</v>
      </c>
      <c r="F31" s="13">
        <v>76885.5</v>
      </c>
      <c r="G31" s="14"/>
      <c r="H31" s="22">
        <v>42397</v>
      </c>
      <c r="I31" s="15">
        <v>0</v>
      </c>
      <c r="J31" s="23"/>
      <c r="K31" s="24"/>
      <c r="L31" s="18">
        <f>30000+46885.5</f>
        <v>76885.5</v>
      </c>
      <c r="P31" s="11">
        <v>42397</v>
      </c>
      <c r="Q31" s="12">
        <v>0</v>
      </c>
      <c r="R31" s="19"/>
      <c r="S31" s="20">
        <v>42397</v>
      </c>
      <c r="T31" s="13"/>
      <c r="U31" s="14"/>
      <c r="V31" s="22">
        <v>42397</v>
      </c>
      <c r="W31" s="15">
        <v>0</v>
      </c>
      <c r="X31" s="23"/>
      <c r="Y31" s="24"/>
      <c r="Z31" s="18">
        <v>0</v>
      </c>
      <c r="AA31" s="41"/>
      <c r="AD31" s="11">
        <v>42397</v>
      </c>
      <c r="AE31" s="12"/>
      <c r="AF31" s="19"/>
      <c r="AG31" s="20">
        <v>42397</v>
      </c>
      <c r="AH31" s="13"/>
      <c r="AI31" s="14"/>
      <c r="AJ31" s="22">
        <v>42397</v>
      </c>
      <c r="AK31" s="15"/>
      <c r="AL31" s="23"/>
      <c r="AM31" s="24"/>
      <c r="AN31" s="18"/>
    </row>
    <row r="32" spans="1:42" x14ac:dyDescent="0.25">
      <c r="B32" s="11">
        <v>42398</v>
      </c>
      <c r="C32" s="12">
        <v>0</v>
      </c>
      <c r="D32" s="42"/>
      <c r="E32" s="20">
        <v>42398</v>
      </c>
      <c r="F32" s="13">
        <v>79497</v>
      </c>
      <c r="G32" s="14"/>
      <c r="H32" s="22">
        <v>42398</v>
      </c>
      <c r="I32" s="15">
        <v>0</v>
      </c>
      <c r="J32" s="23"/>
      <c r="K32" s="24"/>
      <c r="L32" s="18">
        <f>20000+59497</f>
        <v>79497</v>
      </c>
      <c r="P32" s="11">
        <v>42398</v>
      </c>
      <c r="Q32" s="12">
        <v>0</v>
      </c>
      <c r="R32" s="42"/>
      <c r="S32" s="20">
        <v>42398</v>
      </c>
      <c r="T32" s="13"/>
      <c r="U32" s="14"/>
      <c r="V32" s="22">
        <v>42398</v>
      </c>
      <c r="W32" s="15">
        <v>0</v>
      </c>
      <c r="X32" s="23"/>
      <c r="Y32" s="24"/>
      <c r="Z32" s="18">
        <v>0</v>
      </c>
      <c r="AA32" s="41"/>
      <c r="AD32" s="11">
        <v>42398</v>
      </c>
      <c r="AE32" s="12"/>
      <c r="AF32" s="42"/>
      <c r="AG32" s="20">
        <v>42398</v>
      </c>
      <c r="AH32" s="13"/>
      <c r="AI32" s="14"/>
      <c r="AJ32" s="22">
        <v>42398</v>
      </c>
      <c r="AK32" s="15"/>
      <c r="AL32" s="23"/>
      <c r="AM32" s="24"/>
      <c r="AN32" s="18"/>
    </row>
    <row r="33" spans="1:41" x14ac:dyDescent="0.25">
      <c r="B33" s="11">
        <v>42399</v>
      </c>
      <c r="C33" s="12">
        <v>0</v>
      </c>
      <c r="D33" s="19"/>
      <c r="E33" s="20">
        <v>42399</v>
      </c>
      <c r="F33" s="13">
        <v>94143.5</v>
      </c>
      <c r="G33" s="14"/>
      <c r="H33" s="22">
        <v>42399</v>
      </c>
      <c r="I33" s="15">
        <v>0</v>
      </c>
      <c r="J33" s="23"/>
      <c r="K33" s="24"/>
      <c r="L33" s="18">
        <f>33000+61143.5</f>
        <v>94143.5</v>
      </c>
      <c r="P33" s="11">
        <v>42399</v>
      </c>
      <c r="Q33" s="12">
        <v>0</v>
      </c>
      <c r="R33" s="19"/>
      <c r="S33" s="20">
        <v>42399</v>
      </c>
      <c r="T33" s="13"/>
      <c r="U33" s="14"/>
      <c r="V33" s="22">
        <v>42399</v>
      </c>
      <c r="W33" s="15">
        <v>0</v>
      </c>
      <c r="X33" s="23"/>
      <c r="Y33" s="24"/>
      <c r="Z33" s="18">
        <v>0</v>
      </c>
      <c r="AA33" s="41"/>
      <c r="AD33" s="11">
        <v>42399</v>
      </c>
      <c r="AE33" s="12"/>
      <c r="AF33" s="19"/>
      <c r="AG33" s="20">
        <v>42399</v>
      </c>
      <c r="AH33" s="13"/>
      <c r="AI33" s="14"/>
      <c r="AJ33" s="22">
        <v>42399</v>
      </c>
      <c r="AK33" s="15"/>
      <c r="AL33" s="23"/>
      <c r="AM33" s="24"/>
      <c r="AN33" s="18"/>
      <c r="AO33"/>
    </row>
    <row r="34" spans="1:41" ht="15.75" thickBot="1" x14ac:dyDescent="0.3">
      <c r="A34" s="28"/>
      <c r="B34" s="11">
        <v>42400</v>
      </c>
      <c r="C34" s="12">
        <v>0</v>
      </c>
      <c r="D34" s="19"/>
      <c r="E34" s="20">
        <v>42400</v>
      </c>
      <c r="F34" s="13">
        <v>54224.5</v>
      </c>
      <c r="G34" s="14"/>
      <c r="H34" s="22">
        <v>42400</v>
      </c>
      <c r="I34" s="15">
        <v>100</v>
      </c>
      <c r="J34" s="23"/>
      <c r="K34" s="24"/>
      <c r="L34" s="18">
        <f>22000+32124.5</f>
        <v>54124.5</v>
      </c>
      <c r="O34" s="28"/>
      <c r="P34" s="11">
        <v>42400</v>
      </c>
      <c r="Q34" s="12">
        <v>0</v>
      </c>
      <c r="R34" s="19"/>
      <c r="S34" s="20">
        <v>42400</v>
      </c>
      <c r="T34" s="13"/>
      <c r="U34" s="14"/>
      <c r="V34" s="22">
        <v>42400</v>
      </c>
      <c r="W34" s="15">
        <v>0</v>
      </c>
      <c r="X34" s="23"/>
      <c r="Y34" s="24"/>
      <c r="Z34" s="18">
        <v>0</v>
      </c>
      <c r="AA34" s="41"/>
      <c r="AC34" s="28"/>
      <c r="AD34" s="11">
        <v>42400</v>
      </c>
      <c r="AE34" s="12"/>
      <c r="AF34" s="19"/>
      <c r="AG34" s="20">
        <v>42400</v>
      </c>
      <c r="AH34" s="13"/>
      <c r="AI34" s="14"/>
      <c r="AJ34" s="22">
        <v>42400</v>
      </c>
      <c r="AK34" s="15"/>
      <c r="AL34" s="23"/>
      <c r="AM34" s="24"/>
      <c r="AN34" s="18"/>
      <c r="AO34"/>
    </row>
    <row r="35" spans="1:41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38"/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/>
    </row>
    <row r="36" spans="1:41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41"/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/>
    </row>
    <row r="37" spans="1:41" x14ac:dyDescent="0.25">
      <c r="B37" s="60" t="s">
        <v>11</v>
      </c>
      <c r="C37" s="61">
        <f>SUM(C4:C36)</f>
        <v>43024</v>
      </c>
      <c r="D37" s="46"/>
      <c r="E37" s="62" t="s">
        <v>11</v>
      </c>
      <c r="F37" s="63">
        <f>SUM(F4:F36)</f>
        <v>2863922</v>
      </c>
      <c r="H37" s="1" t="s">
        <v>11</v>
      </c>
      <c r="I37" s="64">
        <f>SUM(I4:I36)</f>
        <v>1318</v>
      </c>
      <c r="J37" s="64"/>
      <c r="K37" s="64">
        <f t="shared" ref="K37" si="0">SUM(K4:K36)</f>
        <v>91690.389999999985</v>
      </c>
      <c r="L37" s="2">
        <f>SUM(L4:L36)</f>
        <v>2878651</v>
      </c>
      <c r="P37" s="60" t="s">
        <v>11</v>
      </c>
      <c r="Q37" s="61">
        <f>SUM(Q4:Q36)</f>
        <v>42913</v>
      </c>
      <c r="R37" s="46"/>
      <c r="S37" s="62" t="s">
        <v>11</v>
      </c>
      <c r="T37" s="63">
        <f>SUM(T4:T36)</f>
        <v>2507049.5</v>
      </c>
      <c r="V37" s="1" t="s">
        <v>11</v>
      </c>
      <c r="W37" s="64">
        <f>SUM(W4:W36)</f>
        <v>1218</v>
      </c>
      <c r="X37" s="64"/>
      <c r="Y37" s="64">
        <f t="shared" ref="Y37" si="1">SUM(Y4:Y36)</f>
        <v>60894.559999999998</v>
      </c>
      <c r="Z37" s="2">
        <f>SUM(Z4:Z36)</f>
        <v>2483170.5</v>
      </c>
      <c r="AA37" s="41"/>
      <c r="AD37" s="60" t="s">
        <v>11</v>
      </c>
      <c r="AE37" s="61">
        <f>SUM(AE4:AE36)</f>
        <v>19679</v>
      </c>
      <c r="AF37" s="46"/>
      <c r="AG37" s="62" t="s">
        <v>11</v>
      </c>
      <c r="AH37" s="63">
        <f>SUM(AH4:AH36)</f>
        <v>1011940</v>
      </c>
      <c r="AJ37" s="1" t="s">
        <v>11</v>
      </c>
      <c r="AK37" s="64">
        <f>SUM(AK4:AK36)</f>
        <v>848</v>
      </c>
      <c r="AL37" s="64"/>
      <c r="AM37" s="64">
        <f t="shared" ref="AM37" si="2">SUM(AM4:AM36)</f>
        <v>27327.99</v>
      </c>
      <c r="AN37" s="2">
        <f>SUM(AN4:AN36)</f>
        <v>990612.5</v>
      </c>
      <c r="AO37"/>
    </row>
    <row r="38" spans="1:41" x14ac:dyDescent="0.25">
      <c r="A38" s="342"/>
      <c r="B38" s="342"/>
      <c r="C38" s="50"/>
      <c r="I38" s="64"/>
      <c r="K38" s="64"/>
      <c r="O38" s="342"/>
      <c r="P38" s="342"/>
      <c r="Q38" s="50"/>
      <c r="W38" s="64"/>
      <c r="Y38" s="64"/>
      <c r="AA38" s="41"/>
      <c r="AC38" s="342"/>
      <c r="AD38" s="342"/>
      <c r="AE38" s="50"/>
      <c r="AK38" s="64"/>
      <c r="AM38" s="64"/>
      <c r="AO38"/>
    </row>
    <row r="39" spans="1:41" ht="15.75" customHeight="1" x14ac:dyDescent="0.25">
      <c r="A39" s="65"/>
      <c r="B39" s="66"/>
      <c r="C39" s="50"/>
      <c r="D39" s="67"/>
      <c r="E39" s="66"/>
      <c r="F39" s="66"/>
      <c r="H39" s="326" t="s">
        <v>12</v>
      </c>
      <c r="I39" s="327"/>
      <c r="J39" s="328">
        <f>I37+K37</f>
        <v>93008.389999999985</v>
      </c>
      <c r="K39" s="329"/>
      <c r="L39" s="68"/>
      <c r="O39" s="65"/>
      <c r="P39" s="66"/>
      <c r="Q39" s="50"/>
      <c r="R39" s="67"/>
      <c r="S39" s="66"/>
      <c r="T39" s="66"/>
      <c r="V39" s="326" t="s">
        <v>12</v>
      </c>
      <c r="W39" s="327"/>
      <c r="X39" s="328">
        <f>W37+Y37</f>
        <v>62112.56</v>
      </c>
      <c r="Y39" s="329"/>
      <c r="Z39" s="68"/>
      <c r="AA39" s="41"/>
      <c r="AC39" s="65"/>
      <c r="AD39" s="66"/>
      <c r="AE39" s="50"/>
      <c r="AF39" s="67"/>
      <c r="AG39" s="66"/>
      <c r="AH39" s="66"/>
      <c r="AJ39" s="326" t="s">
        <v>12</v>
      </c>
      <c r="AK39" s="327"/>
      <c r="AL39" s="328">
        <f>AK37+AM37</f>
        <v>28175.99</v>
      </c>
      <c r="AM39" s="329"/>
      <c r="AN39" s="68"/>
      <c r="AO39"/>
    </row>
    <row r="40" spans="1:41" ht="15.75" customHeight="1" x14ac:dyDescent="0.25">
      <c r="A40" s="330"/>
      <c r="B40" s="330"/>
      <c r="C40" s="50"/>
      <c r="D40" s="331" t="s">
        <v>13</v>
      </c>
      <c r="E40" s="331"/>
      <c r="F40" s="69">
        <f>F37-J39-C37</f>
        <v>2727889.61</v>
      </c>
      <c r="I40" s="70"/>
      <c r="O40" s="330"/>
      <c r="P40" s="330"/>
      <c r="Q40" s="50"/>
      <c r="R40" s="331" t="s">
        <v>13</v>
      </c>
      <c r="S40" s="331"/>
      <c r="T40" s="69">
        <f>T37-X39-Q37</f>
        <v>2402023.94</v>
      </c>
      <c r="W40" s="70"/>
      <c r="AA40" s="41"/>
      <c r="AC40" s="330"/>
      <c r="AD40" s="330"/>
      <c r="AE40" s="50"/>
      <c r="AF40" s="331" t="s">
        <v>13</v>
      </c>
      <c r="AG40" s="331"/>
      <c r="AH40" s="69">
        <f>AH37-AL39-AE37</f>
        <v>964085.01</v>
      </c>
      <c r="AK40" s="70"/>
      <c r="AO40"/>
    </row>
    <row r="41" spans="1:41" x14ac:dyDescent="0.25">
      <c r="A41" s="67"/>
      <c r="B41" s="66"/>
      <c r="C41" s="50"/>
      <c r="D41" s="67"/>
      <c r="E41" s="66"/>
      <c r="F41" s="69">
        <v>0</v>
      </c>
      <c r="O41" s="67"/>
      <c r="P41" s="66"/>
      <c r="Q41" s="50"/>
      <c r="R41" s="67"/>
      <c r="S41" s="66"/>
      <c r="T41" s="69">
        <v>0</v>
      </c>
      <c r="AA41" s="41"/>
      <c r="AC41" s="67"/>
      <c r="AD41" s="66"/>
      <c r="AE41" s="50"/>
      <c r="AF41" s="67"/>
      <c r="AG41" s="66"/>
      <c r="AH41" s="69">
        <v>0</v>
      </c>
      <c r="AO41"/>
    </row>
    <row r="42" spans="1:41" ht="15.75" thickBot="1" x14ac:dyDescent="0.3">
      <c r="E42" s="71" t="s">
        <v>14</v>
      </c>
      <c r="F42" s="50">
        <v>-2210481.15</v>
      </c>
      <c r="I42" s="72" t="s">
        <v>15</v>
      </c>
      <c r="J42" s="73"/>
      <c r="K42" s="74">
        <v>370048.27</v>
      </c>
      <c r="S42" s="71" t="s">
        <v>14</v>
      </c>
      <c r="T42" s="50">
        <v>-1792412.5</v>
      </c>
      <c r="W42" s="72" t="s">
        <v>15</v>
      </c>
      <c r="X42" s="73"/>
      <c r="Y42" s="74">
        <v>309878.90999999997</v>
      </c>
      <c r="AA42" s="184"/>
      <c r="AG42" s="71" t="s">
        <v>14</v>
      </c>
      <c r="AH42" s="50">
        <v>-595358.94999999995</v>
      </c>
      <c r="AK42" s="72" t="s">
        <v>15</v>
      </c>
      <c r="AL42" s="73"/>
      <c r="AM42" s="74">
        <v>186814.36</v>
      </c>
      <c r="AO42"/>
    </row>
    <row r="43" spans="1:41" ht="15.75" thickTop="1" x14ac:dyDescent="0.25">
      <c r="E43" s="1" t="s">
        <v>16</v>
      </c>
      <c r="F43" s="64">
        <f>SUM(F40:F42)</f>
        <v>517408.45999999996</v>
      </c>
      <c r="K43" s="64">
        <f>F45+K42</f>
        <v>928395.23</v>
      </c>
      <c r="S43" s="1" t="s">
        <v>16</v>
      </c>
      <c r="T43" s="64">
        <f>SUM(T40:T42)</f>
        <v>609611.43999999994</v>
      </c>
      <c r="Y43" s="64">
        <f>T45+Y42</f>
        <v>977132.84999999986</v>
      </c>
      <c r="AG43" s="1" t="s">
        <v>16</v>
      </c>
      <c r="AH43" s="64">
        <f>SUM(AH40:AH42)</f>
        <v>368726.06000000006</v>
      </c>
      <c r="AM43" s="64">
        <f>AH45+AM42</f>
        <v>632502.42000000004</v>
      </c>
      <c r="AO43"/>
    </row>
    <row r="44" spans="1:41" ht="15.75" thickBot="1" x14ac:dyDescent="0.3">
      <c r="D44" s="62" t="s">
        <v>17</v>
      </c>
      <c r="E44" s="62"/>
      <c r="F44" s="75">
        <v>40938.5</v>
      </c>
      <c r="I44" s="1" t="s">
        <v>1</v>
      </c>
      <c r="J44" s="76"/>
      <c r="K44" s="77">
        <f>-C3</f>
        <v>-580958.05000000005</v>
      </c>
      <c r="R44" s="62" t="s">
        <v>17</v>
      </c>
      <c r="S44" s="62"/>
      <c r="T44" s="75">
        <v>57642.5</v>
      </c>
      <c r="W44" s="1" t="s">
        <v>1</v>
      </c>
      <c r="X44" s="76"/>
      <c r="Y44" s="77">
        <f>-Q3</f>
        <v>-580958.05000000005</v>
      </c>
      <c r="AF44" s="62" t="s">
        <v>17</v>
      </c>
      <c r="AG44" s="62"/>
      <c r="AH44" s="75">
        <v>76962</v>
      </c>
      <c r="AK44" s="1" t="s">
        <v>1</v>
      </c>
      <c r="AL44" s="76"/>
      <c r="AM44" s="77">
        <f>-AE3</f>
        <v>-580958.05000000005</v>
      </c>
      <c r="AO44"/>
    </row>
    <row r="45" spans="1:41" ht="20.25" thickTop="1" thickBot="1" x14ac:dyDescent="0.35">
      <c r="E45" s="60" t="s">
        <v>18</v>
      </c>
      <c r="F45" s="78">
        <f>F44+F43</f>
        <v>558346.96</v>
      </c>
      <c r="I45" s="332" t="s">
        <v>19</v>
      </c>
      <c r="J45" s="333"/>
      <c r="K45" s="79">
        <f>K43+K44</f>
        <v>347437.17999999993</v>
      </c>
      <c r="S45" s="60" t="s">
        <v>18</v>
      </c>
      <c r="T45" s="78">
        <f>T44+T43</f>
        <v>667253.93999999994</v>
      </c>
      <c r="W45" s="332" t="s">
        <v>19</v>
      </c>
      <c r="X45" s="333"/>
      <c r="Y45" s="79">
        <f>Y43+Y44</f>
        <v>396174.79999999981</v>
      </c>
      <c r="AG45" s="60" t="s">
        <v>18</v>
      </c>
      <c r="AH45" s="78">
        <f>AH44+AH43</f>
        <v>445688.06000000006</v>
      </c>
      <c r="AK45" s="332" t="s">
        <v>19</v>
      </c>
      <c r="AL45" s="333"/>
      <c r="AM45" s="79">
        <f>AM43+AM44</f>
        <v>51544.369999999995</v>
      </c>
      <c r="AO45"/>
    </row>
    <row r="46" spans="1:41" ht="15.75" thickTop="1" x14ac:dyDescent="0.25">
      <c r="AO46"/>
    </row>
    <row r="49" spans="2:41" x14ac:dyDescent="0.25">
      <c r="B49"/>
      <c r="C49"/>
      <c r="E49"/>
      <c r="F49"/>
      <c r="H49"/>
      <c r="I49"/>
      <c r="J49"/>
      <c r="K49"/>
      <c r="L49"/>
      <c r="P49"/>
      <c r="Q49"/>
      <c r="S49"/>
      <c r="T49"/>
      <c r="V49"/>
      <c r="W49"/>
      <c r="X49"/>
      <c r="Y49"/>
      <c r="Z49"/>
      <c r="AD49"/>
      <c r="AE49"/>
      <c r="AG49"/>
      <c r="AH49"/>
      <c r="AJ49"/>
      <c r="AK49"/>
      <c r="AL49"/>
      <c r="AM49"/>
      <c r="AN49"/>
      <c r="AO49"/>
    </row>
    <row r="50" spans="2:41" x14ac:dyDescent="0.25">
      <c r="B50"/>
      <c r="C50"/>
      <c r="E50"/>
      <c r="F50"/>
      <c r="H50"/>
      <c r="I50"/>
      <c r="J50"/>
      <c r="K50"/>
      <c r="L50"/>
      <c r="P50"/>
      <c r="Q50"/>
      <c r="S50"/>
      <c r="T50"/>
      <c r="V50"/>
      <c r="W50"/>
      <c r="X50"/>
      <c r="Y50"/>
      <c r="Z50"/>
      <c r="AD50"/>
      <c r="AE50"/>
      <c r="AG50"/>
      <c r="AH50"/>
      <c r="AJ50"/>
      <c r="AK50"/>
      <c r="AL50"/>
      <c r="AM50"/>
      <c r="AN50"/>
      <c r="AO50"/>
    </row>
    <row r="51" spans="2:41" x14ac:dyDescent="0.25">
      <c r="B51"/>
      <c r="C51"/>
      <c r="E51"/>
      <c r="F51"/>
      <c r="H51" s="325"/>
      <c r="I51" s="325"/>
      <c r="J51" s="80"/>
      <c r="K51" s="81"/>
      <c r="L51"/>
      <c r="P51"/>
      <c r="Q51"/>
      <c r="S51"/>
      <c r="T51"/>
      <c r="V51" s="325"/>
      <c r="W51" s="325"/>
      <c r="X51" s="80"/>
      <c r="Y51" s="81"/>
      <c r="Z51"/>
      <c r="AD51"/>
      <c r="AE51"/>
      <c r="AG51"/>
      <c r="AH51"/>
      <c r="AJ51" s="325"/>
      <c r="AK51" s="325"/>
      <c r="AL51" s="80"/>
      <c r="AM51" s="81"/>
      <c r="AN51"/>
      <c r="AO51"/>
    </row>
    <row r="52" spans="2:41" x14ac:dyDescent="0.25">
      <c r="B52"/>
      <c r="C52"/>
      <c r="E52"/>
      <c r="F52"/>
      <c r="H52"/>
      <c r="I52"/>
      <c r="J52"/>
      <c r="K52"/>
      <c r="L52"/>
      <c r="P52"/>
      <c r="Q52"/>
      <c r="S52"/>
      <c r="T52"/>
      <c r="V52"/>
      <c r="W52"/>
      <c r="X52"/>
      <c r="Y52"/>
      <c r="Z52"/>
      <c r="AD52"/>
      <c r="AE52"/>
      <c r="AG52"/>
      <c r="AH52"/>
      <c r="AJ52"/>
      <c r="AK52"/>
      <c r="AL52"/>
      <c r="AM52"/>
      <c r="AN52"/>
      <c r="AO52"/>
    </row>
    <row r="53" spans="2:41" x14ac:dyDescent="0.25">
      <c r="B53"/>
      <c r="C53"/>
      <c r="E53"/>
      <c r="F53"/>
      <c r="H53"/>
      <c r="I53"/>
      <c r="J53"/>
      <c r="K53"/>
      <c r="L53"/>
      <c r="P53"/>
      <c r="Q53"/>
      <c r="S53"/>
      <c r="T53"/>
      <c r="V53"/>
      <c r="W53"/>
      <c r="X53"/>
      <c r="Y53"/>
      <c r="Z53"/>
      <c r="AD53"/>
      <c r="AE53"/>
      <c r="AG53"/>
      <c r="AH53"/>
      <c r="AJ53"/>
      <c r="AK53"/>
      <c r="AL53"/>
      <c r="AM53"/>
      <c r="AN53"/>
      <c r="AO53"/>
    </row>
    <row r="54" spans="2:41" x14ac:dyDescent="0.25">
      <c r="B54"/>
      <c r="C54"/>
      <c r="E54"/>
      <c r="F54"/>
      <c r="H54"/>
      <c r="I54"/>
      <c r="J54"/>
      <c r="K54"/>
      <c r="L54"/>
      <c r="P54"/>
      <c r="Q54"/>
      <c r="S54"/>
      <c r="T54"/>
      <c r="V54"/>
      <c r="W54"/>
      <c r="X54"/>
      <c r="Y54"/>
      <c r="Z54"/>
      <c r="AD54"/>
      <c r="AE54"/>
      <c r="AG54"/>
      <c r="AH54"/>
      <c r="AJ54"/>
      <c r="AK54"/>
      <c r="AL54"/>
      <c r="AM54"/>
      <c r="AN54"/>
      <c r="AO54"/>
    </row>
    <row r="55" spans="2:41" x14ac:dyDescent="0.25">
      <c r="B55"/>
      <c r="C55"/>
      <c r="E55"/>
      <c r="F55"/>
      <c r="H55"/>
      <c r="I55"/>
      <c r="J55"/>
      <c r="K55"/>
      <c r="L55"/>
      <c r="P55"/>
      <c r="Q55"/>
      <c r="S55"/>
      <c r="T55"/>
      <c r="V55"/>
      <c r="W55"/>
      <c r="X55"/>
      <c r="Y55"/>
      <c r="Z55"/>
      <c r="AD55"/>
      <c r="AE55"/>
      <c r="AG55"/>
      <c r="AH55"/>
      <c r="AJ55"/>
      <c r="AK55"/>
      <c r="AL55"/>
      <c r="AM55"/>
      <c r="AN55"/>
      <c r="AO55"/>
    </row>
    <row r="56" spans="2:41" x14ac:dyDescent="0.25">
      <c r="B56"/>
      <c r="C56"/>
      <c r="E56"/>
      <c r="F56"/>
      <c r="H56"/>
      <c r="I56"/>
      <c r="J56"/>
      <c r="K56"/>
      <c r="L56"/>
      <c r="P56"/>
      <c r="Q56"/>
      <c r="S56"/>
      <c r="T56"/>
      <c r="V56"/>
      <c r="W56"/>
      <c r="X56"/>
      <c r="Y56"/>
      <c r="Z56"/>
      <c r="AD56"/>
      <c r="AE56"/>
      <c r="AG56"/>
      <c r="AH56"/>
      <c r="AJ56"/>
      <c r="AK56"/>
      <c r="AL56"/>
      <c r="AM56"/>
      <c r="AN56"/>
      <c r="AO56"/>
    </row>
    <row r="57" spans="2:41" x14ac:dyDescent="0.25">
      <c r="B57"/>
      <c r="C57"/>
      <c r="E57"/>
      <c r="F57"/>
      <c r="H57"/>
      <c r="I57"/>
      <c r="J57"/>
      <c r="K57"/>
      <c r="L57"/>
      <c r="P57"/>
      <c r="Q57"/>
      <c r="S57"/>
      <c r="T57"/>
      <c r="V57"/>
      <c r="W57"/>
      <c r="X57"/>
      <c r="Y57"/>
      <c r="Z57"/>
      <c r="AD57"/>
      <c r="AE57"/>
      <c r="AG57"/>
      <c r="AH57"/>
      <c r="AJ57"/>
      <c r="AK57"/>
      <c r="AL57"/>
      <c r="AM57"/>
      <c r="AN57"/>
      <c r="AO57"/>
    </row>
    <row r="58" spans="2:41" x14ac:dyDescent="0.25">
      <c r="B58"/>
      <c r="C58"/>
      <c r="E58"/>
      <c r="F58"/>
      <c r="H58"/>
      <c r="I58"/>
      <c r="J58"/>
      <c r="K58"/>
      <c r="L58"/>
      <c r="P58"/>
      <c r="Q58"/>
      <c r="S58"/>
      <c r="T58"/>
      <c r="V58"/>
      <c r="W58"/>
      <c r="X58"/>
      <c r="Y58"/>
      <c r="Z58"/>
      <c r="AD58"/>
      <c r="AE58"/>
      <c r="AG58"/>
      <c r="AH58"/>
      <c r="AJ58"/>
      <c r="AK58"/>
      <c r="AL58"/>
      <c r="AM58"/>
      <c r="AN58"/>
      <c r="AO58"/>
    </row>
    <row r="59" spans="2:41" x14ac:dyDescent="0.25">
      <c r="B59"/>
      <c r="C59"/>
      <c r="E59"/>
      <c r="F59"/>
      <c r="H59"/>
      <c r="I59"/>
      <c r="J59"/>
      <c r="K59"/>
      <c r="L59"/>
      <c r="P59"/>
      <c r="Q59"/>
      <c r="S59"/>
      <c r="T59"/>
      <c r="V59"/>
      <c r="W59"/>
      <c r="X59"/>
      <c r="Y59"/>
      <c r="Z59"/>
      <c r="AD59"/>
      <c r="AE59"/>
      <c r="AG59"/>
      <c r="AH59"/>
      <c r="AJ59"/>
      <c r="AK59"/>
      <c r="AL59"/>
      <c r="AM59"/>
      <c r="AN59"/>
      <c r="AO59"/>
    </row>
    <row r="60" spans="2:41" x14ac:dyDescent="0.25">
      <c r="B60"/>
      <c r="C60"/>
      <c r="E60"/>
      <c r="F60"/>
      <c r="H60"/>
      <c r="I60"/>
      <c r="J60"/>
      <c r="K60"/>
      <c r="L60"/>
      <c r="P60"/>
      <c r="Q60"/>
      <c r="S60"/>
      <c r="T60"/>
      <c r="V60"/>
      <c r="W60"/>
      <c r="X60"/>
      <c r="Y60"/>
      <c r="Z60"/>
      <c r="AD60"/>
      <c r="AE60"/>
      <c r="AG60"/>
      <c r="AH60"/>
      <c r="AJ60"/>
      <c r="AK60"/>
      <c r="AL60"/>
      <c r="AM60"/>
      <c r="AN60"/>
      <c r="AO60"/>
    </row>
    <row r="61" spans="2:41" x14ac:dyDescent="0.25">
      <c r="B61"/>
      <c r="C61"/>
      <c r="E61"/>
      <c r="F61"/>
      <c r="H61"/>
      <c r="I61"/>
      <c r="J61"/>
      <c r="K61"/>
      <c r="L61"/>
      <c r="P61"/>
      <c r="Q61"/>
      <c r="S61"/>
      <c r="T61"/>
      <c r="V61"/>
      <c r="W61"/>
      <c r="X61"/>
      <c r="Y61"/>
      <c r="Z61"/>
      <c r="AD61"/>
      <c r="AE61"/>
      <c r="AG61"/>
      <c r="AH61"/>
      <c r="AJ61"/>
      <c r="AK61"/>
      <c r="AL61"/>
      <c r="AM61"/>
      <c r="AN61"/>
      <c r="AO61"/>
    </row>
    <row r="62" spans="2:41" x14ac:dyDescent="0.25">
      <c r="B62"/>
      <c r="C62"/>
      <c r="E62"/>
      <c r="F62"/>
      <c r="H62"/>
      <c r="I62"/>
      <c r="J62"/>
      <c r="K62"/>
      <c r="L62"/>
      <c r="P62"/>
      <c r="Q62"/>
      <c r="S62"/>
      <c r="T62"/>
      <c r="V62"/>
      <c r="W62"/>
      <c r="X62"/>
      <c r="Y62"/>
      <c r="Z62"/>
      <c r="AD62"/>
      <c r="AE62"/>
      <c r="AG62"/>
      <c r="AH62"/>
      <c r="AJ62"/>
      <c r="AK62"/>
      <c r="AL62"/>
      <c r="AM62"/>
      <c r="AN62"/>
      <c r="AO62"/>
    </row>
    <row r="63" spans="2:41" x14ac:dyDescent="0.25">
      <c r="B63"/>
      <c r="C63"/>
      <c r="E63"/>
      <c r="F63"/>
      <c r="H63"/>
      <c r="I63"/>
      <c r="J63"/>
      <c r="K63"/>
      <c r="L63"/>
      <c r="P63"/>
      <c r="Q63"/>
      <c r="S63"/>
      <c r="T63"/>
      <c r="V63"/>
      <c r="W63"/>
      <c r="X63"/>
      <c r="Y63"/>
      <c r="Z63"/>
      <c r="AD63"/>
      <c r="AE63"/>
      <c r="AG63"/>
      <c r="AH63"/>
      <c r="AJ63"/>
      <c r="AK63"/>
      <c r="AL63"/>
      <c r="AM63"/>
      <c r="AN63"/>
      <c r="AO63"/>
    </row>
    <row r="64" spans="2:41" x14ac:dyDescent="0.25">
      <c r="B64"/>
      <c r="C64"/>
      <c r="E64"/>
      <c r="F64"/>
      <c r="H64"/>
      <c r="I64"/>
      <c r="J64"/>
      <c r="K64"/>
      <c r="L64"/>
      <c r="P64"/>
      <c r="Q64"/>
      <c r="S64"/>
      <c r="T64"/>
      <c r="V64"/>
      <c r="W64"/>
      <c r="X64"/>
      <c r="Y64"/>
      <c r="Z64"/>
      <c r="AD64"/>
      <c r="AE64"/>
      <c r="AG64"/>
      <c r="AH64"/>
      <c r="AJ64"/>
      <c r="AK64"/>
      <c r="AL64"/>
      <c r="AM64"/>
      <c r="AN64"/>
      <c r="AO64"/>
    </row>
    <row r="65" spans="2:41" x14ac:dyDescent="0.25">
      <c r="B65"/>
      <c r="C65"/>
      <c r="E65"/>
      <c r="F65"/>
      <c r="H65"/>
      <c r="I65"/>
      <c r="J65"/>
      <c r="K65"/>
      <c r="L65"/>
      <c r="P65"/>
      <c r="Q65"/>
      <c r="S65"/>
      <c r="T65"/>
      <c r="V65"/>
      <c r="W65"/>
      <c r="X65"/>
      <c r="Y65"/>
      <c r="Z65"/>
      <c r="AD65"/>
      <c r="AE65"/>
      <c r="AG65"/>
      <c r="AH65"/>
      <c r="AJ65"/>
      <c r="AK65"/>
      <c r="AL65"/>
      <c r="AM65"/>
      <c r="AN65"/>
      <c r="AO65"/>
    </row>
    <row r="66" spans="2:41" x14ac:dyDescent="0.25">
      <c r="B66"/>
      <c r="C66"/>
      <c r="E66"/>
      <c r="F66"/>
      <c r="H66"/>
      <c r="I66"/>
      <c r="J66"/>
      <c r="K66"/>
      <c r="L66"/>
      <c r="P66"/>
      <c r="Q66"/>
      <c r="S66"/>
      <c r="T66"/>
      <c r="V66"/>
      <c r="W66"/>
      <c r="X66"/>
      <c r="Y66"/>
      <c r="Z66"/>
      <c r="AD66"/>
      <c r="AE66"/>
      <c r="AG66"/>
      <c r="AH66"/>
      <c r="AJ66"/>
      <c r="AK66"/>
      <c r="AL66"/>
      <c r="AM66"/>
      <c r="AN66"/>
      <c r="AO66"/>
    </row>
    <row r="67" spans="2:41" x14ac:dyDescent="0.25">
      <c r="B67"/>
      <c r="C67"/>
      <c r="E67"/>
      <c r="F67"/>
      <c r="H67"/>
      <c r="I67"/>
      <c r="J67"/>
      <c r="K67"/>
      <c r="L67"/>
      <c r="P67"/>
      <c r="Q67"/>
      <c r="S67"/>
      <c r="T67"/>
      <c r="V67"/>
      <c r="W67"/>
      <c r="X67"/>
      <c r="Y67"/>
      <c r="Z67"/>
      <c r="AD67"/>
      <c r="AE67"/>
      <c r="AG67"/>
      <c r="AH67"/>
      <c r="AJ67"/>
      <c r="AK67"/>
      <c r="AL67"/>
      <c r="AM67"/>
      <c r="AN67"/>
      <c r="AO67"/>
    </row>
    <row r="68" spans="2:41" x14ac:dyDescent="0.25">
      <c r="B68"/>
      <c r="C68"/>
      <c r="E68"/>
      <c r="F68"/>
      <c r="H68"/>
      <c r="I68"/>
      <c r="J68"/>
      <c r="K68"/>
      <c r="L68"/>
      <c r="P68"/>
      <c r="Q68"/>
      <c r="S68"/>
      <c r="T68"/>
      <c r="V68"/>
      <c r="W68"/>
      <c r="X68"/>
      <c r="Y68"/>
      <c r="Z68"/>
      <c r="AD68"/>
      <c r="AE68"/>
      <c r="AG68"/>
      <c r="AH68"/>
      <c r="AJ68"/>
      <c r="AK68"/>
      <c r="AL68"/>
      <c r="AM68"/>
      <c r="AN68"/>
      <c r="AO68"/>
    </row>
    <row r="69" spans="2:41" x14ac:dyDescent="0.25">
      <c r="B69"/>
      <c r="C69"/>
      <c r="E69"/>
      <c r="F69"/>
      <c r="H69"/>
      <c r="I69"/>
      <c r="J69"/>
      <c r="K69"/>
      <c r="L69"/>
      <c r="P69"/>
      <c r="Q69"/>
      <c r="S69"/>
      <c r="T69"/>
      <c r="V69"/>
      <c r="W69"/>
      <c r="X69"/>
      <c r="Y69"/>
      <c r="Z69"/>
      <c r="AD69"/>
      <c r="AE69"/>
      <c r="AG69"/>
      <c r="AH69"/>
      <c r="AJ69"/>
      <c r="AK69"/>
      <c r="AL69"/>
      <c r="AM69"/>
      <c r="AN69"/>
      <c r="AO69"/>
    </row>
    <row r="70" spans="2:41" x14ac:dyDescent="0.25">
      <c r="B70"/>
      <c r="C70"/>
      <c r="E70"/>
      <c r="F70"/>
      <c r="H70"/>
      <c r="I70"/>
      <c r="J70"/>
      <c r="K70"/>
      <c r="L70"/>
      <c r="P70"/>
      <c r="Q70"/>
      <c r="S70"/>
      <c r="T70"/>
      <c r="V70"/>
      <c r="W70"/>
      <c r="X70"/>
      <c r="Y70"/>
      <c r="Z70"/>
      <c r="AD70"/>
      <c r="AE70"/>
      <c r="AG70"/>
      <c r="AH70"/>
      <c r="AJ70"/>
      <c r="AK70"/>
      <c r="AL70"/>
      <c r="AM70"/>
      <c r="AN70"/>
      <c r="AO70"/>
    </row>
    <row r="71" spans="2:41" x14ac:dyDescent="0.25">
      <c r="B71"/>
      <c r="C71"/>
      <c r="E71"/>
      <c r="F71"/>
      <c r="H71"/>
      <c r="I71"/>
      <c r="J71"/>
      <c r="K71"/>
      <c r="L71"/>
      <c r="P71"/>
      <c r="Q71"/>
      <c r="S71"/>
      <c r="T71"/>
      <c r="V71"/>
      <c r="W71"/>
      <c r="X71"/>
      <c r="Y71"/>
      <c r="Z71"/>
      <c r="AD71"/>
      <c r="AE71"/>
      <c r="AG71"/>
      <c r="AH71"/>
      <c r="AJ71"/>
      <c r="AK71"/>
      <c r="AL71"/>
      <c r="AM71"/>
      <c r="AN71"/>
      <c r="AO71"/>
    </row>
    <row r="72" spans="2:41" x14ac:dyDescent="0.25">
      <c r="B72"/>
      <c r="C72"/>
      <c r="E72"/>
      <c r="F72"/>
      <c r="H72"/>
      <c r="I72"/>
      <c r="J72"/>
      <c r="K72"/>
      <c r="L72"/>
      <c r="P72"/>
      <c r="Q72"/>
      <c r="S72"/>
      <c r="T72"/>
      <c r="V72"/>
      <c r="W72"/>
      <c r="X72"/>
      <c r="Y72"/>
      <c r="Z72"/>
      <c r="AD72"/>
      <c r="AE72"/>
      <c r="AG72"/>
      <c r="AH72"/>
      <c r="AJ72"/>
      <c r="AK72"/>
      <c r="AL72"/>
      <c r="AM72"/>
      <c r="AN72"/>
      <c r="AO72"/>
    </row>
    <row r="73" spans="2:41" x14ac:dyDescent="0.25">
      <c r="B73"/>
      <c r="C73"/>
      <c r="E73"/>
      <c r="F73"/>
      <c r="H73"/>
      <c r="I73"/>
      <c r="J73"/>
      <c r="K73"/>
      <c r="L73"/>
      <c r="P73"/>
      <c r="Q73"/>
      <c r="S73"/>
      <c r="T73"/>
      <c r="V73"/>
      <c r="W73"/>
      <c r="X73"/>
      <c r="Y73"/>
      <c r="Z73"/>
      <c r="AD73"/>
      <c r="AE73"/>
      <c r="AG73"/>
      <c r="AH73"/>
      <c r="AJ73"/>
      <c r="AK73"/>
      <c r="AL73"/>
      <c r="AM73"/>
      <c r="AN73"/>
      <c r="AO73"/>
    </row>
    <row r="74" spans="2:41" x14ac:dyDescent="0.25">
      <c r="B74"/>
      <c r="C74"/>
      <c r="E74"/>
      <c r="F74"/>
      <c r="H74"/>
      <c r="I74"/>
      <c r="J74"/>
      <c r="K74"/>
      <c r="L74"/>
      <c r="P74"/>
      <c r="Q74"/>
      <c r="S74"/>
      <c r="T74"/>
      <c r="V74"/>
      <c r="W74"/>
      <c r="X74"/>
      <c r="Y74"/>
      <c r="Z74"/>
      <c r="AD74"/>
      <c r="AE74"/>
      <c r="AG74"/>
      <c r="AH74"/>
      <c r="AJ74"/>
      <c r="AK74"/>
      <c r="AL74"/>
      <c r="AM74"/>
      <c r="AN74"/>
      <c r="AO74"/>
    </row>
    <row r="75" spans="2:41" x14ac:dyDescent="0.25">
      <c r="B75"/>
      <c r="C75"/>
      <c r="E75"/>
      <c r="F75"/>
      <c r="H75"/>
      <c r="I75"/>
      <c r="J75"/>
      <c r="K75"/>
      <c r="L75"/>
      <c r="P75"/>
      <c r="Q75"/>
      <c r="S75"/>
      <c r="T75"/>
      <c r="V75"/>
      <c r="W75"/>
      <c r="X75"/>
      <c r="Y75"/>
      <c r="Z75"/>
      <c r="AD75"/>
      <c r="AE75"/>
      <c r="AG75"/>
      <c r="AH75"/>
      <c r="AJ75"/>
      <c r="AK75"/>
      <c r="AL75"/>
      <c r="AM75"/>
      <c r="AN75"/>
      <c r="AO75"/>
    </row>
    <row r="76" spans="2:41" x14ac:dyDescent="0.25">
      <c r="B76"/>
      <c r="C76"/>
      <c r="E76"/>
      <c r="F76"/>
      <c r="H76"/>
      <c r="I76"/>
      <c r="J76"/>
      <c r="K76"/>
      <c r="L76"/>
      <c r="P76"/>
      <c r="Q76"/>
      <c r="S76"/>
      <c r="T76"/>
      <c r="V76"/>
      <c r="W76"/>
      <c r="X76"/>
      <c r="Y76"/>
      <c r="Z76"/>
      <c r="AD76"/>
      <c r="AE76"/>
      <c r="AG76"/>
      <c r="AH76"/>
      <c r="AJ76"/>
      <c r="AK76"/>
      <c r="AL76"/>
      <c r="AM76"/>
      <c r="AN76"/>
      <c r="AO76"/>
    </row>
    <row r="77" spans="2:41" x14ac:dyDescent="0.25">
      <c r="B77"/>
      <c r="C77"/>
      <c r="E77"/>
      <c r="F77"/>
      <c r="H77"/>
      <c r="I77"/>
      <c r="J77"/>
      <c r="K77"/>
      <c r="L77"/>
      <c r="P77"/>
      <c r="Q77"/>
      <c r="S77"/>
      <c r="T77"/>
      <c r="V77"/>
      <c r="W77"/>
      <c r="X77"/>
      <c r="Y77"/>
      <c r="Z77"/>
      <c r="AD77"/>
      <c r="AE77"/>
      <c r="AG77"/>
      <c r="AH77"/>
      <c r="AJ77"/>
      <c r="AK77"/>
      <c r="AL77"/>
      <c r="AM77"/>
      <c r="AN77"/>
      <c r="AO77"/>
    </row>
    <row r="78" spans="2:41" x14ac:dyDescent="0.25">
      <c r="B78"/>
      <c r="C78"/>
      <c r="E78"/>
      <c r="F78"/>
      <c r="H78"/>
      <c r="I78"/>
      <c r="J78"/>
      <c r="K78"/>
      <c r="L78"/>
      <c r="P78"/>
      <c r="Q78"/>
      <c r="S78"/>
      <c r="T78"/>
      <c r="V78"/>
      <c r="W78"/>
      <c r="X78"/>
      <c r="Y78"/>
      <c r="Z78"/>
      <c r="AD78"/>
      <c r="AE78"/>
      <c r="AG78"/>
      <c r="AH78"/>
      <c r="AJ78"/>
      <c r="AK78"/>
      <c r="AL78"/>
      <c r="AM78"/>
      <c r="AN78"/>
      <c r="AO78"/>
    </row>
    <row r="79" spans="2:41" x14ac:dyDescent="0.25">
      <c r="B79"/>
      <c r="C79"/>
      <c r="E79"/>
      <c r="F79"/>
      <c r="H79"/>
      <c r="I79"/>
      <c r="J79"/>
      <c r="K79"/>
      <c r="L79"/>
      <c r="P79"/>
      <c r="Q79"/>
      <c r="S79"/>
      <c r="T79"/>
      <c r="V79"/>
      <c r="W79"/>
      <c r="X79"/>
      <c r="Y79"/>
      <c r="Z79"/>
      <c r="AD79"/>
      <c r="AE79"/>
      <c r="AG79"/>
      <c r="AH79"/>
      <c r="AJ79"/>
      <c r="AK79"/>
      <c r="AL79"/>
      <c r="AM79"/>
      <c r="AN79"/>
      <c r="AO79"/>
    </row>
    <row r="80" spans="2:41" x14ac:dyDescent="0.25">
      <c r="B80"/>
      <c r="C80"/>
      <c r="E80"/>
      <c r="F80"/>
      <c r="H80"/>
      <c r="I80"/>
      <c r="J80"/>
      <c r="K80"/>
      <c r="L80"/>
      <c r="P80"/>
      <c r="Q80"/>
      <c r="S80"/>
      <c r="T80"/>
      <c r="V80"/>
      <c r="W80"/>
      <c r="X80"/>
      <c r="Y80"/>
      <c r="Z80"/>
      <c r="AD80"/>
      <c r="AE80"/>
      <c r="AG80"/>
      <c r="AH80"/>
      <c r="AJ80"/>
      <c r="AK80"/>
      <c r="AL80"/>
      <c r="AM80"/>
      <c r="AN80"/>
      <c r="AO80"/>
    </row>
    <row r="81" spans="2:41" x14ac:dyDescent="0.25">
      <c r="B81"/>
      <c r="C81"/>
      <c r="E81"/>
      <c r="F81"/>
      <c r="H81"/>
      <c r="I81"/>
      <c r="J81"/>
      <c r="K81"/>
      <c r="L81"/>
      <c r="P81"/>
      <c r="Q81"/>
      <c r="S81"/>
      <c r="T81"/>
      <c r="V81"/>
      <c r="W81"/>
      <c r="X81"/>
      <c r="Y81"/>
      <c r="Z81"/>
      <c r="AD81"/>
      <c r="AE81"/>
      <c r="AG81"/>
      <c r="AH81"/>
      <c r="AJ81"/>
      <c r="AK81"/>
      <c r="AL81"/>
      <c r="AM81"/>
      <c r="AN81"/>
      <c r="AO81"/>
    </row>
    <row r="82" spans="2:41" x14ac:dyDescent="0.25">
      <c r="B82"/>
      <c r="C82"/>
      <c r="E82"/>
      <c r="F82"/>
      <c r="H82"/>
      <c r="I82"/>
      <c r="J82"/>
      <c r="K82"/>
      <c r="L82"/>
      <c r="P82"/>
      <c r="Q82"/>
      <c r="S82"/>
      <c r="T82"/>
      <c r="V82"/>
      <c r="W82"/>
      <c r="X82"/>
      <c r="Y82"/>
      <c r="Z82"/>
      <c r="AD82"/>
      <c r="AE82"/>
      <c r="AG82"/>
      <c r="AH82"/>
      <c r="AJ82"/>
      <c r="AK82"/>
      <c r="AL82"/>
      <c r="AM82"/>
      <c r="AN82"/>
      <c r="AO82"/>
    </row>
    <row r="83" spans="2:41" x14ac:dyDescent="0.25">
      <c r="B83"/>
      <c r="C83"/>
      <c r="E83"/>
      <c r="F83"/>
      <c r="H83"/>
      <c r="I83"/>
      <c r="J83"/>
      <c r="K83"/>
      <c r="L83"/>
      <c r="P83"/>
      <c r="Q83"/>
      <c r="S83"/>
      <c r="T83"/>
      <c r="V83"/>
      <c r="W83"/>
      <c r="X83"/>
      <c r="Y83"/>
      <c r="Z83"/>
      <c r="AD83"/>
      <c r="AE83"/>
      <c r="AG83"/>
      <c r="AH83"/>
      <c r="AJ83"/>
      <c r="AK83"/>
      <c r="AL83"/>
      <c r="AM83"/>
      <c r="AN83"/>
      <c r="AO83"/>
    </row>
    <row r="84" spans="2:41" x14ac:dyDescent="0.25">
      <c r="B84"/>
      <c r="C84"/>
      <c r="E84"/>
      <c r="F84"/>
      <c r="H84"/>
      <c r="I84"/>
      <c r="J84"/>
      <c r="K84"/>
      <c r="L84"/>
      <c r="P84"/>
      <c r="Q84"/>
      <c r="S84"/>
      <c r="T84"/>
      <c r="V84"/>
      <c r="W84"/>
      <c r="X84"/>
      <c r="Y84"/>
      <c r="Z84"/>
      <c r="AD84"/>
      <c r="AE84"/>
      <c r="AG84"/>
      <c r="AH84"/>
      <c r="AJ84"/>
      <c r="AK84"/>
      <c r="AL84"/>
      <c r="AM84"/>
      <c r="AN84"/>
      <c r="AO84"/>
    </row>
    <row r="85" spans="2:41" x14ac:dyDescent="0.25">
      <c r="B85"/>
      <c r="C85"/>
      <c r="E85"/>
      <c r="F85"/>
      <c r="H85"/>
      <c r="I85"/>
      <c r="J85"/>
      <c r="K85"/>
      <c r="L85"/>
      <c r="P85"/>
      <c r="Q85"/>
      <c r="S85"/>
      <c r="T85"/>
      <c r="V85"/>
      <c r="W85"/>
      <c r="X85"/>
      <c r="Y85"/>
      <c r="Z85"/>
      <c r="AD85"/>
      <c r="AE85"/>
      <c r="AG85"/>
      <c r="AH85"/>
      <c r="AJ85"/>
      <c r="AK85"/>
      <c r="AL85"/>
      <c r="AM85"/>
      <c r="AN85"/>
      <c r="AO85"/>
    </row>
    <row r="86" spans="2:41" x14ac:dyDescent="0.25">
      <c r="B86"/>
      <c r="C86"/>
      <c r="E86"/>
      <c r="F86"/>
      <c r="H86"/>
      <c r="I86"/>
      <c r="J86"/>
      <c r="K86"/>
      <c r="L86"/>
      <c r="P86"/>
      <c r="Q86"/>
      <c r="S86"/>
      <c r="T86"/>
      <c r="V86"/>
      <c r="W86"/>
      <c r="X86"/>
      <c r="Y86"/>
      <c r="Z86"/>
      <c r="AD86"/>
      <c r="AE86"/>
      <c r="AG86"/>
      <c r="AH86"/>
      <c r="AJ86"/>
      <c r="AK86"/>
      <c r="AL86"/>
      <c r="AM86"/>
      <c r="AN86"/>
      <c r="AO86"/>
    </row>
    <row r="87" spans="2:41" x14ac:dyDescent="0.25">
      <c r="B87"/>
      <c r="C87"/>
      <c r="E87"/>
      <c r="F87"/>
      <c r="H87"/>
      <c r="I87"/>
      <c r="J87"/>
      <c r="K87"/>
      <c r="L87"/>
      <c r="P87"/>
      <c r="Q87"/>
      <c r="S87"/>
      <c r="T87"/>
      <c r="V87"/>
      <c r="W87"/>
      <c r="X87"/>
      <c r="Y87"/>
      <c r="Z87"/>
      <c r="AD87"/>
      <c r="AE87"/>
      <c r="AG87"/>
      <c r="AH87"/>
      <c r="AJ87"/>
      <c r="AK87"/>
      <c r="AL87"/>
      <c r="AM87"/>
      <c r="AN87"/>
      <c r="AO87"/>
    </row>
    <row r="88" spans="2:41" x14ac:dyDescent="0.25">
      <c r="B88"/>
      <c r="C88"/>
      <c r="E88"/>
      <c r="F88"/>
      <c r="H88"/>
      <c r="I88"/>
      <c r="J88"/>
      <c r="K88"/>
      <c r="L88"/>
      <c r="P88"/>
      <c r="Q88"/>
      <c r="S88"/>
      <c r="T88"/>
      <c r="V88"/>
      <c r="W88"/>
      <c r="X88"/>
      <c r="Y88"/>
      <c r="Z88"/>
      <c r="AD88"/>
      <c r="AE88"/>
      <c r="AG88"/>
      <c r="AH88"/>
      <c r="AJ88"/>
      <c r="AK88"/>
      <c r="AL88"/>
      <c r="AM88"/>
      <c r="AN88"/>
      <c r="AO88"/>
    </row>
    <row r="89" spans="2:41" x14ac:dyDescent="0.25">
      <c r="B89"/>
      <c r="C89"/>
      <c r="E89"/>
      <c r="F89"/>
      <c r="H89"/>
      <c r="I89"/>
      <c r="J89"/>
      <c r="K89"/>
      <c r="L89"/>
      <c r="P89"/>
      <c r="Q89"/>
      <c r="S89"/>
      <c r="T89"/>
      <c r="V89"/>
      <c r="W89"/>
      <c r="X89"/>
      <c r="Y89"/>
      <c r="Z89"/>
      <c r="AD89"/>
      <c r="AE89"/>
      <c r="AG89"/>
      <c r="AH89"/>
      <c r="AJ89"/>
      <c r="AK89"/>
      <c r="AL89"/>
      <c r="AM89"/>
      <c r="AN89"/>
      <c r="AO89"/>
    </row>
    <row r="90" spans="2:41" x14ac:dyDescent="0.25">
      <c r="B90"/>
      <c r="C90"/>
      <c r="E90"/>
      <c r="F90"/>
      <c r="H90"/>
      <c r="I90"/>
      <c r="J90"/>
      <c r="K90"/>
      <c r="L90"/>
      <c r="P90"/>
      <c r="Q90"/>
      <c r="S90"/>
      <c r="T90"/>
      <c r="V90"/>
      <c r="W90"/>
      <c r="X90"/>
      <c r="Y90"/>
      <c r="Z90"/>
      <c r="AD90"/>
      <c r="AE90"/>
      <c r="AG90"/>
      <c r="AH90"/>
      <c r="AJ90"/>
      <c r="AK90"/>
      <c r="AL90"/>
      <c r="AM90"/>
      <c r="AN90"/>
      <c r="AO90"/>
    </row>
    <row r="91" spans="2:41" x14ac:dyDescent="0.25">
      <c r="B91"/>
      <c r="C91"/>
      <c r="E91"/>
      <c r="F91"/>
      <c r="H91"/>
      <c r="I91"/>
      <c r="J91"/>
      <c r="K91"/>
      <c r="L91"/>
      <c r="P91"/>
      <c r="Q91"/>
      <c r="S91"/>
      <c r="T91"/>
      <c r="V91"/>
      <c r="W91"/>
      <c r="X91"/>
      <c r="Y91"/>
      <c r="Z91"/>
      <c r="AD91"/>
      <c r="AE91"/>
      <c r="AG91"/>
      <c r="AH91"/>
      <c r="AJ91"/>
      <c r="AK91"/>
      <c r="AL91"/>
      <c r="AM91"/>
      <c r="AN91"/>
      <c r="AO91"/>
    </row>
    <row r="92" spans="2:41" x14ac:dyDescent="0.25">
      <c r="B92"/>
      <c r="C92"/>
      <c r="E92"/>
      <c r="F92"/>
      <c r="H92"/>
      <c r="I92"/>
      <c r="J92"/>
      <c r="K92"/>
      <c r="L92"/>
      <c r="P92"/>
      <c r="Q92"/>
      <c r="S92"/>
      <c r="T92"/>
      <c r="V92"/>
      <c r="W92"/>
      <c r="X92"/>
      <c r="Y92"/>
      <c r="Z92"/>
      <c r="AD92"/>
      <c r="AE92"/>
      <c r="AG92"/>
      <c r="AH92"/>
      <c r="AJ92"/>
      <c r="AK92"/>
      <c r="AL92"/>
      <c r="AM92"/>
      <c r="AN92"/>
      <c r="AO92"/>
    </row>
    <row r="93" spans="2:41" x14ac:dyDescent="0.25">
      <c r="B93"/>
      <c r="C93"/>
      <c r="E93"/>
      <c r="F93"/>
      <c r="H93"/>
      <c r="I93"/>
      <c r="J93"/>
      <c r="K93"/>
      <c r="L93"/>
      <c r="P93"/>
      <c r="Q93"/>
      <c r="S93"/>
      <c r="T93"/>
      <c r="V93"/>
      <c r="W93"/>
      <c r="X93"/>
      <c r="Y93"/>
      <c r="Z93"/>
      <c r="AD93"/>
      <c r="AE93"/>
      <c r="AG93"/>
      <c r="AH93"/>
      <c r="AJ93"/>
      <c r="AK93"/>
      <c r="AL93"/>
      <c r="AM93"/>
      <c r="AN93"/>
      <c r="AO93"/>
    </row>
    <row r="94" spans="2:41" x14ac:dyDescent="0.25">
      <c r="B94"/>
      <c r="C94"/>
      <c r="E94"/>
      <c r="F94"/>
      <c r="H94"/>
      <c r="I94"/>
      <c r="J94"/>
      <c r="K94"/>
      <c r="L94"/>
      <c r="P94"/>
      <c r="Q94"/>
      <c r="S94"/>
      <c r="T94"/>
      <c r="V94"/>
      <c r="W94"/>
      <c r="X94"/>
      <c r="Y94"/>
      <c r="Z94"/>
      <c r="AD94"/>
      <c r="AE94"/>
      <c r="AG94"/>
      <c r="AH94"/>
      <c r="AJ94"/>
      <c r="AK94"/>
      <c r="AL94"/>
      <c r="AM94"/>
      <c r="AN94"/>
      <c r="AO94"/>
    </row>
    <row r="95" spans="2:41" x14ac:dyDescent="0.25">
      <c r="B95"/>
      <c r="C95"/>
      <c r="E95"/>
      <c r="F95"/>
      <c r="H95"/>
      <c r="I95"/>
      <c r="J95"/>
      <c r="K95"/>
      <c r="L95"/>
      <c r="P95"/>
      <c r="Q95"/>
      <c r="S95"/>
      <c r="T95"/>
      <c r="V95"/>
      <c r="W95"/>
      <c r="X95"/>
      <c r="Y95"/>
      <c r="Z95"/>
      <c r="AD95"/>
      <c r="AE95"/>
      <c r="AG95"/>
      <c r="AH95"/>
      <c r="AJ95"/>
      <c r="AK95"/>
      <c r="AL95"/>
      <c r="AM95"/>
      <c r="AN95"/>
      <c r="AO95"/>
    </row>
    <row r="96" spans="2:41" x14ac:dyDescent="0.25">
      <c r="B96"/>
      <c r="C96"/>
      <c r="E96"/>
      <c r="F96"/>
      <c r="H96"/>
      <c r="I96"/>
      <c r="J96"/>
      <c r="K96"/>
      <c r="L96"/>
      <c r="P96"/>
      <c r="Q96"/>
      <c r="S96"/>
      <c r="T96"/>
      <c r="V96"/>
      <c r="W96"/>
      <c r="X96"/>
      <c r="Y96"/>
      <c r="Z96"/>
      <c r="AD96"/>
      <c r="AE96"/>
      <c r="AG96"/>
      <c r="AH96"/>
      <c r="AJ96"/>
      <c r="AK96"/>
      <c r="AL96"/>
      <c r="AM96"/>
      <c r="AN96"/>
      <c r="AO96"/>
    </row>
    <row r="97" spans="2:41" x14ac:dyDescent="0.25">
      <c r="B97"/>
      <c r="C97"/>
      <c r="E97"/>
      <c r="F97"/>
      <c r="H97"/>
      <c r="I97"/>
      <c r="J97"/>
      <c r="K97"/>
      <c r="L97"/>
      <c r="P97"/>
      <c r="Q97"/>
      <c r="S97"/>
      <c r="T97"/>
      <c r="V97"/>
      <c r="W97"/>
      <c r="X97"/>
      <c r="Y97"/>
      <c r="Z97"/>
      <c r="AD97"/>
      <c r="AE97"/>
      <c r="AG97"/>
      <c r="AH97"/>
      <c r="AJ97"/>
      <c r="AK97"/>
      <c r="AL97"/>
      <c r="AM97"/>
      <c r="AN97"/>
      <c r="AO97"/>
    </row>
    <row r="98" spans="2:41" x14ac:dyDescent="0.25">
      <c r="B98"/>
      <c r="C98"/>
      <c r="E98"/>
      <c r="F98"/>
      <c r="H98"/>
      <c r="I98"/>
      <c r="J98"/>
      <c r="K98"/>
      <c r="L98"/>
      <c r="P98"/>
      <c r="Q98"/>
      <c r="S98"/>
      <c r="T98"/>
      <c r="V98"/>
      <c r="W98"/>
      <c r="X98"/>
      <c r="Y98"/>
      <c r="Z98"/>
      <c r="AD98"/>
      <c r="AE98"/>
      <c r="AG98"/>
      <c r="AH98"/>
      <c r="AJ98"/>
      <c r="AK98"/>
      <c r="AL98"/>
      <c r="AM98"/>
      <c r="AN98"/>
      <c r="AO98"/>
    </row>
    <row r="99" spans="2:41" x14ac:dyDescent="0.25">
      <c r="B99"/>
      <c r="C99"/>
      <c r="E99"/>
      <c r="F99"/>
      <c r="H99"/>
      <c r="I99"/>
      <c r="J99"/>
      <c r="K99"/>
      <c r="L99"/>
      <c r="P99"/>
      <c r="Q99"/>
      <c r="S99"/>
      <c r="T99"/>
      <c r="V99"/>
      <c r="W99"/>
      <c r="X99"/>
      <c r="Y99"/>
      <c r="Z99"/>
      <c r="AD99"/>
      <c r="AE99"/>
      <c r="AG99"/>
      <c r="AH99"/>
      <c r="AJ99"/>
      <c r="AK99"/>
      <c r="AL99"/>
      <c r="AM99"/>
      <c r="AN99"/>
      <c r="AO99"/>
    </row>
    <row r="100" spans="2:41" x14ac:dyDescent="0.25">
      <c r="B100"/>
      <c r="C100"/>
      <c r="E100"/>
      <c r="F100"/>
      <c r="H100"/>
      <c r="I100"/>
      <c r="J100"/>
      <c r="K100"/>
      <c r="L100"/>
      <c r="P100"/>
      <c r="Q100"/>
      <c r="S100"/>
      <c r="T100"/>
      <c r="V100"/>
      <c r="W100"/>
      <c r="X100"/>
      <c r="Y100"/>
      <c r="Z100"/>
      <c r="AD100"/>
      <c r="AE100"/>
      <c r="AG100"/>
      <c r="AH100"/>
      <c r="AJ100"/>
      <c r="AK100"/>
      <c r="AL100"/>
      <c r="AM100"/>
      <c r="AN100"/>
      <c r="AO100"/>
    </row>
    <row r="101" spans="2:41" x14ac:dyDescent="0.25">
      <c r="B101"/>
      <c r="C101"/>
      <c r="E101"/>
      <c r="F101"/>
      <c r="H101"/>
      <c r="I101"/>
      <c r="J101"/>
      <c r="K101"/>
      <c r="L101"/>
      <c r="P101"/>
      <c r="Q101"/>
      <c r="S101"/>
      <c r="T101"/>
      <c r="V101"/>
      <c r="W101"/>
      <c r="X101"/>
      <c r="Y101"/>
      <c r="Z101"/>
      <c r="AD101"/>
      <c r="AE101"/>
      <c r="AG101"/>
      <c r="AH101"/>
      <c r="AJ101"/>
      <c r="AK101"/>
      <c r="AL101"/>
      <c r="AM101"/>
      <c r="AN101"/>
      <c r="AO101"/>
    </row>
    <row r="102" spans="2:41" x14ac:dyDescent="0.25">
      <c r="B102"/>
      <c r="C102"/>
      <c r="E102"/>
      <c r="F102"/>
      <c r="H102"/>
      <c r="I102"/>
      <c r="J102"/>
      <c r="K102"/>
      <c r="L102"/>
      <c r="P102"/>
      <c r="Q102"/>
      <c r="S102"/>
      <c r="T102"/>
      <c r="V102"/>
      <c r="W102"/>
      <c r="X102"/>
      <c r="Y102"/>
      <c r="Z102"/>
      <c r="AD102"/>
      <c r="AE102"/>
      <c r="AG102"/>
      <c r="AH102"/>
      <c r="AJ102"/>
      <c r="AK102"/>
      <c r="AL102"/>
      <c r="AM102"/>
      <c r="AN102"/>
      <c r="AO102"/>
    </row>
    <row r="103" spans="2:41" x14ac:dyDescent="0.25">
      <c r="B103"/>
      <c r="C103"/>
      <c r="E103"/>
      <c r="F103"/>
      <c r="H103"/>
      <c r="I103"/>
      <c r="J103"/>
      <c r="K103"/>
      <c r="L103"/>
      <c r="P103"/>
      <c r="Q103"/>
      <c r="S103"/>
      <c r="T103"/>
      <c r="V103"/>
      <c r="W103"/>
      <c r="X103"/>
      <c r="Y103"/>
      <c r="Z103"/>
      <c r="AD103"/>
      <c r="AE103"/>
      <c r="AG103"/>
      <c r="AH103"/>
      <c r="AJ103"/>
      <c r="AK103"/>
      <c r="AL103"/>
      <c r="AM103"/>
      <c r="AN103"/>
      <c r="AO103"/>
    </row>
    <row r="104" spans="2:41" x14ac:dyDescent="0.25">
      <c r="B104"/>
      <c r="C104"/>
      <c r="E104"/>
      <c r="F104"/>
      <c r="H104"/>
      <c r="I104"/>
      <c r="J104"/>
      <c r="K104"/>
      <c r="L104"/>
      <c r="P104"/>
      <c r="Q104"/>
      <c r="S104"/>
      <c r="T104"/>
      <c r="V104"/>
      <c r="W104"/>
      <c r="X104"/>
      <c r="Y104"/>
      <c r="Z104"/>
      <c r="AD104"/>
      <c r="AE104"/>
      <c r="AG104"/>
      <c r="AH104"/>
      <c r="AJ104"/>
      <c r="AK104"/>
      <c r="AL104"/>
      <c r="AM104"/>
      <c r="AN104"/>
      <c r="AO104"/>
    </row>
    <row r="105" spans="2:41" x14ac:dyDescent="0.25">
      <c r="B105"/>
      <c r="C105"/>
      <c r="E105"/>
      <c r="F105"/>
      <c r="H105"/>
      <c r="I105"/>
      <c r="J105"/>
      <c r="K105"/>
      <c r="L105"/>
      <c r="P105"/>
      <c r="Q105"/>
      <c r="S105"/>
      <c r="T105"/>
      <c r="V105"/>
      <c r="W105"/>
      <c r="X105"/>
      <c r="Y105"/>
      <c r="Z105"/>
      <c r="AD105"/>
      <c r="AE105"/>
      <c r="AG105"/>
      <c r="AH105"/>
      <c r="AJ105"/>
      <c r="AK105"/>
      <c r="AL105"/>
      <c r="AM105"/>
      <c r="AN105"/>
      <c r="AO105"/>
    </row>
    <row r="106" spans="2:41" x14ac:dyDescent="0.25">
      <c r="B106"/>
      <c r="C106"/>
      <c r="E106"/>
      <c r="F106"/>
      <c r="H106"/>
      <c r="I106"/>
      <c r="J106"/>
      <c r="K106"/>
      <c r="L106"/>
      <c r="P106"/>
      <c r="Q106"/>
      <c r="S106"/>
      <c r="T106"/>
      <c r="V106"/>
      <c r="W106"/>
      <c r="X106"/>
      <c r="Y106"/>
      <c r="Z106"/>
      <c r="AD106"/>
      <c r="AE106"/>
      <c r="AG106"/>
      <c r="AH106"/>
      <c r="AJ106"/>
      <c r="AK106"/>
      <c r="AL106"/>
      <c r="AM106"/>
      <c r="AN106"/>
      <c r="AO106"/>
    </row>
    <row r="107" spans="2:41" x14ac:dyDescent="0.25">
      <c r="B107"/>
      <c r="C107"/>
      <c r="E107"/>
      <c r="F107"/>
      <c r="H107"/>
      <c r="I107"/>
      <c r="J107"/>
      <c r="K107"/>
      <c r="L107"/>
      <c r="P107"/>
      <c r="Q107"/>
      <c r="S107"/>
      <c r="T107"/>
      <c r="V107"/>
      <c r="W107"/>
      <c r="X107"/>
      <c r="Y107"/>
      <c r="Z107"/>
      <c r="AD107"/>
      <c r="AE107"/>
      <c r="AG107"/>
      <c r="AH107"/>
      <c r="AJ107"/>
      <c r="AK107"/>
      <c r="AL107"/>
      <c r="AM107"/>
      <c r="AN107"/>
      <c r="AO107"/>
    </row>
    <row r="108" spans="2:41" x14ac:dyDescent="0.25">
      <c r="B108"/>
      <c r="C108"/>
      <c r="E108"/>
      <c r="F108"/>
      <c r="H108"/>
      <c r="I108"/>
      <c r="J108"/>
      <c r="K108"/>
      <c r="L108"/>
      <c r="P108"/>
      <c r="Q108"/>
      <c r="S108"/>
      <c r="T108"/>
      <c r="V108"/>
      <c r="W108"/>
      <c r="X108"/>
      <c r="Y108"/>
      <c r="Z108"/>
      <c r="AD108"/>
      <c r="AE108"/>
      <c r="AG108"/>
      <c r="AH108"/>
      <c r="AJ108"/>
      <c r="AK108"/>
      <c r="AL108"/>
      <c r="AM108"/>
      <c r="AN108"/>
      <c r="AO108"/>
    </row>
    <row r="109" spans="2:41" x14ac:dyDescent="0.25">
      <c r="B109"/>
      <c r="C109"/>
      <c r="E109"/>
      <c r="F109"/>
      <c r="H109"/>
      <c r="I109"/>
      <c r="J109"/>
      <c r="K109"/>
      <c r="L109"/>
      <c r="P109"/>
      <c r="Q109"/>
      <c r="S109"/>
      <c r="T109"/>
      <c r="V109"/>
      <c r="W109"/>
      <c r="X109"/>
      <c r="Y109"/>
      <c r="Z109"/>
      <c r="AD109"/>
      <c r="AE109"/>
      <c r="AG109"/>
      <c r="AH109"/>
      <c r="AJ109"/>
      <c r="AK109"/>
      <c r="AL109"/>
      <c r="AM109"/>
      <c r="AN109"/>
      <c r="AO109"/>
    </row>
    <row r="110" spans="2:41" x14ac:dyDescent="0.25">
      <c r="B110"/>
      <c r="C110"/>
      <c r="E110"/>
      <c r="F110"/>
      <c r="H110"/>
      <c r="I110"/>
      <c r="J110"/>
      <c r="K110"/>
      <c r="L110"/>
      <c r="P110"/>
      <c r="Q110"/>
      <c r="S110"/>
      <c r="T110"/>
      <c r="V110"/>
      <c r="W110"/>
      <c r="X110"/>
      <c r="Y110"/>
      <c r="Z110"/>
      <c r="AD110"/>
      <c r="AE110"/>
      <c r="AG110"/>
      <c r="AH110"/>
      <c r="AJ110"/>
      <c r="AK110"/>
      <c r="AL110"/>
      <c r="AM110"/>
      <c r="AN110"/>
      <c r="AO110"/>
    </row>
    <row r="111" spans="2:41" x14ac:dyDescent="0.25">
      <c r="B111"/>
      <c r="C111"/>
      <c r="E111"/>
      <c r="F111"/>
      <c r="H111"/>
      <c r="I111"/>
      <c r="J111"/>
      <c r="K111"/>
      <c r="L111"/>
      <c r="P111"/>
      <c r="Q111"/>
      <c r="S111"/>
      <c r="T111"/>
      <c r="V111"/>
      <c r="W111"/>
      <c r="X111"/>
      <c r="Y111"/>
      <c r="Z111"/>
      <c r="AD111"/>
      <c r="AE111"/>
      <c r="AG111"/>
      <c r="AH111"/>
      <c r="AJ111"/>
      <c r="AK111"/>
      <c r="AL111"/>
      <c r="AM111"/>
      <c r="AN111"/>
      <c r="AO111"/>
    </row>
  </sheetData>
  <mergeCells count="33">
    <mergeCell ref="H51:I51"/>
    <mergeCell ref="H39:I39"/>
    <mergeCell ref="J39:K39"/>
    <mergeCell ref="A40:B40"/>
    <mergeCell ref="D40:E40"/>
    <mergeCell ref="I45:J45"/>
    <mergeCell ref="C1:J1"/>
    <mergeCell ref="E3:F3"/>
    <mergeCell ref="I3:K3"/>
    <mergeCell ref="J20:J21"/>
    <mergeCell ref="A38:B38"/>
    <mergeCell ref="AL20:AL21"/>
    <mergeCell ref="AC38:AD38"/>
    <mergeCell ref="AE1:AL1"/>
    <mergeCell ref="AG3:AH3"/>
    <mergeCell ref="AK3:AM3"/>
    <mergeCell ref="AK45:AL45"/>
    <mergeCell ref="AJ51:AK51"/>
    <mergeCell ref="AC40:AD40"/>
    <mergeCell ref="AF40:AG40"/>
    <mergeCell ref="AJ39:AK39"/>
    <mergeCell ref="AL39:AM39"/>
    <mergeCell ref="Q1:X1"/>
    <mergeCell ref="S3:T3"/>
    <mergeCell ref="W3:Y3"/>
    <mergeCell ref="X20:X21"/>
    <mergeCell ref="O38:P38"/>
    <mergeCell ref="V51:W51"/>
    <mergeCell ref="V39:W39"/>
    <mergeCell ref="X39:Y39"/>
    <mergeCell ref="O40:P40"/>
    <mergeCell ref="R40:S40"/>
    <mergeCell ref="W45:X45"/>
  </mergeCells>
  <pageMargins left="0.31496062992125984" right="0.11811023622047245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R109"/>
  <sheetViews>
    <sheetView topLeftCell="D1" workbookViewId="0">
      <selection activeCell="L2" sqref="L2:R23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1" max="11" width="12.5703125" bestFit="1" customWidth="1"/>
    <col min="12" max="12" width="18.85546875" bestFit="1" customWidth="1"/>
    <col min="14" max="14" width="15.28515625" customWidth="1"/>
    <col min="17" max="17" width="20.140625" bestFit="1" customWidth="1"/>
  </cols>
  <sheetData>
    <row r="1" spans="1:18" ht="16.5" thickBot="1" x14ac:dyDescent="0.3"/>
    <row r="2" spans="1:18" ht="19.5" thickBot="1" x14ac:dyDescent="0.35">
      <c r="B2" s="176"/>
      <c r="C2" s="177"/>
      <c r="D2" s="260" t="s">
        <v>21</v>
      </c>
      <c r="E2" s="179"/>
      <c r="F2" s="180"/>
      <c r="G2" s="181"/>
      <c r="L2" s="33"/>
      <c r="M2" s="343">
        <v>1</v>
      </c>
      <c r="N2" s="86" t="s">
        <v>28</v>
      </c>
      <c r="O2" s="86"/>
      <c r="P2" s="110"/>
      <c r="Q2" s="197">
        <v>42495</v>
      </c>
      <c r="R2" s="112"/>
    </row>
    <row r="3" spans="1:18" ht="16.5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3"/>
      <c r="M3" s="344"/>
      <c r="N3" s="113"/>
      <c r="O3" s="113"/>
      <c r="P3" s="114"/>
      <c r="Q3" s="115"/>
      <c r="R3" s="112"/>
    </row>
    <row r="4" spans="1:18" ht="16.5" thickBot="1" x14ac:dyDescent="0.3">
      <c r="A4" s="14"/>
      <c r="B4" s="92">
        <v>42492</v>
      </c>
      <c r="C4" s="93" t="s">
        <v>235</v>
      </c>
      <c r="D4" s="132">
        <v>840</v>
      </c>
      <c r="E4" s="95">
        <v>42506</v>
      </c>
      <c r="F4" s="94">
        <v>840</v>
      </c>
      <c r="G4" s="158">
        <f t="shared" ref="G4:G56" si="0">D4-F4</f>
        <v>0</v>
      </c>
      <c r="H4" s="146"/>
      <c r="L4" s="3"/>
      <c r="M4" s="116" t="s">
        <v>23</v>
      </c>
      <c r="N4" s="116" t="s">
        <v>24</v>
      </c>
      <c r="O4" s="116"/>
      <c r="P4" s="117" t="s">
        <v>29</v>
      </c>
      <c r="Q4" s="118" t="s">
        <v>30</v>
      </c>
      <c r="R4" s="119"/>
    </row>
    <row r="5" spans="1:18" ht="16.5" thickTop="1" x14ac:dyDescent="0.25">
      <c r="A5" s="14"/>
      <c r="B5" s="96">
        <v>42493</v>
      </c>
      <c r="C5" s="93" t="s">
        <v>226</v>
      </c>
      <c r="D5" s="132">
        <v>138462.15</v>
      </c>
      <c r="E5" s="95" t="s">
        <v>268</v>
      </c>
      <c r="F5" s="94">
        <f>63021+75441.15</f>
        <v>138462.15</v>
      </c>
      <c r="G5" s="97">
        <f t="shared" si="0"/>
        <v>0</v>
      </c>
      <c r="H5" s="146"/>
      <c r="L5" s="3">
        <f>60446+50301.5+92250.5</f>
        <v>202998</v>
      </c>
      <c r="M5" s="93" t="s">
        <v>196</v>
      </c>
      <c r="N5" s="132">
        <v>202998</v>
      </c>
      <c r="O5" s="120" t="s">
        <v>96</v>
      </c>
      <c r="P5" s="121">
        <v>3275570</v>
      </c>
      <c r="Q5" s="122">
        <v>60446</v>
      </c>
      <c r="R5" s="123">
        <v>42480</v>
      </c>
    </row>
    <row r="6" spans="1:18" x14ac:dyDescent="0.25">
      <c r="A6" s="14"/>
      <c r="B6" s="96">
        <v>42496</v>
      </c>
      <c r="C6" s="98" t="s">
        <v>237</v>
      </c>
      <c r="D6" s="132">
        <v>217913.75</v>
      </c>
      <c r="E6" s="95">
        <v>42511</v>
      </c>
      <c r="F6" s="94">
        <v>217913.75</v>
      </c>
      <c r="G6" s="97">
        <f t="shared" si="0"/>
        <v>0</v>
      </c>
      <c r="H6" s="38"/>
      <c r="L6" s="3">
        <f>15356.7+44428.47+839</f>
        <v>60624.17</v>
      </c>
      <c r="M6" s="93" t="s">
        <v>205</v>
      </c>
      <c r="N6" s="132">
        <v>60624.3</v>
      </c>
      <c r="O6" s="124"/>
      <c r="P6" s="125">
        <v>3275569</v>
      </c>
      <c r="Q6" s="126">
        <v>50301.5</v>
      </c>
      <c r="R6" s="127">
        <v>42481</v>
      </c>
    </row>
    <row r="7" spans="1:18" x14ac:dyDescent="0.25">
      <c r="A7" s="14"/>
      <c r="B7" s="96">
        <v>42497</v>
      </c>
      <c r="C7" s="93" t="s">
        <v>238</v>
      </c>
      <c r="D7" s="132">
        <v>7181.6</v>
      </c>
      <c r="E7" s="95">
        <v>42511</v>
      </c>
      <c r="F7" s="94">
        <v>7181.6</v>
      </c>
      <c r="G7" s="99">
        <f t="shared" ref="G7:G21" si="1">D7-F7</f>
        <v>0</v>
      </c>
      <c r="H7" s="38"/>
      <c r="L7" s="3">
        <f>26625+82094+30662+7261</f>
        <v>146642</v>
      </c>
      <c r="M7" s="93" t="s">
        <v>206</v>
      </c>
      <c r="N7" s="132">
        <v>146642.1</v>
      </c>
      <c r="O7" s="124"/>
      <c r="P7" s="125">
        <v>3275568</v>
      </c>
      <c r="Q7" s="126">
        <v>28000</v>
      </c>
      <c r="R7" s="127">
        <v>42482</v>
      </c>
    </row>
    <row r="8" spans="1:18" x14ac:dyDescent="0.25">
      <c r="A8" s="14"/>
      <c r="B8" s="96">
        <v>42499</v>
      </c>
      <c r="C8" s="93" t="s">
        <v>239</v>
      </c>
      <c r="D8" s="132">
        <v>123176.15</v>
      </c>
      <c r="E8" s="95" t="s">
        <v>283</v>
      </c>
      <c r="F8" s="100">
        <f>92431.5+30744.65</f>
        <v>123176.15</v>
      </c>
      <c r="G8" s="97">
        <f t="shared" si="1"/>
        <v>0</v>
      </c>
      <c r="H8" s="38"/>
      <c r="L8" s="3">
        <f>32934+24036</f>
        <v>56970</v>
      </c>
      <c r="M8" s="93" t="s">
        <v>214</v>
      </c>
      <c r="N8" s="132">
        <v>56970.1</v>
      </c>
      <c r="O8" s="124"/>
      <c r="P8" s="125">
        <v>3275567</v>
      </c>
      <c r="Q8" s="126">
        <v>50000</v>
      </c>
      <c r="R8" s="127">
        <v>42482</v>
      </c>
    </row>
    <row r="9" spans="1:18" x14ac:dyDescent="0.25">
      <c r="A9" s="286"/>
      <c r="B9" s="96">
        <v>42501</v>
      </c>
      <c r="C9" s="93" t="s">
        <v>240</v>
      </c>
      <c r="D9" s="235">
        <v>19785.48</v>
      </c>
      <c r="E9" s="95">
        <v>42521</v>
      </c>
      <c r="F9" s="94">
        <v>19785.48</v>
      </c>
      <c r="G9" s="99">
        <f t="shared" si="1"/>
        <v>0</v>
      </c>
      <c r="H9" s="38"/>
      <c r="L9" s="3">
        <v>31820</v>
      </c>
      <c r="M9" s="93" t="s">
        <v>215</v>
      </c>
      <c r="N9" s="132">
        <v>31820</v>
      </c>
      <c r="O9" s="124" t="s">
        <v>88</v>
      </c>
      <c r="P9" s="125">
        <v>3275566</v>
      </c>
      <c r="Q9" s="126">
        <v>29607</v>
      </c>
      <c r="R9" s="127">
        <v>42483</v>
      </c>
    </row>
    <row r="10" spans="1:18" x14ac:dyDescent="0.25">
      <c r="A10" s="14"/>
      <c r="B10" s="96">
        <v>42502</v>
      </c>
      <c r="C10" s="93" t="s">
        <v>241</v>
      </c>
      <c r="D10" s="132">
        <v>232980</v>
      </c>
      <c r="E10" s="95">
        <v>42521</v>
      </c>
      <c r="F10" s="94">
        <v>232980</v>
      </c>
      <c r="G10" s="99">
        <f t="shared" si="1"/>
        <v>0</v>
      </c>
      <c r="H10" s="38"/>
      <c r="L10" s="3"/>
      <c r="M10" s="93"/>
      <c r="N10" s="132"/>
      <c r="O10" s="128"/>
      <c r="P10" s="125">
        <v>3275565</v>
      </c>
      <c r="Q10" s="126">
        <v>44428.5</v>
      </c>
      <c r="R10" s="127">
        <v>42483</v>
      </c>
    </row>
    <row r="11" spans="1:18" x14ac:dyDescent="0.25">
      <c r="A11" s="14"/>
      <c r="B11" s="96">
        <v>42504</v>
      </c>
      <c r="C11" s="93" t="s">
        <v>253</v>
      </c>
      <c r="D11" s="132">
        <v>13243.36</v>
      </c>
      <c r="E11" s="95">
        <v>42521</v>
      </c>
      <c r="F11" s="94">
        <v>13243.36</v>
      </c>
      <c r="G11" s="99">
        <f t="shared" si="1"/>
        <v>0</v>
      </c>
      <c r="H11" s="38"/>
      <c r="L11" s="3"/>
      <c r="M11" s="93"/>
      <c r="N11" s="132"/>
      <c r="O11" s="129"/>
      <c r="P11" s="125">
        <v>3275564</v>
      </c>
      <c r="Q11" s="126">
        <v>27464</v>
      </c>
      <c r="R11" s="127">
        <v>42484</v>
      </c>
    </row>
    <row r="12" spans="1:18" ht="15" x14ac:dyDescent="0.25">
      <c r="A12" s="14"/>
      <c r="B12" s="96">
        <v>42506</v>
      </c>
      <c r="C12" s="93" t="s">
        <v>259</v>
      </c>
      <c r="D12" s="132">
        <v>2766.4</v>
      </c>
      <c r="E12" s="95">
        <v>42521</v>
      </c>
      <c r="F12" s="132">
        <v>2766.4</v>
      </c>
      <c r="G12" s="99">
        <f t="shared" si="1"/>
        <v>0</v>
      </c>
      <c r="H12" s="38"/>
      <c r="L12" s="3"/>
      <c r="M12" s="93"/>
      <c r="N12" s="132"/>
      <c r="O12" s="124"/>
      <c r="P12" s="130">
        <v>3275563</v>
      </c>
      <c r="Q12" s="131">
        <v>16800</v>
      </c>
      <c r="R12" s="127">
        <v>42485</v>
      </c>
    </row>
    <row r="13" spans="1:18" ht="15" x14ac:dyDescent="0.25">
      <c r="A13" s="14"/>
      <c r="B13" s="96">
        <v>42506</v>
      </c>
      <c r="C13" s="93" t="s">
        <v>260</v>
      </c>
      <c r="D13" s="132">
        <v>200837.76000000001</v>
      </c>
      <c r="E13" s="95">
        <v>42521</v>
      </c>
      <c r="F13" s="132">
        <v>200837.76000000001</v>
      </c>
      <c r="G13" s="99">
        <f t="shared" si="1"/>
        <v>0</v>
      </c>
      <c r="H13" s="38"/>
      <c r="L13" s="3"/>
      <c r="M13" s="93"/>
      <c r="N13" s="132"/>
      <c r="O13" s="124"/>
      <c r="P13" s="130">
        <v>3275560</v>
      </c>
      <c r="Q13" s="131">
        <v>13619</v>
      </c>
      <c r="R13" s="127">
        <v>42485</v>
      </c>
    </row>
    <row r="14" spans="1:18" ht="15" x14ac:dyDescent="0.25">
      <c r="A14" s="264"/>
      <c r="B14" s="96">
        <v>42509</v>
      </c>
      <c r="C14" s="93" t="s">
        <v>286</v>
      </c>
      <c r="D14" s="132">
        <v>166453.49</v>
      </c>
      <c r="E14" s="102">
        <v>42534</v>
      </c>
      <c r="F14" s="101">
        <v>166453.49</v>
      </c>
      <c r="G14" s="99">
        <f t="shared" si="1"/>
        <v>0</v>
      </c>
      <c r="H14" s="38"/>
      <c r="L14" s="3"/>
      <c r="M14" s="93"/>
      <c r="N14" s="94"/>
      <c r="O14" s="124"/>
      <c r="P14" s="130">
        <v>3275561</v>
      </c>
      <c r="Q14" s="131">
        <v>33559</v>
      </c>
      <c r="R14" s="127">
        <v>42485</v>
      </c>
    </row>
    <row r="15" spans="1:18" ht="15" x14ac:dyDescent="0.25">
      <c r="A15" s="14"/>
      <c r="B15" s="96">
        <v>42510</v>
      </c>
      <c r="C15" s="93" t="s">
        <v>269</v>
      </c>
      <c r="D15" s="132">
        <v>5941.5</v>
      </c>
      <c r="E15" s="95">
        <v>42521</v>
      </c>
      <c r="F15" s="132">
        <v>5941.5</v>
      </c>
      <c r="G15" s="99">
        <f t="shared" si="1"/>
        <v>0</v>
      </c>
      <c r="H15" s="38"/>
      <c r="L15" s="3"/>
      <c r="M15" s="93"/>
      <c r="N15" s="94"/>
      <c r="O15" s="124"/>
      <c r="P15" s="130">
        <v>3275348</v>
      </c>
      <c r="Q15" s="131">
        <v>18116</v>
      </c>
      <c r="R15" s="127">
        <v>42487</v>
      </c>
    </row>
    <row r="16" spans="1:18" ht="15" x14ac:dyDescent="0.25">
      <c r="A16" s="14"/>
      <c r="B16" s="96">
        <v>42513</v>
      </c>
      <c r="C16" s="93" t="s">
        <v>271</v>
      </c>
      <c r="D16" s="132">
        <v>210570.75</v>
      </c>
      <c r="E16" s="102" t="s">
        <v>314</v>
      </c>
      <c r="F16" s="311">
        <f>179210.13+31360.62</f>
        <v>210570.75</v>
      </c>
      <c r="G16" s="99">
        <f t="shared" si="1"/>
        <v>0</v>
      </c>
      <c r="H16" s="38"/>
      <c r="L16" s="3"/>
      <c r="M16" s="93"/>
      <c r="N16" s="100"/>
      <c r="O16" s="124"/>
      <c r="P16" s="130">
        <v>3275346</v>
      </c>
      <c r="Q16" s="131">
        <v>13619</v>
      </c>
      <c r="R16" s="127">
        <v>42487</v>
      </c>
    </row>
    <row r="17" spans="1:18" ht="15" x14ac:dyDescent="0.25">
      <c r="A17" s="14"/>
      <c r="B17" s="96">
        <v>42514</v>
      </c>
      <c r="C17" s="93" t="s">
        <v>270</v>
      </c>
      <c r="D17" s="132">
        <v>404.25</v>
      </c>
      <c r="E17" s="102">
        <v>42534</v>
      </c>
      <c r="F17" s="311">
        <v>404.25</v>
      </c>
      <c r="G17" s="99">
        <f t="shared" si="1"/>
        <v>0</v>
      </c>
      <c r="H17" s="38"/>
      <c r="L17" s="3"/>
      <c r="M17" s="93"/>
      <c r="N17" s="132"/>
      <c r="O17" s="124"/>
      <c r="P17" s="130">
        <v>3275562</v>
      </c>
      <c r="Q17" s="131">
        <v>17043</v>
      </c>
      <c r="R17" s="127">
        <v>42486</v>
      </c>
    </row>
    <row r="18" spans="1:18" ht="15" x14ac:dyDescent="0.25">
      <c r="A18" s="14"/>
      <c r="B18" s="96">
        <v>42516</v>
      </c>
      <c r="C18" s="93" t="s">
        <v>272</v>
      </c>
      <c r="D18" s="132">
        <v>149632.6</v>
      </c>
      <c r="E18" s="102">
        <v>42534</v>
      </c>
      <c r="F18" s="311">
        <v>149632.6</v>
      </c>
      <c r="G18" s="99">
        <f t="shared" si="1"/>
        <v>0</v>
      </c>
      <c r="H18" s="38"/>
      <c r="L18" s="3"/>
      <c r="M18" s="233"/>
      <c r="N18" s="234"/>
      <c r="O18" s="124"/>
      <c r="P18" s="130">
        <v>3275558</v>
      </c>
      <c r="Q18" s="131">
        <v>39163</v>
      </c>
      <c r="R18" s="127">
        <v>42487</v>
      </c>
    </row>
    <row r="19" spans="1:18" ht="15" x14ac:dyDescent="0.25">
      <c r="A19" s="14"/>
      <c r="B19" s="96">
        <v>42519</v>
      </c>
      <c r="C19" s="93" t="s">
        <v>277</v>
      </c>
      <c r="D19" s="132">
        <v>10502.42</v>
      </c>
      <c r="E19" s="102">
        <v>42534</v>
      </c>
      <c r="F19" s="311">
        <v>10502.42</v>
      </c>
      <c r="G19" s="99">
        <f t="shared" si="1"/>
        <v>0</v>
      </c>
      <c r="H19" s="38"/>
      <c r="L19" s="3"/>
      <c r="M19" s="233"/>
      <c r="N19" s="234"/>
      <c r="O19" s="124"/>
      <c r="P19" s="130" t="s">
        <v>31</v>
      </c>
      <c r="Q19" s="131">
        <v>1032</v>
      </c>
      <c r="R19" s="127">
        <v>42486</v>
      </c>
    </row>
    <row r="20" spans="1:18" ht="15" x14ac:dyDescent="0.25">
      <c r="A20" s="14"/>
      <c r="B20" s="96">
        <v>42520</v>
      </c>
      <c r="C20" s="93" t="s">
        <v>278</v>
      </c>
      <c r="D20" s="132">
        <v>213450.6</v>
      </c>
      <c r="E20" s="102">
        <v>42534</v>
      </c>
      <c r="F20" s="311">
        <v>213450.6</v>
      </c>
      <c r="G20" s="99">
        <f t="shared" si="1"/>
        <v>0</v>
      </c>
      <c r="H20" s="38"/>
      <c r="L20" s="3"/>
      <c r="M20" s="233"/>
      <c r="N20" s="234"/>
      <c r="O20" s="124"/>
      <c r="P20" s="130" t="s">
        <v>31</v>
      </c>
      <c r="Q20" s="131">
        <v>12283</v>
      </c>
      <c r="R20" s="127">
        <v>42483</v>
      </c>
    </row>
    <row r="21" spans="1:18" ht="15" x14ac:dyDescent="0.25">
      <c r="A21" s="14"/>
      <c r="B21" s="96">
        <v>42521</v>
      </c>
      <c r="C21" s="93" t="s">
        <v>287</v>
      </c>
      <c r="D21" s="132">
        <v>14182</v>
      </c>
      <c r="E21" s="102">
        <v>42534</v>
      </c>
      <c r="F21" s="311">
        <v>14182</v>
      </c>
      <c r="G21" s="99">
        <f t="shared" si="1"/>
        <v>0</v>
      </c>
      <c r="H21" s="38"/>
      <c r="L21" s="3"/>
      <c r="M21" s="233"/>
      <c r="N21" s="234"/>
      <c r="O21" s="124"/>
      <c r="P21" s="130">
        <v>3275557</v>
      </c>
      <c r="Q21" s="131">
        <v>43573</v>
      </c>
      <c r="R21" s="127">
        <v>42488</v>
      </c>
    </row>
    <row r="22" spans="1:18" thickBot="1" x14ac:dyDescent="0.3">
      <c r="A22" s="14"/>
      <c r="B22" s="96"/>
      <c r="C22" s="93"/>
      <c r="D22" s="132"/>
      <c r="E22" s="95"/>
      <c r="F22" s="94"/>
      <c r="G22" s="99">
        <f t="shared" si="0"/>
        <v>0</v>
      </c>
      <c r="H22" s="38"/>
      <c r="L22" s="3"/>
      <c r="M22" s="281"/>
      <c r="N22" s="282"/>
      <c r="O22" s="219"/>
      <c r="P22" s="198"/>
      <c r="Q22" s="199"/>
      <c r="R22" s="220"/>
    </row>
    <row r="23" spans="1:18" ht="16.5" thickTop="1" x14ac:dyDescent="0.25">
      <c r="A23" s="14"/>
      <c r="B23" s="96"/>
      <c r="C23" s="93"/>
      <c r="D23" s="132"/>
      <c r="E23" s="95"/>
      <c r="F23" s="94"/>
      <c r="G23" s="99">
        <f t="shared" si="0"/>
        <v>0</v>
      </c>
      <c r="H23" s="38"/>
      <c r="L23" s="33">
        <f>SUM(L5:L22)</f>
        <v>499054.17</v>
      </c>
      <c r="M23" s="147"/>
      <c r="N23" s="236">
        <f>SUM(N5:N22)</f>
        <v>499054.5</v>
      </c>
      <c r="O23" s="210"/>
      <c r="P23" s="211"/>
      <c r="Q23" s="200">
        <f>SUM(Q5:Q22)</f>
        <v>499054</v>
      </c>
      <c r="R23" s="202"/>
    </row>
    <row r="24" spans="1:18" x14ac:dyDescent="0.25">
      <c r="A24" s="14"/>
      <c r="B24" s="96"/>
      <c r="C24" s="93"/>
      <c r="D24" s="132"/>
      <c r="E24" s="95"/>
      <c r="F24" s="94"/>
      <c r="G24" s="99">
        <f t="shared" si="0"/>
        <v>0</v>
      </c>
      <c r="H24" s="38"/>
      <c r="L24" s="33"/>
      <c r="M24" s="147"/>
      <c r="N24" s="236"/>
      <c r="O24" s="210"/>
      <c r="P24" s="211"/>
      <c r="Q24" s="200"/>
      <c r="R24" s="202"/>
    </row>
    <row r="25" spans="1:18" x14ac:dyDescent="0.25">
      <c r="A25" s="14"/>
      <c r="B25" s="96"/>
      <c r="C25" s="93"/>
      <c r="D25" s="132"/>
      <c r="E25" s="95"/>
      <c r="F25" s="94"/>
      <c r="G25" s="99">
        <f t="shared" si="0"/>
        <v>0</v>
      </c>
      <c r="H25" s="38"/>
      <c r="L25" s="33"/>
      <c r="M25" s="147"/>
      <c r="N25" s="236"/>
      <c r="O25" s="210"/>
      <c r="P25" s="211"/>
      <c r="Q25" s="200"/>
      <c r="R25" s="202"/>
    </row>
    <row r="26" spans="1:18" x14ac:dyDescent="0.25">
      <c r="A26" s="14"/>
      <c r="B26" s="96"/>
      <c r="C26" s="93"/>
      <c r="D26" s="132"/>
      <c r="E26" s="95"/>
      <c r="F26" s="94"/>
      <c r="G26" s="99">
        <f t="shared" si="0"/>
        <v>0</v>
      </c>
      <c r="H26" s="38"/>
      <c r="L26" s="33"/>
      <c r="M26" s="147"/>
      <c r="N26" s="236"/>
      <c r="O26" s="210"/>
      <c r="P26" s="211"/>
      <c r="Q26" s="200"/>
      <c r="R26" s="202"/>
    </row>
    <row r="27" spans="1:18" thickBot="1" x14ac:dyDescent="0.3">
      <c r="A27" s="14"/>
      <c r="B27" s="96"/>
      <c r="C27" s="93"/>
      <c r="D27" s="132"/>
      <c r="E27" s="95"/>
      <c r="F27" s="94"/>
      <c r="G27" s="99">
        <f t="shared" si="0"/>
        <v>0</v>
      </c>
      <c r="H27" s="38"/>
    </row>
    <row r="28" spans="1:18" ht="19.5" thickBot="1" x14ac:dyDescent="0.35">
      <c r="A28" s="14"/>
      <c r="B28" s="96"/>
      <c r="C28" s="93"/>
      <c r="D28" s="132"/>
      <c r="E28" s="95"/>
      <c r="F28" s="94"/>
      <c r="G28" s="99">
        <f t="shared" si="0"/>
        <v>0</v>
      </c>
      <c r="H28" s="38"/>
      <c r="L28" s="33"/>
      <c r="M28" s="343">
        <v>1</v>
      </c>
      <c r="N28" s="86" t="s">
        <v>28</v>
      </c>
      <c r="O28" s="86"/>
      <c r="P28" s="110"/>
      <c r="Q28" s="287">
        <v>42506</v>
      </c>
      <c r="R28" s="112"/>
    </row>
    <row r="29" spans="1:18" ht="16.5" thickBot="1" x14ac:dyDescent="0.3">
      <c r="A29" s="14"/>
      <c r="B29" s="96"/>
      <c r="C29" s="93"/>
      <c r="D29" s="132"/>
      <c r="E29" s="95"/>
      <c r="F29" s="94"/>
      <c r="G29" s="99">
        <f t="shared" si="0"/>
        <v>0</v>
      </c>
      <c r="H29" s="38"/>
      <c r="L29" s="33"/>
      <c r="M29" s="344"/>
      <c r="N29" s="113"/>
      <c r="O29" s="113"/>
      <c r="P29" s="114"/>
      <c r="Q29" s="115"/>
      <c r="R29" s="112"/>
    </row>
    <row r="30" spans="1:18" ht="16.5" thickBot="1" x14ac:dyDescent="0.3">
      <c r="A30" s="14"/>
      <c r="B30" s="96"/>
      <c r="C30" s="93"/>
      <c r="D30" s="132"/>
      <c r="E30" s="95"/>
      <c r="F30" s="94"/>
      <c r="G30" s="99">
        <f t="shared" si="0"/>
        <v>0</v>
      </c>
      <c r="H30" s="38"/>
      <c r="L30" s="3"/>
      <c r="M30" s="116" t="s">
        <v>23</v>
      </c>
      <c r="N30" s="116" t="s">
        <v>24</v>
      </c>
      <c r="O30" s="116"/>
      <c r="P30" s="117" t="s">
        <v>29</v>
      </c>
      <c r="Q30" s="118" t="s">
        <v>30</v>
      </c>
      <c r="R30" s="119"/>
    </row>
    <row r="31" spans="1:18" ht="16.5" thickTop="1" x14ac:dyDescent="0.25">
      <c r="A31" s="14"/>
      <c r="B31" s="96"/>
      <c r="C31" s="93"/>
      <c r="D31" s="132"/>
      <c r="E31" s="95"/>
      <c r="F31" s="94"/>
      <c r="G31" s="99">
        <f t="shared" si="0"/>
        <v>0</v>
      </c>
      <c r="H31" s="38"/>
      <c r="L31" s="3">
        <f>83322.5+29728</f>
        <v>113050.5</v>
      </c>
      <c r="M31" s="93" t="s">
        <v>215</v>
      </c>
      <c r="N31" s="132">
        <v>113050.75</v>
      </c>
      <c r="O31" s="120" t="s">
        <v>36</v>
      </c>
      <c r="P31" s="289" t="s">
        <v>31</v>
      </c>
      <c r="Q31" s="296">
        <v>9485</v>
      </c>
      <c r="R31" s="297">
        <v>42492</v>
      </c>
    </row>
    <row r="32" spans="1:18" x14ac:dyDescent="0.25">
      <c r="A32" s="14"/>
      <c r="B32" s="96"/>
      <c r="C32" s="93"/>
      <c r="D32" s="132"/>
      <c r="E32" s="95"/>
      <c r="F32" s="94"/>
      <c r="G32" s="99">
        <f t="shared" si="0"/>
        <v>0</v>
      </c>
      <c r="H32" s="38"/>
      <c r="L32" s="3">
        <v>4572</v>
      </c>
      <c r="M32" s="93" t="s">
        <v>221</v>
      </c>
      <c r="N32" s="132">
        <v>4572</v>
      </c>
      <c r="O32" s="124"/>
      <c r="P32" s="241">
        <v>3275556</v>
      </c>
      <c r="Q32" s="242">
        <v>35000</v>
      </c>
      <c r="R32" s="290">
        <v>42489</v>
      </c>
    </row>
    <row r="33" spans="1:18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>
        <f>9074+6568</f>
        <v>15642</v>
      </c>
      <c r="M33" s="93" t="s">
        <v>222</v>
      </c>
      <c r="N33" s="132">
        <v>15642</v>
      </c>
      <c r="O33" s="124"/>
      <c r="P33" s="241">
        <v>3275555</v>
      </c>
      <c r="Q33" s="242">
        <v>16000</v>
      </c>
      <c r="R33" s="290">
        <v>42489</v>
      </c>
    </row>
    <row r="34" spans="1:18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>
        <f>29260+57546.5+24611+28465+42800.5</f>
        <v>182683</v>
      </c>
      <c r="M34" s="93" t="s">
        <v>223</v>
      </c>
      <c r="N34" s="132">
        <v>182683.1</v>
      </c>
      <c r="O34" s="124"/>
      <c r="P34" s="241">
        <v>3275554</v>
      </c>
      <c r="Q34" s="242">
        <v>22837.5</v>
      </c>
      <c r="R34" s="290">
        <v>42489</v>
      </c>
    </row>
    <row r="35" spans="1:18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>
        <v>840</v>
      </c>
      <c r="M35" s="93" t="s">
        <v>243</v>
      </c>
      <c r="N35" s="132">
        <v>840</v>
      </c>
      <c r="O35" s="124"/>
      <c r="P35" s="241">
        <v>3275553</v>
      </c>
      <c r="Q35" s="242">
        <v>38802</v>
      </c>
      <c r="R35" s="290">
        <v>42490</v>
      </c>
    </row>
    <row r="36" spans="1:18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>
        <v>840</v>
      </c>
      <c r="M36" s="93" t="s">
        <v>235</v>
      </c>
      <c r="N36" s="132">
        <v>840</v>
      </c>
      <c r="O36" s="128"/>
      <c r="P36" s="241">
        <v>3275552</v>
      </c>
      <c r="Q36" s="242">
        <v>40400</v>
      </c>
      <c r="R36" s="290">
        <v>42491</v>
      </c>
    </row>
    <row r="37" spans="1:18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>
        <f>18395+44626</f>
        <v>63021</v>
      </c>
      <c r="M37" s="93" t="s">
        <v>226</v>
      </c>
      <c r="N37" s="132">
        <v>63021</v>
      </c>
      <c r="O37" s="129" t="s">
        <v>88</v>
      </c>
      <c r="P37" s="241" t="s">
        <v>31</v>
      </c>
      <c r="Q37" s="242">
        <v>3356</v>
      </c>
      <c r="R37" s="290">
        <v>42495</v>
      </c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98"/>
      <c r="N38" s="132"/>
      <c r="O38" s="124"/>
      <c r="P38" s="291" t="s">
        <v>31</v>
      </c>
      <c r="Q38" s="292">
        <v>19036</v>
      </c>
      <c r="R38" s="290">
        <v>42495</v>
      </c>
    </row>
    <row r="39" spans="1:1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93"/>
      <c r="N39" s="132"/>
      <c r="O39" s="124"/>
      <c r="P39" s="291" t="s">
        <v>31</v>
      </c>
      <c r="Q39" s="292">
        <v>25154.5</v>
      </c>
      <c r="R39" s="290">
        <v>42496</v>
      </c>
    </row>
    <row r="40" spans="1:1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/>
      <c r="M40" s="93"/>
      <c r="N40" s="132"/>
      <c r="O40" s="124"/>
      <c r="P40" s="291">
        <v>3275551</v>
      </c>
      <c r="Q40" s="292">
        <v>10000</v>
      </c>
      <c r="R40" s="290">
        <v>42492</v>
      </c>
    </row>
    <row r="41" spans="1:18" ht="15" x14ac:dyDescent="0.25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"/>
      <c r="M41" s="93"/>
      <c r="N41" s="235"/>
      <c r="O41" s="124"/>
      <c r="P41" s="291" t="s">
        <v>31</v>
      </c>
      <c r="Q41" s="292">
        <v>24611</v>
      </c>
      <c r="R41" s="290">
        <v>42496</v>
      </c>
    </row>
    <row r="42" spans="1:18" ht="15" x14ac:dyDescent="0.25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"/>
      <c r="M42" s="93"/>
      <c r="N42" s="132"/>
      <c r="O42" s="124"/>
      <c r="P42" s="291" t="s">
        <v>31</v>
      </c>
      <c r="Q42" s="292">
        <v>28465</v>
      </c>
      <c r="R42" s="290">
        <v>42496</v>
      </c>
    </row>
    <row r="43" spans="1:18" ht="15" x14ac:dyDescent="0.25">
      <c r="A43" s="14"/>
      <c r="B43" s="96"/>
      <c r="C43" s="93"/>
      <c r="D43" s="132"/>
      <c r="E43" s="95"/>
      <c r="F43" s="94"/>
      <c r="G43" s="99">
        <f t="shared" si="0"/>
        <v>0</v>
      </c>
      <c r="H43" s="38"/>
      <c r="L43" s="3"/>
      <c r="M43" s="93"/>
      <c r="N43" s="132"/>
      <c r="O43" s="124"/>
      <c r="P43" s="291" t="s">
        <v>31</v>
      </c>
      <c r="Q43" s="292">
        <v>3564</v>
      </c>
      <c r="R43" s="290">
        <v>42495</v>
      </c>
    </row>
    <row r="44" spans="1:18" ht="15" x14ac:dyDescent="0.25">
      <c r="A44" s="14"/>
      <c r="B44" s="96"/>
      <c r="C44" s="93"/>
      <c r="D44" s="132"/>
      <c r="E44" s="95"/>
      <c r="F44" s="94"/>
      <c r="G44" s="99">
        <f t="shared" si="0"/>
        <v>0</v>
      </c>
      <c r="H44" s="38"/>
      <c r="L44" s="3"/>
      <c r="M44" s="93"/>
      <c r="N44" s="132"/>
      <c r="O44" s="124"/>
      <c r="P44" s="291" t="s">
        <v>31</v>
      </c>
      <c r="Q44" s="292">
        <v>7320</v>
      </c>
      <c r="R44" s="290">
        <v>42496</v>
      </c>
    </row>
    <row r="45" spans="1:18" ht="15" x14ac:dyDescent="0.25">
      <c r="A45" s="14"/>
      <c r="B45" s="96"/>
      <c r="C45" s="93"/>
      <c r="D45" s="132"/>
      <c r="E45" s="95"/>
      <c r="F45" s="94"/>
      <c r="G45" s="99">
        <f t="shared" si="0"/>
        <v>0</v>
      </c>
      <c r="H45" s="38"/>
      <c r="L45" s="3"/>
      <c r="M45" s="93"/>
      <c r="N45" s="132"/>
      <c r="O45" s="124"/>
      <c r="P45" s="291" t="s">
        <v>31</v>
      </c>
      <c r="Q45" s="292">
        <v>44876.5</v>
      </c>
      <c r="R45" s="290">
        <v>42496</v>
      </c>
    </row>
    <row r="46" spans="1:18" ht="15" x14ac:dyDescent="0.25">
      <c r="A46" s="14"/>
      <c r="B46" s="96"/>
      <c r="C46" s="93"/>
      <c r="D46" s="132"/>
      <c r="E46" s="95"/>
      <c r="F46" s="94"/>
      <c r="G46" s="99">
        <f t="shared" si="0"/>
        <v>0</v>
      </c>
      <c r="H46" s="38"/>
      <c r="L46" s="3"/>
      <c r="M46" s="93"/>
      <c r="N46" s="132"/>
      <c r="O46" s="124"/>
      <c r="P46" s="291">
        <v>3275550</v>
      </c>
      <c r="Q46" s="292">
        <v>7115</v>
      </c>
      <c r="R46" s="290">
        <v>42495</v>
      </c>
    </row>
    <row r="47" spans="1:18" ht="15" x14ac:dyDescent="0.25">
      <c r="A47" s="14"/>
      <c r="B47" s="96"/>
      <c r="C47" s="93"/>
      <c r="D47" s="132"/>
      <c r="E47" s="95"/>
      <c r="F47" s="94"/>
      <c r="G47" s="99">
        <f t="shared" si="0"/>
        <v>0</v>
      </c>
      <c r="H47" s="38"/>
      <c r="L47" s="3"/>
      <c r="M47" s="93"/>
      <c r="N47" s="132"/>
      <c r="O47" s="124"/>
      <c r="P47" s="291">
        <v>3275549</v>
      </c>
      <c r="Q47" s="292">
        <v>20000</v>
      </c>
      <c r="R47" s="290">
        <v>42496</v>
      </c>
    </row>
    <row r="48" spans="1:18" ht="15" x14ac:dyDescent="0.25">
      <c r="A48" s="14"/>
      <c r="B48" s="96"/>
      <c r="C48" s="93"/>
      <c r="D48" s="132"/>
      <c r="E48" s="95"/>
      <c r="F48" s="94"/>
      <c r="G48" s="99">
        <f t="shared" si="0"/>
        <v>0</v>
      </c>
      <c r="H48" s="38"/>
      <c r="L48" s="3"/>
      <c r="M48" s="93"/>
      <c r="N48" s="132"/>
      <c r="O48" s="124"/>
      <c r="P48" s="291">
        <v>3275363</v>
      </c>
      <c r="Q48" s="292">
        <v>11778</v>
      </c>
      <c r="R48" s="290">
        <v>42498</v>
      </c>
    </row>
    <row r="49" spans="1:18" ht="15" x14ac:dyDescent="0.25">
      <c r="A49" s="14"/>
      <c r="B49" s="96"/>
      <c r="C49" s="93"/>
      <c r="D49" s="132"/>
      <c r="E49" s="95"/>
      <c r="F49" s="94"/>
      <c r="G49" s="99">
        <f t="shared" si="0"/>
        <v>0</v>
      </c>
      <c r="H49" s="38"/>
      <c r="L49" s="3"/>
      <c r="M49" s="233"/>
      <c r="N49" s="234"/>
      <c r="O49" s="124"/>
      <c r="P49" s="291">
        <v>3275548</v>
      </c>
      <c r="Q49" s="292">
        <v>12848</v>
      </c>
      <c r="R49" s="290">
        <v>42496</v>
      </c>
    </row>
    <row r="50" spans="1:18" thickBot="1" x14ac:dyDescent="0.3">
      <c r="A50" s="14"/>
      <c r="B50" s="96"/>
      <c r="C50" s="93"/>
      <c r="D50" s="132"/>
      <c r="E50" s="95"/>
      <c r="F50" s="94"/>
      <c r="G50" s="99">
        <f t="shared" si="0"/>
        <v>0</v>
      </c>
      <c r="H50" s="38"/>
      <c r="L50" s="3"/>
      <c r="M50" s="281"/>
      <c r="N50" s="282"/>
      <c r="O50" s="219"/>
      <c r="P50" s="293"/>
      <c r="Q50" s="294"/>
      <c r="R50" s="295"/>
    </row>
    <row r="51" spans="1:18" ht="16.5" thickTop="1" x14ac:dyDescent="0.25">
      <c r="A51" s="14"/>
      <c r="B51" s="96"/>
      <c r="C51" s="93"/>
      <c r="D51" s="132"/>
      <c r="E51" s="95"/>
      <c r="F51" s="94"/>
      <c r="G51" s="99">
        <f t="shared" si="0"/>
        <v>0</v>
      </c>
      <c r="H51" s="38"/>
      <c r="L51" s="33">
        <f>SUM(L31:L50)</f>
        <v>380648.5</v>
      </c>
      <c r="M51" s="147"/>
      <c r="N51" s="236">
        <f>SUM(N31:N50)</f>
        <v>380648.85</v>
      </c>
      <c r="O51" s="210"/>
      <c r="P51" s="211"/>
      <c r="Q51" s="200">
        <f>SUM(Q31:Q50)</f>
        <v>380648.5</v>
      </c>
      <c r="R51" s="202"/>
    </row>
    <row r="52" spans="1:18" x14ac:dyDescent="0.25">
      <c r="A52" s="14"/>
      <c r="B52" s="96"/>
      <c r="C52" s="93"/>
      <c r="D52" s="132"/>
      <c r="E52" s="95"/>
      <c r="F52" s="94"/>
      <c r="G52" s="99">
        <f t="shared" si="0"/>
        <v>0</v>
      </c>
      <c r="H52" s="38"/>
      <c r="L52" s="33"/>
      <c r="M52" s="147"/>
      <c r="N52" s="236"/>
      <c r="O52" s="210"/>
      <c r="P52" s="211"/>
      <c r="Q52" s="200"/>
      <c r="R52" s="202"/>
    </row>
    <row r="53" spans="1:18" ht="18.75" x14ac:dyDescent="0.3">
      <c r="A53" s="14"/>
      <c r="B53" s="96"/>
      <c r="C53" s="93"/>
      <c r="D53" s="132"/>
      <c r="E53" s="95"/>
      <c r="F53" s="94"/>
      <c r="G53" s="99">
        <f t="shared" si="0"/>
        <v>0</v>
      </c>
      <c r="H53" s="38"/>
      <c r="L53" s="33"/>
      <c r="M53" s="147"/>
      <c r="N53" s="200"/>
      <c r="O53" s="201"/>
      <c r="P53" s="201"/>
      <c r="Q53" s="201"/>
      <c r="R53" s="202"/>
    </row>
    <row r="54" spans="1:18" thickBot="1" x14ac:dyDescent="0.3">
      <c r="A54" s="14"/>
      <c r="B54" s="96"/>
      <c r="C54" s="93"/>
      <c r="D54" s="132"/>
      <c r="E54" s="95"/>
      <c r="F54" s="94"/>
      <c r="G54" s="99">
        <f t="shared" si="0"/>
        <v>0</v>
      </c>
      <c r="H54" s="38"/>
    </row>
    <row r="55" spans="1:18" ht="19.5" thickBot="1" x14ac:dyDescent="0.35">
      <c r="A55" s="14"/>
      <c r="B55" s="96"/>
      <c r="C55" s="93"/>
      <c r="D55" s="132"/>
      <c r="E55" s="95"/>
      <c r="F55" s="94"/>
      <c r="G55" s="99">
        <f t="shared" si="0"/>
        <v>0</v>
      </c>
      <c r="H55" s="38"/>
      <c r="L55" s="33"/>
      <c r="M55" s="343">
        <v>1</v>
      </c>
      <c r="N55" s="86" t="s">
        <v>28</v>
      </c>
      <c r="O55" s="86"/>
      <c r="P55" s="110"/>
      <c r="Q55" s="195">
        <v>42511</v>
      </c>
      <c r="R55" s="112"/>
    </row>
    <row r="56" spans="1:18" ht="16.5" thickBot="1" x14ac:dyDescent="0.3">
      <c r="B56" s="14"/>
      <c r="C56" s="104"/>
      <c r="D56" s="262"/>
      <c r="E56" s="104"/>
      <c r="F56" s="106"/>
      <c r="G56" s="107">
        <f t="shared" si="0"/>
        <v>0</v>
      </c>
      <c r="L56" s="33"/>
      <c r="M56" s="344"/>
      <c r="N56" s="113"/>
      <c r="O56" s="113"/>
      <c r="P56" s="114"/>
      <c r="Q56" s="115"/>
      <c r="R56" s="112"/>
    </row>
    <row r="57" spans="1:18" ht="17.25" thickTop="1" thickBot="1" x14ac:dyDescent="0.3">
      <c r="B57"/>
      <c r="C57"/>
      <c r="D57" s="263">
        <f>SUM(D4:D56)</f>
        <v>1728324.2600000002</v>
      </c>
      <c r="E57" s="108"/>
      <c r="F57" s="109">
        <f>SUM(F4:F56)</f>
        <v>1728324.2600000002</v>
      </c>
      <c r="G57" s="109">
        <f>SUM(G4:G56)</f>
        <v>0</v>
      </c>
      <c r="L57" s="3"/>
      <c r="M57" s="116" t="s">
        <v>23</v>
      </c>
      <c r="N57" s="116" t="s">
        <v>24</v>
      </c>
      <c r="O57" s="116"/>
      <c r="P57" s="117" t="s">
        <v>29</v>
      </c>
      <c r="Q57" s="118" t="s">
        <v>30</v>
      </c>
      <c r="R57" s="119"/>
    </row>
    <row r="58" spans="1:18" ht="16.5" thickTop="1" x14ac:dyDescent="0.25">
      <c r="K58" s="3"/>
      <c r="L58" s="3">
        <f>32638+42803</f>
        <v>75441</v>
      </c>
      <c r="M58" s="93" t="s">
        <v>226</v>
      </c>
      <c r="N58" s="132">
        <v>75441.149999999994</v>
      </c>
      <c r="O58" s="120" t="s">
        <v>36</v>
      </c>
      <c r="P58" s="289">
        <v>3275547</v>
      </c>
      <c r="Q58" s="296">
        <v>32638</v>
      </c>
      <c r="R58" s="297">
        <v>42497</v>
      </c>
    </row>
    <row r="59" spans="1:18" x14ac:dyDescent="0.25">
      <c r="K59" s="3"/>
      <c r="L59" s="3">
        <f>62110+91162+56128.5+8513.25</f>
        <v>217913.75</v>
      </c>
      <c r="M59" s="98" t="s">
        <v>237</v>
      </c>
      <c r="N59" s="132">
        <v>217913.75</v>
      </c>
      <c r="O59" s="124"/>
      <c r="P59" s="241">
        <v>3275546</v>
      </c>
      <c r="Q59" s="242">
        <v>47919.5</v>
      </c>
      <c r="R59" s="290">
        <v>42498</v>
      </c>
    </row>
    <row r="60" spans="1:18" x14ac:dyDescent="0.25">
      <c r="K60" s="3"/>
      <c r="L60" s="3">
        <f>5116.5+2065</f>
        <v>7181.5</v>
      </c>
      <c r="M60" s="93" t="s">
        <v>238</v>
      </c>
      <c r="N60" s="132">
        <v>7181.6</v>
      </c>
      <c r="O60" s="124"/>
      <c r="P60" s="241">
        <v>3275545</v>
      </c>
      <c r="Q60" s="242">
        <v>42227</v>
      </c>
      <c r="R60" s="290">
        <v>42499</v>
      </c>
    </row>
    <row r="61" spans="1:18" x14ac:dyDescent="0.25">
      <c r="B61"/>
      <c r="C61" s="159">
        <v>42494</v>
      </c>
      <c r="D61" s="3">
        <v>2625</v>
      </c>
      <c r="E61" t="s">
        <v>246</v>
      </c>
      <c r="F61"/>
      <c r="G61"/>
      <c r="H61"/>
      <c r="K61" s="3"/>
      <c r="L61" s="3">
        <f>19234+73197.5</f>
        <v>92431.5</v>
      </c>
      <c r="M61" s="93" t="s">
        <v>239</v>
      </c>
      <c r="N61" s="132">
        <v>92431.5</v>
      </c>
      <c r="O61" s="124"/>
      <c r="P61" s="241">
        <v>3275377</v>
      </c>
      <c r="Q61" s="242">
        <v>21948</v>
      </c>
      <c r="R61" s="290">
        <v>42500</v>
      </c>
    </row>
    <row r="62" spans="1:18" x14ac:dyDescent="0.25">
      <c r="B62"/>
      <c r="C62" s="159">
        <v>42496</v>
      </c>
      <c r="D62" s="3">
        <v>635.44000000000005</v>
      </c>
      <c r="E62" t="s">
        <v>249</v>
      </c>
      <c r="F62"/>
      <c r="G62"/>
      <c r="H62"/>
      <c r="K62" s="3"/>
      <c r="L62" s="3"/>
      <c r="M62" s="93"/>
      <c r="N62" s="235"/>
      <c r="O62" s="124"/>
      <c r="P62" s="241">
        <v>3275355</v>
      </c>
      <c r="Q62" s="242">
        <v>27232</v>
      </c>
      <c r="R62" s="290">
        <v>42503</v>
      </c>
    </row>
    <row r="63" spans="1:18" x14ac:dyDescent="0.25">
      <c r="B63"/>
      <c r="C63" s="159">
        <v>42515</v>
      </c>
      <c r="D63" s="3">
        <v>2386</v>
      </c>
      <c r="E63" t="s">
        <v>284</v>
      </c>
      <c r="F63"/>
      <c r="G63"/>
      <c r="H63"/>
      <c r="L63" s="3"/>
      <c r="M63" s="93"/>
      <c r="N63" s="132"/>
      <c r="O63" s="128"/>
      <c r="P63" s="241">
        <v>3275544</v>
      </c>
      <c r="Q63" s="242">
        <v>33000</v>
      </c>
      <c r="R63" s="290">
        <v>42500</v>
      </c>
    </row>
    <row r="64" spans="1:18" x14ac:dyDescent="0.25">
      <c r="B64"/>
      <c r="C64" s="159"/>
      <c r="E64"/>
      <c r="F64"/>
      <c r="G64"/>
      <c r="H64"/>
      <c r="L64" s="3"/>
      <c r="M64" s="93"/>
      <c r="N64" s="132"/>
      <c r="O64" s="129"/>
      <c r="P64" s="241">
        <v>3275543</v>
      </c>
      <c r="Q64" s="242">
        <v>30930</v>
      </c>
      <c r="R64" s="290">
        <v>42500</v>
      </c>
    </row>
    <row r="65" spans="2:18" ht="15" x14ac:dyDescent="0.25">
      <c r="B65"/>
      <c r="C65" s="159"/>
      <c r="E65"/>
      <c r="F65"/>
      <c r="G65"/>
      <c r="H65"/>
      <c r="L65" s="3"/>
      <c r="M65" s="98"/>
      <c r="N65" s="132"/>
      <c r="O65" s="124"/>
      <c r="P65" s="291">
        <v>3275354</v>
      </c>
      <c r="Q65" s="292">
        <v>10260</v>
      </c>
      <c r="R65" s="290">
        <v>42503</v>
      </c>
    </row>
    <row r="66" spans="2:18" ht="15" x14ac:dyDescent="0.25">
      <c r="B66"/>
      <c r="C66" s="159"/>
      <c r="E66"/>
      <c r="F66"/>
      <c r="G66"/>
      <c r="H66"/>
      <c r="L66" s="3"/>
      <c r="M66" s="93"/>
      <c r="N66" s="132"/>
      <c r="O66" s="124"/>
      <c r="P66" s="291">
        <v>3275541</v>
      </c>
      <c r="Q66" s="292">
        <v>45868.5</v>
      </c>
      <c r="R66" s="290">
        <v>42501</v>
      </c>
    </row>
    <row r="67" spans="2:18" ht="15" x14ac:dyDescent="0.25">
      <c r="B67"/>
      <c r="C67"/>
      <c r="D67" s="3">
        <v>0</v>
      </c>
      <c r="E67"/>
      <c r="F67"/>
      <c r="G67"/>
      <c r="H67"/>
      <c r="L67" s="3"/>
      <c r="M67" s="93"/>
      <c r="N67" s="132"/>
      <c r="O67" s="124"/>
      <c r="P67" s="291">
        <v>3275540</v>
      </c>
      <c r="Q67" s="292">
        <v>27747</v>
      </c>
      <c r="R67" s="290">
        <v>42502</v>
      </c>
    </row>
    <row r="68" spans="2:18" ht="15" x14ac:dyDescent="0.25">
      <c r="B68"/>
      <c r="C68"/>
      <c r="D68" s="3">
        <v>0</v>
      </c>
      <c r="E68"/>
      <c r="F68"/>
      <c r="G68"/>
      <c r="H68"/>
      <c r="L68" s="3"/>
      <c r="M68" s="93"/>
      <c r="N68" s="235"/>
      <c r="O68" s="124"/>
      <c r="P68" s="291">
        <v>3275539</v>
      </c>
      <c r="Q68" s="292">
        <v>38000</v>
      </c>
      <c r="R68" s="290">
        <v>42503</v>
      </c>
    </row>
    <row r="69" spans="2:18" ht="15" x14ac:dyDescent="0.25">
      <c r="B69"/>
      <c r="C69"/>
      <c r="D69" s="3">
        <f>SUM(D61:D68)</f>
        <v>5646.4400000000005</v>
      </c>
      <c r="E69"/>
      <c r="F69"/>
      <c r="G69"/>
      <c r="H69"/>
      <c r="L69" s="3"/>
      <c r="M69" s="93"/>
      <c r="N69" s="132"/>
      <c r="O69" s="124"/>
      <c r="P69" s="291">
        <v>3275538</v>
      </c>
      <c r="Q69" s="292">
        <v>35197.5</v>
      </c>
      <c r="R69" s="290">
        <v>42503</v>
      </c>
    </row>
    <row r="70" spans="2:18" ht="15" x14ac:dyDescent="0.25">
      <c r="B70"/>
      <c r="C70"/>
      <c r="E70"/>
      <c r="F70"/>
      <c r="G70"/>
      <c r="H70"/>
      <c r="L70" s="3"/>
      <c r="M70" s="93"/>
      <c r="N70" s="132"/>
      <c r="O70" s="124"/>
      <c r="P70" s="291"/>
      <c r="Q70" s="292"/>
      <c r="R70" s="290"/>
    </row>
    <row r="71" spans="2:18" x14ac:dyDescent="0.25">
      <c r="B71"/>
      <c r="C71"/>
      <c r="E71"/>
      <c r="F71" s="14"/>
      <c r="G71"/>
      <c r="H71"/>
      <c r="L71" s="33">
        <f>SUM(L58:L70)</f>
        <v>392967.75</v>
      </c>
      <c r="M71" s="147"/>
      <c r="N71" s="236">
        <f>SUM(N58:N70)</f>
        <v>392968</v>
      </c>
      <c r="O71" s="210"/>
      <c r="P71" s="211"/>
      <c r="Q71" s="200">
        <f>SUM(Q58:Q70)</f>
        <v>392967.5</v>
      </c>
      <c r="R71" s="202"/>
    </row>
    <row r="72" spans="2:18" ht="15" x14ac:dyDescent="0.25">
      <c r="B72"/>
      <c r="C72"/>
      <c r="E72"/>
      <c r="F72" s="14"/>
      <c r="G72"/>
      <c r="H72"/>
    </row>
    <row r="73" spans="2:18" ht="15" x14ac:dyDescent="0.25">
      <c r="B73"/>
      <c r="C73"/>
      <c r="E73"/>
      <c r="F73" s="14"/>
      <c r="G73"/>
      <c r="H73"/>
    </row>
    <row r="74" spans="2:18" ht="15" x14ac:dyDescent="0.25">
      <c r="B74"/>
      <c r="C74"/>
      <c r="E74"/>
      <c r="F74" s="14"/>
      <c r="G74"/>
      <c r="H74"/>
    </row>
    <row r="75" spans="2:18" thickBot="1" x14ac:dyDescent="0.3">
      <c r="B75"/>
      <c r="C75"/>
      <c r="E75"/>
      <c r="F75" s="14"/>
      <c r="G75"/>
      <c r="H75"/>
    </row>
    <row r="76" spans="2:18" ht="19.5" thickBot="1" x14ac:dyDescent="0.35">
      <c r="B76"/>
      <c r="C76"/>
      <c r="E76"/>
      <c r="F76" s="14"/>
      <c r="G76"/>
      <c r="H76"/>
      <c r="L76" s="33"/>
      <c r="M76" s="343">
        <v>1</v>
      </c>
      <c r="N76" s="86" t="s">
        <v>28</v>
      </c>
      <c r="O76" s="86"/>
      <c r="P76" s="110"/>
      <c r="Q76" s="302">
        <v>42521</v>
      </c>
      <c r="R76" s="112"/>
    </row>
    <row r="77" spans="2:18" ht="16.5" thickBot="1" x14ac:dyDescent="0.3">
      <c r="B77"/>
      <c r="C77"/>
      <c r="E77"/>
      <c r="F77" s="14"/>
      <c r="G77"/>
      <c r="H77"/>
      <c r="L77" s="33"/>
      <c r="M77" s="344"/>
      <c r="N77" s="113"/>
      <c r="O77" s="113"/>
      <c r="P77" s="114"/>
      <c r="Q77" s="115"/>
      <c r="R77" s="112"/>
    </row>
    <row r="78" spans="2:18" ht="16.5" thickBot="1" x14ac:dyDescent="0.3">
      <c r="B78"/>
      <c r="C78"/>
      <c r="E78"/>
      <c r="F78" s="14"/>
      <c r="G78"/>
      <c r="H78"/>
      <c r="L78" s="3"/>
      <c r="M78" s="116" t="s">
        <v>23</v>
      </c>
      <c r="N78" s="116" t="s">
        <v>24</v>
      </c>
      <c r="O78" s="116"/>
      <c r="P78" s="117" t="s">
        <v>29</v>
      </c>
      <c r="Q78" s="118" t="s">
        <v>30</v>
      </c>
      <c r="R78" s="119"/>
    </row>
    <row r="79" spans="2:18" ht="16.5" thickTop="1" x14ac:dyDescent="0.25">
      <c r="B79"/>
      <c r="C79"/>
      <c r="E79"/>
      <c r="F79" s="14"/>
      <c r="G79"/>
      <c r="H79"/>
      <c r="L79" s="3">
        <v>30744.65</v>
      </c>
      <c r="M79" s="93" t="s">
        <v>239</v>
      </c>
      <c r="N79" s="132">
        <v>30744.65</v>
      </c>
      <c r="O79" s="120" t="s">
        <v>36</v>
      </c>
      <c r="P79" s="289">
        <v>3275537</v>
      </c>
      <c r="Q79" s="296">
        <v>60000</v>
      </c>
      <c r="R79" s="297">
        <v>42504</v>
      </c>
    </row>
    <row r="80" spans="2:18" x14ac:dyDescent="0.25">
      <c r="B80"/>
      <c r="C80"/>
      <c r="E80"/>
      <c r="F80" s="14"/>
      <c r="G80"/>
      <c r="H80"/>
      <c r="L80" s="3">
        <v>19785.48</v>
      </c>
      <c r="M80" s="93" t="s">
        <v>240</v>
      </c>
      <c r="N80" s="235">
        <v>19785.48</v>
      </c>
      <c r="O80" s="124"/>
      <c r="P80" s="241">
        <v>3266496</v>
      </c>
      <c r="Q80" s="242">
        <v>13915.5</v>
      </c>
      <c r="R80" s="290">
        <v>42504</v>
      </c>
    </row>
    <row r="81" spans="2:18" x14ac:dyDescent="0.25">
      <c r="B81"/>
      <c r="C81"/>
      <c r="E81"/>
      <c r="F81" s="14"/>
      <c r="G81"/>
      <c r="H81"/>
      <c r="L81" s="3">
        <f>23385.37+45469+40690+56573+52827.5+14035.13</f>
        <v>232980</v>
      </c>
      <c r="M81" s="93" t="s">
        <v>241</v>
      </c>
      <c r="N81" s="132">
        <v>232980</v>
      </c>
      <c r="O81" s="124"/>
      <c r="P81" s="241">
        <v>3266495</v>
      </c>
      <c r="Q81" s="242">
        <v>20000</v>
      </c>
      <c r="R81" s="290">
        <v>42505</v>
      </c>
    </row>
    <row r="82" spans="2:18" x14ac:dyDescent="0.25">
      <c r="B82"/>
      <c r="C82"/>
      <c r="E82"/>
      <c r="F82" s="14"/>
      <c r="G82"/>
      <c r="H82"/>
      <c r="L82" s="3">
        <v>13243.36</v>
      </c>
      <c r="M82" s="93" t="s">
        <v>253</v>
      </c>
      <c r="N82" s="132">
        <v>13243.36</v>
      </c>
      <c r="O82" s="124"/>
      <c r="P82" s="241">
        <v>3266494</v>
      </c>
      <c r="Q82" s="242">
        <v>20690</v>
      </c>
      <c r="R82" s="290">
        <v>42505</v>
      </c>
    </row>
    <row r="83" spans="2:18" x14ac:dyDescent="0.25">
      <c r="B83"/>
      <c r="C83"/>
      <c r="E83"/>
      <c r="F83" s="14"/>
      <c r="G83"/>
      <c r="H83"/>
      <c r="L83" s="3">
        <v>2766.4</v>
      </c>
      <c r="M83" s="93" t="s">
        <v>259</v>
      </c>
      <c r="N83" s="132">
        <v>2766.4</v>
      </c>
      <c r="O83" s="124"/>
      <c r="P83" s="241">
        <v>3266493</v>
      </c>
      <c r="Q83" s="242">
        <v>30000</v>
      </c>
      <c r="R83" s="290">
        <v>42506</v>
      </c>
    </row>
    <row r="84" spans="2:18" x14ac:dyDescent="0.25">
      <c r="B84"/>
      <c r="C84"/>
      <c r="E84"/>
      <c r="F84" s="14"/>
      <c r="G84"/>
      <c r="H84"/>
      <c r="L84" s="3">
        <f>19717+67163.5+33196.5+13646+67114.7</f>
        <v>200837.7</v>
      </c>
      <c r="M84" s="93" t="s">
        <v>260</v>
      </c>
      <c r="N84" s="132">
        <v>200837.76000000001</v>
      </c>
      <c r="O84" s="128"/>
      <c r="P84" s="241">
        <v>3359496</v>
      </c>
      <c r="Q84" s="242">
        <v>8287</v>
      </c>
      <c r="R84" s="290">
        <v>42508</v>
      </c>
    </row>
    <row r="85" spans="2:18" x14ac:dyDescent="0.25">
      <c r="B85"/>
      <c r="C85"/>
      <c r="E85"/>
      <c r="F85" s="14"/>
      <c r="G85"/>
      <c r="H85"/>
      <c r="L85" s="3">
        <v>5941.5</v>
      </c>
      <c r="M85" s="93" t="s">
        <v>269</v>
      </c>
      <c r="N85" s="132">
        <v>5941.5</v>
      </c>
      <c r="O85" s="129"/>
      <c r="P85" s="289">
        <v>3266492</v>
      </c>
      <c r="Q85" s="296">
        <v>18286</v>
      </c>
      <c r="R85" s="297">
        <v>42506</v>
      </c>
    </row>
    <row r="86" spans="2:18" x14ac:dyDescent="0.25">
      <c r="L86" s="3"/>
      <c r="M86" s="93"/>
      <c r="N86" s="132"/>
      <c r="O86" s="124"/>
      <c r="P86" s="289">
        <v>3266491</v>
      </c>
      <c r="Q86" s="296">
        <v>37070</v>
      </c>
      <c r="R86" s="297">
        <v>42507</v>
      </c>
    </row>
    <row r="87" spans="2:18" x14ac:dyDescent="0.25">
      <c r="L87" s="3">
        <f>1853.5+24719+152637.2</f>
        <v>179209.7</v>
      </c>
      <c r="M87" s="93" t="s">
        <v>271</v>
      </c>
      <c r="N87" s="132">
        <v>179210.13</v>
      </c>
      <c r="O87" s="124" t="s">
        <v>88</v>
      </c>
      <c r="P87" s="241" t="s">
        <v>31</v>
      </c>
      <c r="Q87" s="242">
        <v>8399</v>
      </c>
      <c r="R87" s="290">
        <v>42496</v>
      </c>
    </row>
    <row r="88" spans="2:18" x14ac:dyDescent="0.25">
      <c r="L88" s="3"/>
      <c r="M88" s="93"/>
      <c r="N88" s="132"/>
      <c r="O88" s="124"/>
      <c r="P88" s="291">
        <v>3359497</v>
      </c>
      <c r="Q88" s="292">
        <v>10608</v>
      </c>
      <c r="R88" s="290">
        <v>42508</v>
      </c>
    </row>
    <row r="89" spans="2:18" x14ac:dyDescent="0.25">
      <c r="L89" s="3"/>
      <c r="M89" s="93"/>
      <c r="N89" s="235"/>
      <c r="O89" s="124"/>
      <c r="P89" s="291">
        <v>3266490</v>
      </c>
      <c r="Q89" s="292">
        <v>42219.5</v>
      </c>
      <c r="R89" s="290">
        <v>42508</v>
      </c>
    </row>
    <row r="90" spans="2:18" x14ac:dyDescent="0.25">
      <c r="L90" s="3"/>
      <c r="M90" s="93"/>
      <c r="N90" s="132"/>
      <c r="O90" s="124"/>
      <c r="P90" s="291">
        <v>3358423</v>
      </c>
      <c r="Q90" s="292">
        <v>3153</v>
      </c>
      <c r="R90" s="290">
        <v>42509</v>
      </c>
    </row>
    <row r="91" spans="2:18" x14ac:dyDescent="0.25">
      <c r="L91" s="3"/>
      <c r="M91" s="93"/>
      <c r="N91" s="132"/>
      <c r="O91" s="124"/>
      <c r="P91" s="291" t="s">
        <v>31</v>
      </c>
      <c r="Q91" s="292">
        <v>7081</v>
      </c>
      <c r="R91" s="290">
        <v>42506</v>
      </c>
    </row>
    <row r="92" spans="2:18" x14ac:dyDescent="0.25">
      <c r="L92" s="3"/>
      <c r="M92" s="93"/>
      <c r="N92" s="132"/>
      <c r="O92" s="124"/>
      <c r="P92" s="291">
        <v>3266489</v>
      </c>
      <c r="Q92" s="292">
        <v>39528</v>
      </c>
      <c r="R92" s="290">
        <v>42509</v>
      </c>
    </row>
    <row r="93" spans="2:18" x14ac:dyDescent="0.25">
      <c r="L93" s="3"/>
      <c r="M93" s="93"/>
      <c r="N93" s="132"/>
      <c r="O93" s="124"/>
      <c r="P93" s="291">
        <v>3266488</v>
      </c>
      <c r="Q93" s="292">
        <v>52000</v>
      </c>
      <c r="R93" s="290">
        <v>42510</v>
      </c>
    </row>
    <row r="94" spans="2:18" x14ac:dyDescent="0.25">
      <c r="L94" s="3"/>
      <c r="M94" s="93"/>
      <c r="N94" s="132"/>
      <c r="O94" s="124"/>
      <c r="P94" s="291">
        <v>3266487</v>
      </c>
      <c r="Q94" s="292">
        <v>15163.5</v>
      </c>
      <c r="R94" s="290">
        <v>42510</v>
      </c>
    </row>
    <row r="95" spans="2:18" x14ac:dyDescent="0.25">
      <c r="L95" s="3"/>
      <c r="M95" s="93"/>
      <c r="N95" s="132"/>
      <c r="O95" s="124"/>
      <c r="P95" s="291">
        <v>3266536</v>
      </c>
      <c r="Q95" s="292">
        <v>33196.5</v>
      </c>
      <c r="R95" s="290">
        <v>42511</v>
      </c>
    </row>
    <row r="96" spans="2:18" x14ac:dyDescent="0.25">
      <c r="L96" s="3"/>
      <c r="M96" s="93"/>
      <c r="N96" s="132"/>
      <c r="O96" s="124"/>
      <c r="P96" s="291">
        <v>3359489</v>
      </c>
      <c r="Q96" s="292">
        <v>11979</v>
      </c>
      <c r="R96" s="290">
        <v>42513</v>
      </c>
    </row>
    <row r="97" spans="12:18" customFormat="1" ht="15" x14ac:dyDescent="0.25">
      <c r="L97" s="3"/>
      <c r="M97" s="233"/>
      <c r="N97" s="234"/>
      <c r="O97" s="124"/>
      <c r="P97" s="291">
        <v>3359490</v>
      </c>
      <c r="Q97" s="292">
        <v>7458</v>
      </c>
      <c r="R97" s="290">
        <v>42513</v>
      </c>
    </row>
    <row r="98" spans="12:18" customFormat="1" ht="15" x14ac:dyDescent="0.25">
      <c r="L98" s="3"/>
      <c r="M98" s="303"/>
      <c r="N98" s="304"/>
      <c r="O98" s="128"/>
      <c r="P98" s="305">
        <v>3266533</v>
      </c>
      <c r="Q98" s="306">
        <v>2004</v>
      </c>
      <c r="R98" s="307">
        <v>42513</v>
      </c>
    </row>
    <row r="99" spans="12:18" customFormat="1" ht="15" x14ac:dyDescent="0.25">
      <c r="L99" s="3"/>
      <c r="M99" s="303"/>
      <c r="N99" s="304"/>
      <c r="O99" s="128"/>
      <c r="P99" s="305">
        <v>3266530</v>
      </c>
      <c r="Q99" s="306">
        <v>24719</v>
      </c>
      <c r="R99" s="307">
        <v>42515</v>
      </c>
    </row>
    <row r="100" spans="12:18" customFormat="1" ht="15" x14ac:dyDescent="0.25">
      <c r="L100" s="3"/>
      <c r="M100" s="303"/>
      <c r="N100" s="304"/>
      <c r="O100" s="128"/>
      <c r="P100" s="305">
        <v>3266535</v>
      </c>
      <c r="Q100" s="306">
        <v>48000</v>
      </c>
      <c r="R100" s="307">
        <v>42512</v>
      </c>
    </row>
    <row r="101" spans="12:18" customFormat="1" ht="15" x14ac:dyDescent="0.25">
      <c r="L101" s="3"/>
      <c r="M101" s="303"/>
      <c r="N101" s="304"/>
      <c r="O101" s="128"/>
      <c r="P101" s="305">
        <v>3359488</v>
      </c>
      <c r="Q101" s="306">
        <v>17108</v>
      </c>
      <c r="R101" s="307">
        <v>42513</v>
      </c>
    </row>
    <row r="102" spans="12:18" customFormat="1" ht="15" x14ac:dyDescent="0.25">
      <c r="L102" s="3"/>
      <c r="M102" s="303"/>
      <c r="N102" s="304"/>
      <c r="O102" s="128"/>
      <c r="P102" s="305">
        <v>3266534</v>
      </c>
      <c r="Q102" s="306">
        <v>2007</v>
      </c>
      <c r="R102" s="307">
        <v>42512</v>
      </c>
    </row>
    <row r="103" spans="12:18" customFormat="1" ht="15" x14ac:dyDescent="0.25">
      <c r="L103" s="3"/>
      <c r="M103" s="303"/>
      <c r="N103" s="304"/>
      <c r="O103" s="128"/>
      <c r="P103" s="305">
        <v>3359483</v>
      </c>
      <c r="Q103" s="306">
        <v>33211</v>
      </c>
      <c r="R103" s="307">
        <v>42515</v>
      </c>
    </row>
    <row r="104" spans="12:18" customFormat="1" ht="15" x14ac:dyDescent="0.25">
      <c r="L104" s="3"/>
      <c r="M104" s="303"/>
      <c r="N104" s="304"/>
      <c r="O104" s="128"/>
      <c r="P104" s="305" t="s">
        <v>31</v>
      </c>
      <c r="Q104" s="306">
        <v>60504.28</v>
      </c>
      <c r="R104" s="307">
        <v>42516</v>
      </c>
    </row>
    <row r="105" spans="12:18" customFormat="1" ht="15" x14ac:dyDescent="0.25">
      <c r="L105" s="3"/>
      <c r="M105" s="303"/>
      <c r="N105" s="304"/>
      <c r="O105" s="128"/>
      <c r="P105" s="305">
        <v>3266531</v>
      </c>
      <c r="Q105" s="306">
        <v>10471</v>
      </c>
      <c r="R105" s="307">
        <v>42514</v>
      </c>
    </row>
    <row r="106" spans="12:18" customFormat="1" ht="15" x14ac:dyDescent="0.25">
      <c r="L106" s="3"/>
      <c r="M106" s="303"/>
      <c r="N106" s="304"/>
      <c r="O106" s="128"/>
      <c r="P106" s="305">
        <v>3359487</v>
      </c>
      <c r="Q106" s="306">
        <v>10354</v>
      </c>
      <c r="R106" s="307">
        <v>42513</v>
      </c>
    </row>
    <row r="107" spans="12:18" customFormat="1" ht="15" x14ac:dyDescent="0.25">
      <c r="L107" s="3"/>
      <c r="M107" s="303"/>
      <c r="N107" s="304"/>
      <c r="O107" s="128"/>
      <c r="P107" s="305">
        <v>3266532</v>
      </c>
      <c r="Q107" s="306">
        <v>28500</v>
      </c>
      <c r="R107" s="307">
        <v>42514</v>
      </c>
    </row>
    <row r="108" spans="12:18" customFormat="1" thickBot="1" x14ac:dyDescent="0.3">
      <c r="L108" s="3"/>
      <c r="M108" s="281"/>
      <c r="N108" s="282"/>
      <c r="O108" s="219"/>
      <c r="P108" s="293" t="s">
        <v>31</v>
      </c>
      <c r="Q108" s="294">
        <v>9597</v>
      </c>
      <c r="R108" s="295">
        <v>42516</v>
      </c>
    </row>
    <row r="109" spans="12:18" customFormat="1" ht="16.5" thickTop="1" x14ac:dyDescent="0.25">
      <c r="L109" s="33">
        <f>SUM(L79:L108)</f>
        <v>685508.79</v>
      </c>
      <c r="M109" s="147"/>
      <c r="N109" s="236">
        <f>SUM(N79:N108)</f>
        <v>685509.28</v>
      </c>
      <c r="O109" s="210"/>
      <c r="P109" s="211"/>
      <c r="Q109" s="200">
        <f>SUM(Q79:Q108)</f>
        <v>685509.28</v>
      </c>
      <c r="R109" s="202"/>
    </row>
  </sheetData>
  <sortState ref="B11:G21">
    <sortCondition ref="C11:C21"/>
  </sortState>
  <mergeCells count="4">
    <mergeCell ref="M2:M3"/>
    <mergeCell ref="M28:M29"/>
    <mergeCell ref="M55:M56"/>
    <mergeCell ref="M76:M77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BG111"/>
  <sheetViews>
    <sheetView topLeftCell="A16" workbookViewId="0">
      <selection activeCell="F45" sqref="F45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3" max="13" width="12.5703125" bestFit="1" customWidth="1"/>
    <col min="18" max="18" width="14" customWidth="1"/>
    <col min="21" max="21" width="14.140625" bestFit="1" customWidth="1"/>
    <col min="26" max="26" width="14.140625" bestFit="1" customWidth="1"/>
    <col min="28" max="28" width="12.5703125" bestFit="1" customWidth="1"/>
    <col min="29" max="29" width="14.140625" bestFit="1" customWidth="1"/>
    <col min="33" max="33" width="14" customWidth="1"/>
    <col min="36" max="36" width="12.5703125" bestFit="1" customWidth="1"/>
    <col min="41" max="41" width="12.7109375" bestFit="1" customWidth="1"/>
    <col min="43" max="44" width="12.5703125" bestFit="1" customWidth="1"/>
    <col min="48" max="48" width="14" customWidth="1"/>
    <col min="51" max="51" width="12.5703125" bestFit="1" customWidth="1"/>
    <col min="56" max="56" width="12.7109375" bestFit="1" customWidth="1"/>
    <col min="58" max="58" width="11.42578125" style="3"/>
    <col min="59" max="59" width="12.5703125" bestFit="1" customWidth="1"/>
  </cols>
  <sheetData>
    <row r="1" spans="1:59" ht="24" thickBot="1" x14ac:dyDescent="0.4">
      <c r="B1" s="1"/>
      <c r="C1" s="334" t="s">
        <v>288</v>
      </c>
      <c r="D1" s="334"/>
      <c r="E1" s="334"/>
      <c r="F1" s="334"/>
      <c r="G1" s="334"/>
      <c r="H1" s="334"/>
      <c r="I1" s="334"/>
      <c r="J1" s="334"/>
      <c r="K1" s="300" t="s">
        <v>293</v>
      </c>
      <c r="L1" s="2"/>
      <c r="M1" s="2"/>
      <c r="Q1" s="1"/>
      <c r="R1" s="334" t="s">
        <v>288</v>
      </c>
      <c r="S1" s="334"/>
      <c r="T1" s="334"/>
      <c r="U1" s="334"/>
      <c r="V1" s="334"/>
      <c r="W1" s="334"/>
      <c r="X1" s="334"/>
      <c r="Y1" s="334"/>
      <c r="Z1" s="300" t="s">
        <v>273</v>
      </c>
      <c r="AA1" s="2"/>
      <c r="AB1" s="2"/>
      <c r="AF1" s="1"/>
      <c r="AG1" s="334" t="s">
        <v>288</v>
      </c>
      <c r="AH1" s="334"/>
      <c r="AI1" s="334"/>
      <c r="AJ1" s="334"/>
      <c r="AK1" s="334"/>
      <c r="AL1" s="334"/>
      <c r="AM1" s="334"/>
      <c r="AN1" s="334"/>
      <c r="AO1" s="300" t="s">
        <v>257</v>
      </c>
      <c r="AP1" s="2"/>
      <c r="AQ1" s="2"/>
      <c r="AR1" s="2"/>
      <c r="AU1" s="1"/>
      <c r="AV1" s="334" t="s">
        <v>288</v>
      </c>
      <c r="AW1" s="334"/>
      <c r="AX1" s="334"/>
      <c r="AY1" s="334"/>
      <c r="AZ1" s="334"/>
      <c r="BA1" s="334"/>
      <c r="BB1" s="334"/>
      <c r="BC1" s="334"/>
      <c r="BD1" s="300" t="s">
        <v>256</v>
      </c>
      <c r="BE1" s="2"/>
    </row>
    <row r="2" spans="1:59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M2" s="2"/>
      <c r="Q2" s="1"/>
      <c r="R2" s="4" t="s">
        <v>0</v>
      </c>
      <c r="T2" s="5"/>
      <c r="U2" s="5"/>
      <c r="W2" s="1"/>
      <c r="X2" s="1"/>
      <c r="Y2" s="1"/>
      <c r="Z2" s="1"/>
      <c r="AA2" s="2"/>
      <c r="AB2" s="2"/>
      <c r="AF2" s="1"/>
      <c r="AG2" s="4" t="s">
        <v>0</v>
      </c>
      <c r="AI2" s="5"/>
      <c r="AJ2" s="5"/>
      <c r="AL2" s="1"/>
      <c r="AM2" s="1"/>
      <c r="AN2" s="1"/>
      <c r="AO2" s="1"/>
      <c r="AP2" s="2"/>
      <c r="AQ2" s="2"/>
      <c r="AR2" s="2"/>
      <c r="AU2" s="1"/>
      <c r="AV2" s="4" t="s">
        <v>0</v>
      </c>
      <c r="AX2" s="5"/>
      <c r="AY2" s="5"/>
      <c r="BA2" s="1"/>
      <c r="BB2" s="1"/>
      <c r="BC2" s="1"/>
      <c r="BD2" s="1"/>
      <c r="BE2" s="2"/>
    </row>
    <row r="3" spans="1:59" ht="20.25" thickTop="1" thickBot="1" x14ac:dyDescent="0.35">
      <c r="A3" s="6" t="s">
        <v>1</v>
      </c>
      <c r="B3" s="7"/>
      <c r="C3" s="8">
        <v>389370.9</v>
      </c>
      <c r="D3" s="9"/>
      <c r="E3" s="335" t="s">
        <v>2</v>
      </c>
      <c r="F3" s="336"/>
      <c r="H3" s="1"/>
      <c r="I3" s="337" t="s">
        <v>3</v>
      </c>
      <c r="J3" s="338"/>
      <c r="K3" s="339"/>
      <c r="L3" s="10" t="s">
        <v>4</v>
      </c>
      <c r="M3" s="10"/>
      <c r="P3" s="6" t="s">
        <v>1</v>
      </c>
      <c r="Q3" s="7"/>
      <c r="R3" s="8">
        <v>389370.9</v>
      </c>
      <c r="S3" s="9"/>
      <c r="T3" s="335" t="s">
        <v>2</v>
      </c>
      <c r="U3" s="336"/>
      <c r="W3" s="1"/>
      <c r="X3" s="337" t="s">
        <v>3</v>
      </c>
      <c r="Y3" s="338"/>
      <c r="Z3" s="339"/>
      <c r="AA3" s="10" t="s">
        <v>4</v>
      </c>
      <c r="AB3" s="10"/>
      <c r="AE3" s="6" t="s">
        <v>1</v>
      </c>
      <c r="AF3" s="7"/>
      <c r="AG3" s="8">
        <v>389370.9</v>
      </c>
      <c r="AH3" s="9"/>
      <c r="AI3" s="335" t="s">
        <v>2</v>
      </c>
      <c r="AJ3" s="336"/>
      <c r="AL3" s="1"/>
      <c r="AM3" s="337" t="s">
        <v>3</v>
      </c>
      <c r="AN3" s="338"/>
      <c r="AO3" s="339"/>
      <c r="AP3" s="10" t="s">
        <v>4</v>
      </c>
      <c r="AQ3" s="10"/>
      <c r="AR3" s="10"/>
      <c r="AT3" s="6" t="s">
        <v>1</v>
      </c>
      <c r="AU3" s="7"/>
      <c r="AV3" s="8">
        <v>389370.9</v>
      </c>
      <c r="AW3" s="9"/>
      <c r="AX3" s="335" t="s">
        <v>2</v>
      </c>
      <c r="AY3" s="336"/>
      <c r="BA3" s="1"/>
      <c r="BB3" s="337" t="s">
        <v>3</v>
      </c>
      <c r="BC3" s="338"/>
      <c r="BD3" s="339"/>
      <c r="BE3" s="10" t="s">
        <v>4</v>
      </c>
    </row>
    <row r="4" spans="1:59" ht="15.75" thickTop="1" x14ac:dyDescent="0.25">
      <c r="B4" s="11">
        <v>42522</v>
      </c>
      <c r="C4" s="12">
        <v>555580.5</v>
      </c>
      <c r="D4" s="40" t="s">
        <v>300</v>
      </c>
      <c r="E4" s="186">
        <v>42522</v>
      </c>
      <c r="F4" s="13">
        <v>53969.5</v>
      </c>
      <c r="G4" s="14"/>
      <c r="H4" s="187">
        <v>42522</v>
      </c>
      <c r="I4" s="15">
        <v>0</v>
      </c>
      <c r="J4" s="16"/>
      <c r="K4" s="17"/>
      <c r="L4" s="18">
        <v>0</v>
      </c>
      <c r="M4" s="18"/>
      <c r="Q4" s="11">
        <v>42522</v>
      </c>
      <c r="R4" s="12">
        <v>555580.5</v>
      </c>
      <c r="S4" s="40" t="s">
        <v>300</v>
      </c>
      <c r="T4" s="186">
        <v>42522</v>
      </c>
      <c r="U4" s="13">
        <v>53969.5</v>
      </c>
      <c r="V4" s="14"/>
      <c r="W4" s="187">
        <v>42522</v>
      </c>
      <c r="X4" s="15">
        <v>0</v>
      </c>
      <c r="Y4" s="16"/>
      <c r="Z4" s="17"/>
      <c r="AA4" s="18">
        <v>0</v>
      </c>
      <c r="AB4" s="18"/>
      <c r="AF4" s="11">
        <v>42522</v>
      </c>
      <c r="AG4" s="12">
        <v>555580.5</v>
      </c>
      <c r="AH4" s="40" t="s">
        <v>300</v>
      </c>
      <c r="AI4" s="186">
        <v>42522</v>
      </c>
      <c r="AJ4" s="13">
        <v>53969.5</v>
      </c>
      <c r="AK4" s="14"/>
      <c r="AL4" s="187">
        <v>42522</v>
      </c>
      <c r="AM4" s="15">
        <v>0</v>
      </c>
      <c r="AN4" s="16"/>
      <c r="AO4" s="17"/>
      <c r="AP4" s="18">
        <v>0</v>
      </c>
      <c r="AQ4" s="18"/>
      <c r="AR4" s="18"/>
      <c r="AU4" s="11">
        <v>42522</v>
      </c>
      <c r="AV4" s="12">
        <v>555580.5</v>
      </c>
      <c r="AW4" s="40" t="s">
        <v>300</v>
      </c>
      <c r="AX4" s="186">
        <v>42522</v>
      </c>
      <c r="AY4" s="13">
        <v>53969.5</v>
      </c>
      <c r="AZ4" s="14"/>
      <c r="BA4" s="187">
        <v>42522</v>
      </c>
      <c r="BB4" s="15">
        <v>0</v>
      </c>
      <c r="BC4" s="16"/>
      <c r="BD4" s="17"/>
      <c r="BE4" s="18">
        <v>0</v>
      </c>
    </row>
    <row r="5" spans="1:59" x14ac:dyDescent="0.25">
      <c r="B5" s="11">
        <v>42523</v>
      </c>
      <c r="C5" s="12">
        <v>38710.5</v>
      </c>
      <c r="D5" s="19" t="s">
        <v>302</v>
      </c>
      <c r="E5" s="20">
        <v>42523</v>
      </c>
      <c r="F5" s="13">
        <v>28894.5</v>
      </c>
      <c r="G5" s="21"/>
      <c r="H5" s="22">
        <v>42523</v>
      </c>
      <c r="I5" s="15">
        <v>0</v>
      </c>
      <c r="J5" s="23" t="s">
        <v>5</v>
      </c>
      <c r="K5" s="24">
        <v>649</v>
      </c>
      <c r="L5" s="18">
        <v>0</v>
      </c>
      <c r="M5" s="18"/>
      <c r="Q5" s="11">
        <v>42523</v>
      </c>
      <c r="R5" s="12">
        <v>38710.5</v>
      </c>
      <c r="S5" s="19" t="s">
        <v>302</v>
      </c>
      <c r="T5" s="20">
        <v>42523</v>
      </c>
      <c r="U5" s="13">
        <v>28894.5</v>
      </c>
      <c r="V5" s="21"/>
      <c r="W5" s="22">
        <v>42523</v>
      </c>
      <c r="X5" s="15">
        <v>0</v>
      </c>
      <c r="Y5" s="23" t="s">
        <v>5</v>
      </c>
      <c r="Z5" s="24">
        <v>649</v>
      </c>
      <c r="AA5" s="18">
        <v>0</v>
      </c>
      <c r="AB5" s="18"/>
      <c r="AF5" s="11">
        <v>42523</v>
      </c>
      <c r="AG5" s="12">
        <v>38710.5</v>
      </c>
      <c r="AH5" s="19" t="s">
        <v>302</v>
      </c>
      <c r="AI5" s="20">
        <v>42523</v>
      </c>
      <c r="AJ5" s="13">
        <v>28894.5</v>
      </c>
      <c r="AK5" s="21"/>
      <c r="AL5" s="22">
        <v>42523</v>
      </c>
      <c r="AM5" s="15">
        <v>0</v>
      </c>
      <c r="AN5" s="23" t="s">
        <v>5</v>
      </c>
      <c r="AO5" s="24">
        <v>649</v>
      </c>
      <c r="AP5" s="18">
        <v>0</v>
      </c>
      <c r="AQ5" s="18"/>
      <c r="AR5" s="18"/>
      <c r="AU5" s="11">
        <v>42523</v>
      </c>
      <c r="AV5" s="12">
        <v>38710.5</v>
      </c>
      <c r="AW5" s="19" t="s">
        <v>302</v>
      </c>
      <c r="AX5" s="20">
        <v>42523</v>
      </c>
      <c r="AY5" s="13">
        <v>28894.5</v>
      </c>
      <c r="AZ5" s="21"/>
      <c r="BA5" s="22">
        <v>42523</v>
      </c>
      <c r="BB5" s="15">
        <v>0</v>
      </c>
      <c r="BC5" s="23" t="s">
        <v>5</v>
      </c>
      <c r="BD5" s="24">
        <v>0</v>
      </c>
      <c r="BE5" s="18">
        <v>0</v>
      </c>
    </row>
    <row r="6" spans="1:59" x14ac:dyDescent="0.25">
      <c r="B6" s="11">
        <v>42524</v>
      </c>
      <c r="C6" s="12">
        <v>63149.5</v>
      </c>
      <c r="D6" s="19" t="s">
        <v>301</v>
      </c>
      <c r="E6" s="20">
        <v>42524</v>
      </c>
      <c r="F6" s="13">
        <v>63149.5</v>
      </c>
      <c r="G6" s="14"/>
      <c r="H6" s="22">
        <v>42524</v>
      </c>
      <c r="I6" s="15">
        <v>0</v>
      </c>
      <c r="J6" s="25" t="s">
        <v>6</v>
      </c>
      <c r="K6" s="24">
        <v>0</v>
      </c>
      <c r="L6" s="18">
        <v>0</v>
      </c>
      <c r="M6" s="18"/>
      <c r="Q6" s="11">
        <v>42524</v>
      </c>
      <c r="R6" s="12">
        <v>63149.5</v>
      </c>
      <c r="S6" s="19" t="s">
        <v>301</v>
      </c>
      <c r="T6" s="20">
        <v>42524</v>
      </c>
      <c r="U6" s="13">
        <v>63149.5</v>
      </c>
      <c r="V6" s="14"/>
      <c r="W6" s="22">
        <v>42524</v>
      </c>
      <c r="X6" s="15">
        <v>0</v>
      </c>
      <c r="Y6" s="25" t="s">
        <v>6</v>
      </c>
      <c r="Z6" s="24">
        <v>0</v>
      </c>
      <c r="AA6" s="18">
        <v>0</v>
      </c>
      <c r="AB6" s="18"/>
      <c r="AF6" s="11">
        <v>42524</v>
      </c>
      <c r="AG6" s="12">
        <v>63149.5</v>
      </c>
      <c r="AH6" s="19" t="s">
        <v>301</v>
      </c>
      <c r="AI6" s="20">
        <v>42524</v>
      </c>
      <c r="AJ6" s="13">
        <v>63149.5</v>
      </c>
      <c r="AK6" s="14"/>
      <c r="AL6" s="22">
        <v>42524</v>
      </c>
      <c r="AM6" s="15">
        <v>0</v>
      </c>
      <c r="AN6" s="25" t="s">
        <v>6</v>
      </c>
      <c r="AO6" s="24">
        <v>0</v>
      </c>
      <c r="AP6" s="18">
        <v>0</v>
      </c>
      <c r="AQ6" s="18"/>
      <c r="AR6" s="18"/>
      <c r="AU6" s="11">
        <v>42524</v>
      </c>
      <c r="AV6" s="12">
        <v>63149.5</v>
      </c>
      <c r="AW6" s="19" t="s">
        <v>301</v>
      </c>
      <c r="AX6" s="20">
        <v>42524</v>
      </c>
      <c r="AY6" s="13">
        <v>63149.5</v>
      </c>
      <c r="AZ6" s="14"/>
      <c r="BA6" s="22">
        <v>42524</v>
      </c>
      <c r="BB6" s="15">
        <v>0</v>
      </c>
      <c r="BC6" s="270" t="s">
        <v>6</v>
      </c>
      <c r="BD6" s="24">
        <v>0</v>
      </c>
      <c r="BE6" s="18">
        <v>0</v>
      </c>
    </row>
    <row r="7" spans="1:59" x14ac:dyDescent="0.25">
      <c r="B7" s="11">
        <v>42525</v>
      </c>
      <c r="C7" s="12">
        <v>136218</v>
      </c>
      <c r="D7" s="26" t="s">
        <v>303</v>
      </c>
      <c r="E7" s="20">
        <v>42525</v>
      </c>
      <c r="F7" s="13">
        <v>136318</v>
      </c>
      <c r="G7" s="14"/>
      <c r="H7" s="22">
        <v>42525</v>
      </c>
      <c r="I7" s="15">
        <v>100</v>
      </c>
      <c r="J7" s="23" t="s">
        <v>7</v>
      </c>
      <c r="K7" s="24">
        <f>7187.5+7187.5+7187.5+7187.5</f>
        <v>28750</v>
      </c>
      <c r="L7" s="18">
        <v>0</v>
      </c>
      <c r="M7" s="18"/>
      <c r="Q7" s="11">
        <v>42525</v>
      </c>
      <c r="R7" s="12">
        <v>136218</v>
      </c>
      <c r="S7" s="26" t="s">
        <v>303</v>
      </c>
      <c r="T7" s="20">
        <v>42525</v>
      </c>
      <c r="U7" s="13">
        <v>136318</v>
      </c>
      <c r="V7" s="14"/>
      <c r="W7" s="22">
        <v>42525</v>
      </c>
      <c r="X7" s="15">
        <v>100</v>
      </c>
      <c r="Y7" s="23" t="s">
        <v>7</v>
      </c>
      <c r="Z7" s="24">
        <f>7187.5+7187.5+7187.5</f>
        <v>21562.5</v>
      </c>
      <c r="AA7" s="18">
        <v>0</v>
      </c>
      <c r="AB7" s="18"/>
      <c r="AF7" s="11">
        <v>42525</v>
      </c>
      <c r="AG7" s="12">
        <v>136218</v>
      </c>
      <c r="AH7" s="26" t="s">
        <v>303</v>
      </c>
      <c r="AI7" s="20">
        <v>42525</v>
      </c>
      <c r="AJ7" s="13">
        <v>136318</v>
      </c>
      <c r="AK7" s="14"/>
      <c r="AL7" s="22">
        <v>42525</v>
      </c>
      <c r="AM7" s="15">
        <v>100</v>
      </c>
      <c r="AN7" s="23" t="s">
        <v>7</v>
      </c>
      <c r="AO7" s="24">
        <f>7187.5+7187.5</f>
        <v>14375</v>
      </c>
      <c r="AP7" s="18">
        <v>0</v>
      </c>
      <c r="AQ7" s="18"/>
      <c r="AR7" s="18"/>
      <c r="AU7" s="11">
        <v>42525</v>
      </c>
      <c r="AV7" s="12">
        <v>136218</v>
      </c>
      <c r="AW7" s="26" t="s">
        <v>303</v>
      </c>
      <c r="AX7" s="20">
        <v>42525</v>
      </c>
      <c r="AY7" s="13">
        <v>136318</v>
      </c>
      <c r="AZ7" s="14"/>
      <c r="BA7" s="22">
        <v>42525</v>
      </c>
      <c r="BB7" s="15">
        <v>100</v>
      </c>
      <c r="BC7" s="23" t="s">
        <v>7</v>
      </c>
      <c r="BD7" s="24">
        <f>7187.5</f>
        <v>7187.5</v>
      </c>
      <c r="BE7" s="18">
        <v>0</v>
      </c>
    </row>
    <row r="8" spans="1:59" x14ac:dyDescent="0.25">
      <c r="B8" s="11">
        <v>42526</v>
      </c>
      <c r="C8" s="12">
        <v>53090.1</v>
      </c>
      <c r="D8" s="19" t="s">
        <v>304</v>
      </c>
      <c r="E8" s="20">
        <v>42526</v>
      </c>
      <c r="F8" s="13">
        <v>53156</v>
      </c>
      <c r="G8" s="14"/>
      <c r="H8" s="22">
        <v>42526</v>
      </c>
      <c r="I8" s="15">
        <v>66</v>
      </c>
      <c r="J8" s="23" t="s">
        <v>309</v>
      </c>
      <c r="K8" s="13">
        <v>5820.79</v>
      </c>
      <c r="L8" s="18">
        <v>0</v>
      </c>
      <c r="M8" s="18"/>
      <c r="Q8" s="11">
        <v>42526</v>
      </c>
      <c r="R8" s="12">
        <v>53090.1</v>
      </c>
      <c r="S8" s="19" t="s">
        <v>304</v>
      </c>
      <c r="T8" s="20">
        <v>42526</v>
      </c>
      <c r="U8" s="13">
        <v>53156</v>
      </c>
      <c r="V8" s="14"/>
      <c r="W8" s="22">
        <v>42526</v>
      </c>
      <c r="X8" s="15">
        <v>66</v>
      </c>
      <c r="Y8" s="23" t="s">
        <v>309</v>
      </c>
      <c r="Z8" s="13">
        <v>5820.79</v>
      </c>
      <c r="AA8" s="18">
        <v>0</v>
      </c>
      <c r="AB8" s="18"/>
      <c r="AF8" s="11">
        <v>42526</v>
      </c>
      <c r="AG8" s="12">
        <v>53090.1</v>
      </c>
      <c r="AH8" s="19" t="s">
        <v>304</v>
      </c>
      <c r="AI8" s="20">
        <v>42526</v>
      </c>
      <c r="AJ8" s="13">
        <v>53156</v>
      </c>
      <c r="AK8" s="14"/>
      <c r="AL8" s="22">
        <v>42526</v>
      </c>
      <c r="AM8" s="15">
        <v>66</v>
      </c>
      <c r="AN8" s="23" t="s">
        <v>309</v>
      </c>
      <c r="AO8" s="13">
        <v>5820.79</v>
      </c>
      <c r="AP8" s="18">
        <v>0</v>
      </c>
      <c r="AQ8" s="18"/>
      <c r="AR8" s="18"/>
      <c r="AU8" s="11">
        <v>42526</v>
      </c>
      <c r="AV8" s="12">
        <v>53090.1</v>
      </c>
      <c r="AW8" s="19" t="s">
        <v>304</v>
      </c>
      <c r="AX8" s="20">
        <v>42526</v>
      </c>
      <c r="AY8" s="13">
        <v>53156</v>
      </c>
      <c r="AZ8" s="14"/>
      <c r="BA8" s="22">
        <v>42526</v>
      </c>
      <c r="BB8" s="15">
        <v>66</v>
      </c>
      <c r="BC8" s="23" t="s">
        <v>309</v>
      </c>
      <c r="BD8" s="13">
        <v>5820.79</v>
      </c>
      <c r="BE8" s="18">
        <v>0</v>
      </c>
    </row>
    <row r="9" spans="1:59" x14ac:dyDescent="0.25">
      <c r="B9" s="11">
        <v>42527</v>
      </c>
      <c r="C9" s="12">
        <v>97321</v>
      </c>
      <c r="D9" s="26" t="s">
        <v>313</v>
      </c>
      <c r="E9" s="20">
        <v>42527</v>
      </c>
      <c r="F9" s="13">
        <v>97321.1</v>
      </c>
      <c r="G9" s="14"/>
      <c r="H9" s="22">
        <v>42527</v>
      </c>
      <c r="I9" s="15">
        <v>0</v>
      </c>
      <c r="J9" s="23" t="s">
        <v>310</v>
      </c>
      <c r="K9" s="13">
        <v>6523.76</v>
      </c>
      <c r="L9" s="18">
        <v>0</v>
      </c>
      <c r="M9" s="18"/>
      <c r="Q9" s="11">
        <v>42527</v>
      </c>
      <c r="R9" s="12">
        <v>97321</v>
      </c>
      <c r="S9" s="26" t="s">
        <v>313</v>
      </c>
      <c r="T9" s="20">
        <v>42527</v>
      </c>
      <c r="U9" s="13">
        <v>97321.1</v>
      </c>
      <c r="V9" s="14"/>
      <c r="W9" s="22">
        <v>42527</v>
      </c>
      <c r="X9" s="15">
        <v>0</v>
      </c>
      <c r="Y9" s="23" t="s">
        <v>310</v>
      </c>
      <c r="Z9" s="13">
        <v>6523.76</v>
      </c>
      <c r="AA9" s="18">
        <v>0</v>
      </c>
      <c r="AB9" s="18"/>
      <c r="AF9" s="11">
        <v>42527</v>
      </c>
      <c r="AG9" s="12">
        <v>97321</v>
      </c>
      <c r="AH9" s="26" t="s">
        <v>313</v>
      </c>
      <c r="AI9" s="20">
        <v>42527</v>
      </c>
      <c r="AJ9" s="13">
        <v>97321.1</v>
      </c>
      <c r="AK9" s="14"/>
      <c r="AL9" s="22">
        <v>42527</v>
      </c>
      <c r="AM9" s="15">
        <v>0</v>
      </c>
      <c r="AN9" s="23" t="s">
        <v>310</v>
      </c>
      <c r="AO9" s="13">
        <v>6523.76</v>
      </c>
      <c r="AP9" s="18">
        <v>0</v>
      </c>
      <c r="AQ9" s="18"/>
      <c r="AR9" s="18"/>
      <c r="AU9" s="11">
        <v>42527</v>
      </c>
      <c r="AV9" s="12">
        <v>97321</v>
      </c>
      <c r="AW9" s="26" t="s">
        <v>313</v>
      </c>
      <c r="AX9" s="20">
        <v>42527</v>
      </c>
      <c r="AY9" s="13">
        <v>97321.1</v>
      </c>
      <c r="AZ9" s="14"/>
      <c r="BA9" s="22">
        <v>42527</v>
      </c>
      <c r="BB9" s="15">
        <v>0</v>
      </c>
      <c r="BC9" s="23" t="s">
        <v>310</v>
      </c>
      <c r="BD9" s="13">
        <v>0</v>
      </c>
      <c r="BE9" s="18">
        <v>0</v>
      </c>
    </row>
    <row r="10" spans="1:59" x14ac:dyDescent="0.25">
      <c r="A10" s="27"/>
      <c r="B10" s="11">
        <v>42528</v>
      </c>
      <c r="C10" s="12">
        <v>97827.5</v>
      </c>
      <c r="D10" s="26" t="s">
        <v>313</v>
      </c>
      <c r="E10" s="20">
        <v>42528</v>
      </c>
      <c r="F10" s="13">
        <v>97827.1</v>
      </c>
      <c r="G10" s="14"/>
      <c r="H10" s="22">
        <v>42528</v>
      </c>
      <c r="I10" s="15">
        <v>0</v>
      </c>
      <c r="J10" s="23" t="s">
        <v>311</v>
      </c>
      <c r="K10" s="13">
        <v>6523.76</v>
      </c>
      <c r="L10" s="18">
        <v>0</v>
      </c>
      <c r="M10" s="18"/>
      <c r="P10" s="27"/>
      <c r="Q10" s="11">
        <v>42528</v>
      </c>
      <c r="R10" s="12">
        <v>97827.5</v>
      </c>
      <c r="S10" s="26" t="s">
        <v>313</v>
      </c>
      <c r="T10" s="20">
        <v>42528</v>
      </c>
      <c r="U10" s="13">
        <v>97827.1</v>
      </c>
      <c r="V10" s="14"/>
      <c r="W10" s="22">
        <v>42528</v>
      </c>
      <c r="X10" s="15">
        <v>0</v>
      </c>
      <c r="Y10" s="23" t="s">
        <v>311</v>
      </c>
      <c r="Z10" s="13">
        <v>6523.76</v>
      </c>
      <c r="AA10" s="18">
        <v>0</v>
      </c>
      <c r="AB10" s="18"/>
      <c r="AE10" s="27"/>
      <c r="AF10" s="11">
        <v>42528</v>
      </c>
      <c r="AG10" s="12">
        <v>97827.5</v>
      </c>
      <c r="AH10" s="26" t="s">
        <v>313</v>
      </c>
      <c r="AI10" s="20">
        <v>42528</v>
      </c>
      <c r="AJ10" s="230">
        <v>97827.1</v>
      </c>
      <c r="AK10" s="14"/>
      <c r="AL10" s="22">
        <v>42528</v>
      </c>
      <c r="AM10" s="15">
        <v>0</v>
      </c>
      <c r="AN10" s="23" t="s">
        <v>311</v>
      </c>
      <c r="AO10" s="13">
        <v>0</v>
      </c>
      <c r="AP10" s="18">
        <v>0</v>
      </c>
      <c r="AQ10" s="18"/>
      <c r="AR10" s="18"/>
      <c r="AT10" s="27"/>
      <c r="AU10" s="11">
        <v>42528</v>
      </c>
      <c r="AV10" s="12">
        <v>97827.5</v>
      </c>
      <c r="AW10" s="26" t="s">
        <v>313</v>
      </c>
      <c r="AX10" s="20">
        <v>42528</v>
      </c>
      <c r="AY10" s="230">
        <v>97827.1</v>
      </c>
      <c r="AZ10" s="14"/>
      <c r="BA10" s="22">
        <v>42528</v>
      </c>
      <c r="BB10" s="15">
        <v>0</v>
      </c>
      <c r="BC10" s="23" t="s">
        <v>311</v>
      </c>
      <c r="BD10" s="13">
        <v>0</v>
      </c>
      <c r="BE10" s="18">
        <v>0</v>
      </c>
    </row>
    <row r="11" spans="1:59" x14ac:dyDescent="0.25">
      <c r="B11" s="11">
        <v>42529</v>
      </c>
      <c r="C11" s="12">
        <v>186091.5</v>
      </c>
      <c r="D11" s="26" t="s">
        <v>318</v>
      </c>
      <c r="E11" s="20">
        <v>42529</v>
      </c>
      <c r="F11" s="13">
        <v>186891.5</v>
      </c>
      <c r="G11" s="14"/>
      <c r="H11" s="22">
        <v>42529</v>
      </c>
      <c r="I11" s="15">
        <v>0</v>
      </c>
      <c r="J11" s="23" t="s">
        <v>312</v>
      </c>
      <c r="K11" s="13">
        <v>6721.54</v>
      </c>
      <c r="L11" s="18">
        <v>0</v>
      </c>
      <c r="M11" s="18"/>
      <c r="Q11" s="11">
        <v>42529</v>
      </c>
      <c r="R11" s="12">
        <v>186091.5</v>
      </c>
      <c r="S11" s="26" t="s">
        <v>318</v>
      </c>
      <c r="T11" s="20">
        <v>42529</v>
      </c>
      <c r="U11" s="13">
        <v>186891.5</v>
      </c>
      <c r="V11" s="14"/>
      <c r="W11" s="22">
        <v>42529</v>
      </c>
      <c r="X11" s="15">
        <v>0</v>
      </c>
      <c r="Y11" s="23" t="s">
        <v>312</v>
      </c>
      <c r="Z11" s="13">
        <v>0</v>
      </c>
      <c r="AA11" s="18">
        <v>0</v>
      </c>
      <c r="AB11" s="18"/>
      <c r="AF11" s="11">
        <v>42529</v>
      </c>
      <c r="AG11" s="12">
        <v>186091.5</v>
      </c>
      <c r="AH11" s="26" t="s">
        <v>318</v>
      </c>
      <c r="AI11" s="20">
        <v>42529</v>
      </c>
      <c r="AJ11" s="13">
        <v>186891.5</v>
      </c>
      <c r="AK11" s="14"/>
      <c r="AL11" s="22">
        <v>42529</v>
      </c>
      <c r="AM11" s="15">
        <v>0</v>
      </c>
      <c r="AN11" s="23" t="s">
        <v>312</v>
      </c>
      <c r="AO11" s="13">
        <v>0</v>
      </c>
      <c r="AP11" s="18">
        <v>0</v>
      </c>
      <c r="AQ11" s="312">
        <f>50000+34638</f>
        <v>84638</v>
      </c>
      <c r="AR11" s="18"/>
      <c r="AU11" s="11">
        <v>42529</v>
      </c>
      <c r="AV11" s="12"/>
      <c r="AW11" s="26"/>
      <c r="AX11" s="20">
        <v>42529</v>
      </c>
      <c r="AY11" s="13"/>
      <c r="AZ11" s="14"/>
      <c r="BA11" s="22">
        <v>42529</v>
      </c>
      <c r="BB11" s="15"/>
      <c r="BC11" s="23" t="s">
        <v>312</v>
      </c>
      <c r="BD11" s="13">
        <v>0</v>
      </c>
      <c r="BE11" s="18">
        <v>0</v>
      </c>
    </row>
    <row r="12" spans="1:59" x14ac:dyDescent="0.25">
      <c r="A12" s="28"/>
      <c r="B12" s="11">
        <v>42530</v>
      </c>
      <c r="C12" s="12">
        <v>51932.2</v>
      </c>
      <c r="D12" s="19" t="s">
        <v>321</v>
      </c>
      <c r="E12" s="20">
        <v>42530</v>
      </c>
      <c r="F12" s="13">
        <v>59647.1</v>
      </c>
      <c r="G12" s="14"/>
      <c r="H12" s="22">
        <v>42530</v>
      </c>
      <c r="I12" s="15">
        <v>0</v>
      </c>
      <c r="J12" s="23" t="s">
        <v>117</v>
      </c>
      <c r="K12" s="13">
        <v>0</v>
      </c>
      <c r="L12" s="18">
        <v>7715</v>
      </c>
      <c r="M12" s="18"/>
      <c r="P12" s="28"/>
      <c r="Q12" s="11">
        <v>42530</v>
      </c>
      <c r="R12" s="12">
        <v>51932.2</v>
      </c>
      <c r="S12" s="19" t="s">
        <v>321</v>
      </c>
      <c r="T12" s="20">
        <v>42530</v>
      </c>
      <c r="U12" s="13">
        <v>59647.1</v>
      </c>
      <c r="V12" s="14"/>
      <c r="W12" s="22">
        <v>42530</v>
      </c>
      <c r="X12" s="15">
        <v>0</v>
      </c>
      <c r="Y12" s="23" t="s">
        <v>117</v>
      </c>
      <c r="Z12" s="13">
        <v>0</v>
      </c>
      <c r="AA12" s="18">
        <v>7715</v>
      </c>
      <c r="AB12" s="18"/>
      <c r="AE12" s="28"/>
      <c r="AF12" s="11">
        <v>42530</v>
      </c>
      <c r="AG12" s="12">
        <v>51932.2</v>
      </c>
      <c r="AH12" s="19" t="s">
        <v>321</v>
      </c>
      <c r="AI12" s="20">
        <v>42530</v>
      </c>
      <c r="AJ12" s="13">
        <v>59647.1</v>
      </c>
      <c r="AK12" s="14"/>
      <c r="AL12" s="22">
        <v>42530</v>
      </c>
      <c r="AM12" s="15">
        <v>0</v>
      </c>
      <c r="AN12" s="23" t="s">
        <v>117</v>
      </c>
      <c r="AO12" s="13">
        <v>0</v>
      </c>
      <c r="AP12" s="18">
        <v>0</v>
      </c>
      <c r="AQ12" s="312">
        <v>26407</v>
      </c>
      <c r="AR12" s="18"/>
      <c r="AT12" s="28"/>
      <c r="AU12" s="11">
        <v>42530</v>
      </c>
      <c r="AV12" s="12"/>
      <c r="AW12" s="19"/>
      <c r="AX12" s="20">
        <v>42530</v>
      </c>
      <c r="AY12" s="13"/>
      <c r="AZ12" s="14"/>
      <c r="BA12" s="22">
        <v>42530</v>
      </c>
      <c r="BB12" s="15"/>
      <c r="BC12" s="23" t="s">
        <v>117</v>
      </c>
      <c r="BD12" s="13">
        <v>0</v>
      </c>
      <c r="BE12" s="18">
        <v>0</v>
      </c>
    </row>
    <row r="13" spans="1:59" x14ac:dyDescent="0.25">
      <c r="A13" s="28"/>
      <c r="B13" s="11">
        <v>42531</v>
      </c>
      <c r="C13" s="12">
        <v>77837</v>
      </c>
      <c r="D13" s="40" t="s">
        <v>322</v>
      </c>
      <c r="E13" s="20">
        <v>42531</v>
      </c>
      <c r="F13" s="13">
        <v>77837</v>
      </c>
      <c r="G13" s="14"/>
      <c r="H13" s="22">
        <v>42531</v>
      </c>
      <c r="I13" s="15">
        <v>0</v>
      </c>
      <c r="J13" s="30" t="s">
        <v>8</v>
      </c>
      <c r="K13" s="13">
        <v>800</v>
      </c>
      <c r="L13" s="18">
        <v>0</v>
      </c>
      <c r="M13" s="18"/>
      <c r="P13" s="28"/>
      <c r="Q13" s="11">
        <v>42531</v>
      </c>
      <c r="R13" s="12">
        <v>77837</v>
      </c>
      <c r="S13" s="40" t="s">
        <v>322</v>
      </c>
      <c r="T13" s="20">
        <v>42531</v>
      </c>
      <c r="U13" s="13">
        <v>77837</v>
      </c>
      <c r="V13" s="14"/>
      <c r="W13" s="22">
        <v>42531</v>
      </c>
      <c r="X13" s="15">
        <v>0</v>
      </c>
      <c r="Y13" s="30" t="s">
        <v>8</v>
      </c>
      <c r="Z13" s="13">
        <v>800</v>
      </c>
      <c r="AA13" s="18">
        <v>0</v>
      </c>
      <c r="AB13" s="18"/>
      <c r="AE13" s="28"/>
      <c r="AF13" s="11">
        <v>42531</v>
      </c>
      <c r="AG13" s="12">
        <v>77837</v>
      </c>
      <c r="AH13" s="40" t="s">
        <v>322</v>
      </c>
      <c r="AI13" s="20">
        <v>42531</v>
      </c>
      <c r="AJ13" s="13">
        <v>77837</v>
      </c>
      <c r="AK13" s="14"/>
      <c r="AL13" s="22">
        <v>42531</v>
      </c>
      <c r="AM13" s="15">
        <v>0</v>
      </c>
      <c r="AN13" s="30" t="s">
        <v>8</v>
      </c>
      <c r="AO13" s="13">
        <v>800</v>
      </c>
      <c r="AP13" s="18">
        <v>0</v>
      </c>
      <c r="AQ13" s="312">
        <f>35000+42837</f>
        <v>77837</v>
      </c>
      <c r="AR13" s="18"/>
      <c r="AT13" s="28"/>
      <c r="AU13" s="11">
        <v>42531</v>
      </c>
      <c r="AV13" s="12"/>
      <c r="AW13" s="40"/>
      <c r="AX13" s="20">
        <v>42531</v>
      </c>
      <c r="AY13" s="13"/>
      <c r="AZ13" s="14"/>
      <c r="BA13" s="22">
        <v>42531</v>
      </c>
      <c r="BB13" s="15"/>
      <c r="BC13" s="30" t="s">
        <v>8</v>
      </c>
      <c r="BD13" s="13">
        <v>0</v>
      </c>
      <c r="BE13" s="18">
        <v>0</v>
      </c>
      <c r="BG13" s="67"/>
    </row>
    <row r="14" spans="1:59" x14ac:dyDescent="0.25">
      <c r="B14" s="11">
        <v>42532</v>
      </c>
      <c r="C14" s="12">
        <v>128846</v>
      </c>
      <c r="D14" s="19" t="s">
        <v>323</v>
      </c>
      <c r="E14" s="20">
        <v>42532</v>
      </c>
      <c r="F14" s="13">
        <v>128846</v>
      </c>
      <c r="G14" s="14"/>
      <c r="H14" s="22">
        <v>42532</v>
      </c>
      <c r="I14" s="15">
        <v>0</v>
      </c>
      <c r="J14" s="31">
        <v>42529</v>
      </c>
      <c r="K14" s="13">
        <v>0</v>
      </c>
      <c r="L14" s="18">
        <v>0</v>
      </c>
      <c r="M14" s="18"/>
      <c r="Q14" s="11">
        <v>42532</v>
      </c>
      <c r="R14" s="12">
        <v>128846</v>
      </c>
      <c r="S14" s="19" t="s">
        <v>323</v>
      </c>
      <c r="T14" s="20">
        <v>42532</v>
      </c>
      <c r="U14" s="13">
        <v>128846</v>
      </c>
      <c r="V14" s="14"/>
      <c r="W14" s="22">
        <v>42532</v>
      </c>
      <c r="X14" s="15">
        <v>0</v>
      </c>
      <c r="Y14" s="31">
        <v>42529</v>
      </c>
      <c r="Z14" s="13">
        <v>0</v>
      </c>
      <c r="AA14" s="18">
        <v>0</v>
      </c>
      <c r="AB14" s="18"/>
      <c r="AF14" s="11">
        <v>42532</v>
      </c>
      <c r="AG14" s="12">
        <v>128846</v>
      </c>
      <c r="AH14" s="19" t="s">
        <v>323</v>
      </c>
      <c r="AI14" s="20">
        <v>42532</v>
      </c>
      <c r="AJ14" s="13">
        <v>128846</v>
      </c>
      <c r="AK14" s="14"/>
      <c r="AL14" s="22">
        <v>42532</v>
      </c>
      <c r="AM14" s="15">
        <v>0</v>
      </c>
      <c r="AN14" s="31">
        <v>42529</v>
      </c>
      <c r="AO14" s="13">
        <v>0</v>
      </c>
      <c r="AP14" s="18">
        <v>0</v>
      </c>
      <c r="AQ14" s="312">
        <f>50000+40865+35701</f>
        <v>126566</v>
      </c>
      <c r="AR14" s="18"/>
      <c r="AU14" s="11">
        <v>42532</v>
      </c>
      <c r="AV14" s="12"/>
      <c r="AW14" s="19"/>
      <c r="AX14" s="20">
        <v>42532</v>
      </c>
      <c r="AY14" s="13"/>
      <c r="AZ14" s="14"/>
      <c r="BA14" s="22">
        <v>42532</v>
      </c>
      <c r="BB14" s="15"/>
      <c r="BC14" s="31"/>
      <c r="BD14" s="13">
        <v>0</v>
      </c>
      <c r="BE14" s="18">
        <v>0</v>
      </c>
      <c r="BF14" s="33"/>
      <c r="BG14" s="308"/>
    </row>
    <row r="15" spans="1:59" x14ac:dyDescent="0.25">
      <c r="A15" s="28"/>
      <c r="B15" s="11">
        <v>42533</v>
      </c>
      <c r="C15" s="12">
        <v>56981.5</v>
      </c>
      <c r="D15" s="19" t="s">
        <v>322</v>
      </c>
      <c r="E15" s="20">
        <v>42533</v>
      </c>
      <c r="F15" s="13">
        <v>56981.5</v>
      </c>
      <c r="G15" s="14"/>
      <c r="H15" s="22">
        <v>42533</v>
      </c>
      <c r="I15" s="15">
        <v>0</v>
      </c>
      <c r="J15" s="23" t="s">
        <v>225</v>
      </c>
      <c r="K15" s="13">
        <v>0</v>
      </c>
      <c r="L15" s="18">
        <v>0</v>
      </c>
      <c r="M15" s="18"/>
      <c r="P15" s="28"/>
      <c r="Q15" s="11">
        <v>42533</v>
      </c>
      <c r="R15" s="12">
        <v>56981.5</v>
      </c>
      <c r="S15" s="19" t="s">
        <v>322</v>
      </c>
      <c r="T15" s="20">
        <v>42533</v>
      </c>
      <c r="U15" s="13">
        <v>56981.5</v>
      </c>
      <c r="V15" s="14"/>
      <c r="W15" s="22">
        <v>42533</v>
      </c>
      <c r="X15" s="15">
        <v>0</v>
      </c>
      <c r="Y15" s="23" t="s">
        <v>225</v>
      </c>
      <c r="Z15" s="13">
        <v>0</v>
      </c>
      <c r="AA15" s="18">
        <v>0</v>
      </c>
      <c r="AB15" s="18"/>
      <c r="AE15" s="28"/>
      <c r="AF15" s="11">
        <v>42533</v>
      </c>
      <c r="AG15" s="12">
        <v>56981.5</v>
      </c>
      <c r="AH15" s="19" t="s">
        <v>322</v>
      </c>
      <c r="AI15" s="20">
        <v>42533</v>
      </c>
      <c r="AJ15" s="13">
        <v>56981.5</v>
      </c>
      <c r="AK15" s="14"/>
      <c r="AL15" s="22">
        <v>42533</v>
      </c>
      <c r="AM15" s="15">
        <v>0</v>
      </c>
      <c r="AN15" s="23" t="s">
        <v>225</v>
      </c>
      <c r="AO15" s="13">
        <v>0</v>
      </c>
      <c r="AP15" s="18">
        <v>0</v>
      </c>
      <c r="AQ15" s="312">
        <f>10781+25000+21200.5</f>
        <v>56981.5</v>
      </c>
      <c r="AR15" s="18"/>
      <c r="AT15" s="28"/>
      <c r="AU15" s="11">
        <v>42533</v>
      </c>
      <c r="AV15" s="12"/>
      <c r="AW15" s="19"/>
      <c r="AX15" s="20">
        <v>42533</v>
      </c>
      <c r="AY15" s="13"/>
      <c r="AZ15" s="14"/>
      <c r="BA15" s="22">
        <v>42533</v>
      </c>
      <c r="BB15" s="15"/>
      <c r="BC15" s="23" t="s">
        <v>225</v>
      </c>
      <c r="BD15" s="13">
        <v>0</v>
      </c>
      <c r="BE15" s="18">
        <v>0</v>
      </c>
      <c r="BF15" s="33"/>
      <c r="BG15" s="216"/>
    </row>
    <row r="16" spans="1:59" x14ac:dyDescent="0.25">
      <c r="A16" s="28"/>
      <c r="B16" s="11">
        <v>42534</v>
      </c>
      <c r="C16" s="12">
        <v>105594</v>
      </c>
      <c r="D16" s="19" t="s">
        <v>325</v>
      </c>
      <c r="E16" s="20">
        <v>42534</v>
      </c>
      <c r="F16" s="13">
        <v>105594</v>
      </c>
      <c r="G16" s="14"/>
      <c r="H16" s="22">
        <v>42534</v>
      </c>
      <c r="I16" s="15">
        <v>0</v>
      </c>
      <c r="J16" s="34"/>
      <c r="K16" s="13">
        <v>0</v>
      </c>
      <c r="L16" s="18">
        <v>0</v>
      </c>
      <c r="M16" s="18"/>
      <c r="P16" s="28"/>
      <c r="Q16" s="11">
        <v>42534</v>
      </c>
      <c r="R16" s="12">
        <v>105594</v>
      </c>
      <c r="S16" s="19" t="s">
        <v>325</v>
      </c>
      <c r="T16" s="20">
        <v>42534</v>
      </c>
      <c r="U16" s="13">
        <v>105594</v>
      </c>
      <c r="V16" s="14"/>
      <c r="W16" s="22">
        <v>42534</v>
      </c>
      <c r="X16" s="15">
        <v>0</v>
      </c>
      <c r="Y16" s="34"/>
      <c r="Z16" s="13">
        <v>0</v>
      </c>
      <c r="AA16" s="18">
        <v>0</v>
      </c>
      <c r="AB16" s="18"/>
      <c r="AE16" s="28"/>
      <c r="AF16" s="11">
        <v>42534</v>
      </c>
      <c r="AG16" s="12">
        <v>105594</v>
      </c>
      <c r="AH16" s="19" t="s">
        <v>325</v>
      </c>
      <c r="AI16" s="20">
        <v>42534</v>
      </c>
      <c r="AJ16" s="13">
        <v>105594</v>
      </c>
      <c r="AK16" s="14"/>
      <c r="AL16" s="22">
        <v>42534</v>
      </c>
      <c r="AM16" s="15">
        <v>0</v>
      </c>
      <c r="AN16" s="34"/>
      <c r="AO16" s="13">
        <v>0</v>
      </c>
      <c r="AP16" s="18">
        <v>0</v>
      </c>
      <c r="AQ16" s="312">
        <f>18053+4358+42000+23000+9909</f>
        <v>97320</v>
      </c>
      <c r="AR16" s="18"/>
      <c r="AT16" s="28"/>
      <c r="AU16" s="11">
        <v>42534</v>
      </c>
      <c r="AV16" s="12"/>
      <c r="AW16" s="19"/>
      <c r="AX16" s="20">
        <v>42534</v>
      </c>
      <c r="AY16" s="13"/>
      <c r="AZ16" s="14"/>
      <c r="BA16" s="22">
        <v>42534</v>
      </c>
      <c r="BB16" s="15"/>
      <c r="BC16" s="34"/>
      <c r="BD16" s="13">
        <v>0</v>
      </c>
      <c r="BE16" s="18">
        <v>0</v>
      </c>
      <c r="BG16" s="216"/>
    </row>
    <row r="17" spans="1:59" x14ac:dyDescent="0.25">
      <c r="A17" s="28"/>
      <c r="B17" s="11">
        <v>42535</v>
      </c>
      <c r="C17" s="12">
        <v>84205</v>
      </c>
      <c r="D17" s="19" t="s">
        <v>326</v>
      </c>
      <c r="E17" s="20">
        <v>42535</v>
      </c>
      <c r="F17" s="13">
        <v>84205</v>
      </c>
      <c r="G17" s="14"/>
      <c r="H17" s="22">
        <v>42535</v>
      </c>
      <c r="I17" s="15">
        <v>0</v>
      </c>
      <c r="J17" s="35"/>
      <c r="K17" s="13">
        <v>0</v>
      </c>
      <c r="L17" s="18">
        <v>0</v>
      </c>
      <c r="M17" s="18"/>
      <c r="P17" s="28"/>
      <c r="Q17" s="11">
        <v>42535</v>
      </c>
      <c r="R17" s="12">
        <v>84205</v>
      </c>
      <c r="S17" s="19" t="s">
        <v>326</v>
      </c>
      <c r="T17" s="20">
        <v>42535</v>
      </c>
      <c r="U17" s="13">
        <v>84205</v>
      </c>
      <c r="V17" s="14"/>
      <c r="W17" s="22">
        <v>42535</v>
      </c>
      <c r="X17" s="15">
        <v>0</v>
      </c>
      <c r="Y17" s="35"/>
      <c r="Z17" s="13">
        <v>0</v>
      </c>
      <c r="AA17" s="18">
        <v>0</v>
      </c>
      <c r="AB17" s="18"/>
      <c r="AE17" s="28"/>
      <c r="AF17" s="11">
        <v>42535</v>
      </c>
      <c r="AG17" s="12">
        <v>84205</v>
      </c>
      <c r="AH17" s="19" t="s">
        <v>326</v>
      </c>
      <c r="AI17" s="20">
        <v>42535</v>
      </c>
      <c r="AJ17" s="13">
        <v>84205</v>
      </c>
      <c r="AK17" s="14"/>
      <c r="AL17" s="22">
        <v>42535</v>
      </c>
      <c r="AM17" s="15">
        <v>0</v>
      </c>
      <c r="AN17" s="35"/>
      <c r="AO17" s="13">
        <v>0</v>
      </c>
      <c r="AP17" s="18">
        <v>0</v>
      </c>
      <c r="AQ17" s="312">
        <f>25000+20175+36500</f>
        <v>81675</v>
      </c>
      <c r="AR17" s="18"/>
      <c r="AT17" s="28"/>
      <c r="AU17" s="11">
        <v>42535</v>
      </c>
      <c r="AV17" s="12"/>
      <c r="AW17" s="19"/>
      <c r="AX17" s="20">
        <v>42535</v>
      </c>
      <c r="AY17" s="13"/>
      <c r="AZ17" s="14"/>
      <c r="BA17" s="22">
        <v>42535</v>
      </c>
      <c r="BB17" s="15"/>
      <c r="BC17" s="35" t="s">
        <v>210</v>
      </c>
      <c r="BD17" s="13">
        <v>0</v>
      </c>
      <c r="BE17" s="18">
        <v>0</v>
      </c>
      <c r="BF17" s="81"/>
      <c r="BG17" s="216"/>
    </row>
    <row r="18" spans="1:59" x14ac:dyDescent="0.25">
      <c r="B18" s="11">
        <v>42536</v>
      </c>
      <c r="C18" s="12">
        <v>42684.78</v>
      </c>
      <c r="D18" s="19" t="s">
        <v>331</v>
      </c>
      <c r="E18" s="20">
        <v>42536</v>
      </c>
      <c r="F18" s="13">
        <v>43495.5</v>
      </c>
      <c r="G18" s="14"/>
      <c r="H18" s="22">
        <v>42536</v>
      </c>
      <c r="I18" s="15">
        <v>0</v>
      </c>
      <c r="J18" s="36"/>
      <c r="K18" s="24">
        <v>0</v>
      </c>
      <c r="L18" s="18">
        <v>811</v>
      </c>
      <c r="M18" s="18"/>
      <c r="Q18" s="11">
        <v>42536</v>
      </c>
      <c r="R18" s="12">
        <v>42684.78</v>
      </c>
      <c r="S18" s="19" t="s">
        <v>331</v>
      </c>
      <c r="T18" s="20">
        <v>42536</v>
      </c>
      <c r="U18" s="13">
        <v>43495.5</v>
      </c>
      <c r="V18" s="14"/>
      <c r="W18" s="22">
        <v>42536</v>
      </c>
      <c r="X18" s="15">
        <v>0</v>
      </c>
      <c r="Y18" s="36"/>
      <c r="Z18" s="24">
        <v>0</v>
      </c>
      <c r="AA18" s="18">
        <v>811</v>
      </c>
      <c r="AB18" s="18"/>
      <c r="AF18" s="11">
        <v>42536</v>
      </c>
      <c r="AG18" s="12"/>
      <c r="AH18" s="19"/>
      <c r="AI18" s="20">
        <v>42536</v>
      </c>
      <c r="AJ18" s="13"/>
      <c r="AK18" s="14"/>
      <c r="AL18" s="22">
        <v>42536</v>
      </c>
      <c r="AM18" s="15"/>
      <c r="AN18" s="36"/>
      <c r="AO18" s="24">
        <v>0</v>
      </c>
      <c r="AP18" s="18">
        <v>0</v>
      </c>
      <c r="AQ18" s="18"/>
      <c r="AR18" s="18"/>
      <c r="AU18" s="11">
        <v>42536</v>
      </c>
      <c r="AV18" s="12"/>
      <c r="AW18" s="19"/>
      <c r="AX18" s="20">
        <v>42536</v>
      </c>
      <c r="AY18" s="13"/>
      <c r="AZ18" s="14"/>
      <c r="BA18" s="22">
        <v>42536</v>
      </c>
      <c r="BB18" s="15"/>
      <c r="BC18" s="36"/>
      <c r="BD18" s="24">
        <v>0</v>
      </c>
      <c r="BE18" s="18">
        <v>0</v>
      </c>
      <c r="BF18" s="81"/>
      <c r="BG18" s="216"/>
    </row>
    <row r="19" spans="1:59" x14ac:dyDescent="0.25">
      <c r="A19" s="28"/>
      <c r="B19" s="11">
        <v>42537</v>
      </c>
      <c r="C19" s="12">
        <v>129719.5</v>
      </c>
      <c r="D19" s="19" t="s">
        <v>332</v>
      </c>
      <c r="E19" s="20">
        <v>42537</v>
      </c>
      <c r="F19" s="13">
        <v>129719.5</v>
      </c>
      <c r="G19" s="14"/>
      <c r="H19" s="22">
        <v>42537</v>
      </c>
      <c r="I19" s="15">
        <v>0</v>
      </c>
      <c r="J19" s="37"/>
      <c r="K19" s="13">
        <v>0</v>
      </c>
      <c r="L19" s="18">
        <v>0</v>
      </c>
      <c r="M19" s="18"/>
      <c r="P19" s="28"/>
      <c r="Q19" s="11">
        <v>42537</v>
      </c>
      <c r="R19" s="12">
        <v>129719.5</v>
      </c>
      <c r="S19" s="19" t="s">
        <v>332</v>
      </c>
      <c r="T19" s="20">
        <v>42537</v>
      </c>
      <c r="U19" s="13">
        <v>129719.5</v>
      </c>
      <c r="V19" s="14"/>
      <c r="W19" s="22">
        <v>42537</v>
      </c>
      <c r="X19" s="15">
        <v>0</v>
      </c>
      <c r="Y19" s="37"/>
      <c r="Z19" s="13">
        <v>0</v>
      </c>
      <c r="AA19" s="18">
        <v>0</v>
      </c>
      <c r="AB19" s="18"/>
      <c r="AC19" s="67"/>
      <c r="AE19" s="28"/>
      <c r="AF19" s="11">
        <v>42537</v>
      </c>
      <c r="AG19" s="12"/>
      <c r="AH19" s="19"/>
      <c r="AI19" s="20">
        <v>42537</v>
      </c>
      <c r="AJ19" s="13"/>
      <c r="AK19" s="14"/>
      <c r="AL19" s="22">
        <v>42537</v>
      </c>
      <c r="AM19" s="15"/>
      <c r="AN19" s="37"/>
      <c r="AO19" s="13">
        <v>0</v>
      </c>
      <c r="AP19" s="18">
        <v>0</v>
      </c>
      <c r="AQ19" s="18"/>
      <c r="AR19" s="18"/>
      <c r="AT19" s="28"/>
      <c r="AU19" s="11">
        <v>42537</v>
      </c>
      <c r="AV19" s="12"/>
      <c r="AW19" s="19"/>
      <c r="AX19" s="20">
        <v>42537</v>
      </c>
      <c r="AY19" s="13"/>
      <c r="AZ19" s="14"/>
      <c r="BA19" s="22">
        <v>42537</v>
      </c>
      <c r="BB19" s="15"/>
      <c r="BC19" s="37"/>
      <c r="BD19" s="13">
        <v>0</v>
      </c>
      <c r="BE19" s="18">
        <v>0</v>
      </c>
      <c r="BF19" s="81"/>
      <c r="BG19" s="216"/>
    </row>
    <row r="20" spans="1:59" x14ac:dyDescent="0.25">
      <c r="B20" s="11">
        <v>42538</v>
      </c>
      <c r="C20" s="12">
        <v>81350.5</v>
      </c>
      <c r="D20" s="19" t="s">
        <v>332</v>
      </c>
      <c r="E20" s="20">
        <v>42538</v>
      </c>
      <c r="F20" s="13">
        <v>81350.5</v>
      </c>
      <c r="G20" s="14"/>
      <c r="H20" s="22">
        <v>42538</v>
      </c>
      <c r="I20" s="38">
        <v>0</v>
      </c>
      <c r="J20" s="340"/>
      <c r="K20" s="39">
        <v>0</v>
      </c>
      <c r="L20" s="18">
        <v>0</v>
      </c>
      <c r="M20" s="18"/>
      <c r="Q20" s="11">
        <v>42538</v>
      </c>
      <c r="R20" s="12">
        <v>81350.5</v>
      </c>
      <c r="S20" s="19" t="s">
        <v>332</v>
      </c>
      <c r="T20" s="20">
        <v>42538</v>
      </c>
      <c r="U20" s="13">
        <v>81350.5</v>
      </c>
      <c r="V20" s="14"/>
      <c r="W20" s="22">
        <v>42538</v>
      </c>
      <c r="X20" s="38">
        <v>0</v>
      </c>
      <c r="Y20" s="340"/>
      <c r="Z20" s="39">
        <v>0</v>
      </c>
      <c r="AA20" s="18">
        <v>0</v>
      </c>
      <c r="AB20" s="18"/>
      <c r="AC20" s="216"/>
      <c r="AF20" s="11">
        <v>42538</v>
      </c>
      <c r="AG20" s="12"/>
      <c r="AH20" s="19"/>
      <c r="AI20" s="20">
        <v>42538</v>
      </c>
      <c r="AJ20" s="13"/>
      <c r="AK20" s="14"/>
      <c r="AL20" s="22">
        <v>42538</v>
      </c>
      <c r="AM20" s="38"/>
      <c r="AN20" s="340"/>
      <c r="AO20" s="39">
        <v>0</v>
      </c>
      <c r="AP20" s="18">
        <v>0</v>
      </c>
      <c r="AQ20" s="18"/>
      <c r="AR20" s="18"/>
      <c r="AU20" s="11">
        <v>42538</v>
      </c>
      <c r="AV20" s="12"/>
      <c r="AW20" s="19"/>
      <c r="AX20" s="20">
        <v>42538</v>
      </c>
      <c r="AY20" s="13"/>
      <c r="AZ20" s="14"/>
      <c r="BA20" s="22">
        <v>42538</v>
      </c>
      <c r="BB20" s="38"/>
      <c r="BC20" s="340"/>
      <c r="BD20" s="39">
        <v>0</v>
      </c>
      <c r="BE20" s="18">
        <v>0</v>
      </c>
      <c r="BG20" s="272"/>
    </row>
    <row r="21" spans="1:59" x14ac:dyDescent="0.25">
      <c r="B21" s="11">
        <v>42539</v>
      </c>
      <c r="C21" s="12">
        <v>82702</v>
      </c>
      <c r="D21" s="40" t="s">
        <v>332</v>
      </c>
      <c r="E21" s="20">
        <v>42539</v>
      </c>
      <c r="F21" s="13">
        <v>82702</v>
      </c>
      <c r="G21" s="14"/>
      <c r="H21" s="22">
        <v>42539</v>
      </c>
      <c r="I21" s="38">
        <v>0</v>
      </c>
      <c r="J21" s="341"/>
      <c r="K21" s="24">
        <v>0</v>
      </c>
      <c r="L21" s="18">
        <v>0</v>
      </c>
      <c r="M21" s="18"/>
      <c r="Q21" s="11">
        <v>42539</v>
      </c>
      <c r="R21" s="12">
        <v>82702</v>
      </c>
      <c r="S21" s="40" t="s">
        <v>332</v>
      </c>
      <c r="T21" s="20">
        <v>42539</v>
      </c>
      <c r="U21" s="13">
        <v>82702</v>
      </c>
      <c r="V21" s="14"/>
      <c r="W21" s="22">
        <v>42539</v>
      </c>
      <c r="X21" s="38">
        <v>0</v>
      </c>
      <c r="Y21" s="341"/>
      <c r="Z21" s="24">
        <v>0</v>
      </c>
      <c r="AA21" s="18">
        <v>0</v>
      </c>
      <c r="AB21" s="18"/>
      <c r="AC21" s="216"/>
      <c r="AF21" s="11">
        <v>42539</v>
      </c>
      <c r="AG21" s="12"/>
      <c r="AH21" s="40"/>
      <c r="AI21" s="20">
        <v>42539</v>
      </c>
      <c r="AJ21" s="13"/>
      <c r="AK21" s="14"/>
      <c r="AL21" s="22">
        <v>42539</v>
      </c>
      <c r="AM21" s="38"/>
      <c r="AN21" s="341"/>
      <c r="AO21" s="24">
        <v>0</v>
      </c>
      <c r="AP21" s="18">
        <v>0</v>
      </c>
      <c r="AQ21" s="18"/>
      <c r="AR21" s="216"/>
      <c r="AU21" s="11">
        <v>42539</v>
      </c>
      <c r="AV21" s="12"/>
      <c r="AW21" s="40"/>
      <c r="AX21" s="20">
        <v>42539</v>
      </c>
      <c r="AY21" s="13"/>
      <c r="AZ21" s="14"/>
      <c r="BA21" s="22">
        <v>42539</v>
      </c>
      <c r="BB21" s="38"/>
      <c r="BC21" s="341"/>
      <c r="BD21" s="24">
        <v>0</v>
      </c>
      <c r="BE21" s="18">
        <v>0</v>
      </c>
    </row>
    <row r="22" spans="1:59" x14ac:dyDescent="0.25">
      <c r="B22" s="11">
        <v>42540</v>
      </c>
      <c r="C22" s="12">
        <v>85855</v>
      </c>
      <c r="D22" s="40" t="s">
        <v>333</v>
      </c>
      <c r="E22" s="20">
        <v>42540</v>
      </c>
      <c r="F22" s="13">
        <v>85921</v>
      </c>
      <c r="G22" s="21"/>
      <c r="H22" s="22">
        <v>42540</v>
      </c>
      <c r="I22" s="15">
        <v>66</v>
      </c>
      <c r="J22" s="23"/>
      <c r="K22" s="24">
        <v>0</v>
      </c>
      <c r="L22" s="18">
        <v>0</v>
      </c>
      <c r="M22" s="18"/>
      <c r="Q22" s="11">
        <v>42540</v>
      </c>
      <c r="R22" s="12">
        <v>85855</v>
      </c>
      <c r="S22" s="40" t="s">
        <v>333</v>
      </c>
      <c r="T22" s="20">
        <v>42540</v>
      </c>
      <c r="U22" s="13">
        <v>85921</v>
      </c>
      <c r="V22" s="21"/>
      <c r="W22" s="22">
        <v>42540</v>
      </c>
      <c r="X22" s="15">
        <v>66</v>
      </c>
      <c r="Y22" s="23"/>
      <c r="Z22" s="24">
        <v>0</v>
      </c>
      <c r="AA22" s="18">
        <v>0</v>
      </c>
      <c r="AB22" s="18"/>
      <c r="AC22" s="216"/>
      <c r="AF22" s="11">
        <v>42540</v>
      </c>
      <c r="AG22" s="12"/>
      <c r="AH22" s="40"/>
      <c r="AI22" s="20">
        <v>42540</v>
      </c>
      <c r="AJ22" s="13"/>
      <c r="AK22" s="21"/>
      <c r="AL22" s="22">
        <v>42540</v>
      </c>
      <c r="AM22" s="15"/>
      <c r="AN22" s="23"/>
      <c r="AO22" s="24">
        <v>0</v>
      </c>
      <c r="AP22" s="18">
        <v>0</v>
      </c>
      <c r="AQ22" s="18"/>
      <c r="AR22" s="216"/>
      <c r="AU22" s="11">
        <v>42540</v>
      </c>
      <c r="AV22" s="12"/>
      <c r="AW22" s="40"/>
      <c r="AX22" s="20">
        <v>42540</v>
      </c>
      <c r="AY22" s="13"/>
      <c r="AZ22" s="21"/>
      <c r="BA22" s="22">
        <v>42540</v>
      </c>
      <c r="BB22" s="15"/>
      <c r="BC22" s="23"/>
      <c r="BD22" s="24">
        <v>0</v>
      </c>
      <c r="BE22" s="18">
        <v>0</v>
      </c>
    </row>
    <row r="23" spans="1:59" x14ac:dyDescent="0.25">
      <c r="A23" s="28"/>
      <c r="B23" s="11">
        <v>42541</v>
      </c>
      <c r="C23" s="12">
        <v>75510.5</v>
      </c>
      <c r="D23" s="40" t="s">
        <v>338</v>
      </c>
      <c r="E23" s="20">
        <v>42541</v>
      </c>
      <c r="F23" s="13">
        <v>75510.5</v>
      </c>
      <c r="G23" s="14"/>
      <c r="H23" s="22">
        <v>42541</v>
      </c>
      <c r="I23" s="15">
        <v>0</v>
      </c>
      <c r="J23" s="32"/>
      <c r="K23" s="13">
        <v>0</v>
      </c>
      <c r="L23" s="18">
        <v>0</v>
      </c>
      <c r="M23" s="18"/>
      <c r="P23" s="28"/>
      <c r="Q23" s="11">
        <v>42541</v>
      </c>
      <c r="R23" s="12">
        <v>75510.5</v>
      </c>
      <c r="S23" s="40" t="s">
        <v>338</v>
      </c>
      <c r="T23" s="20">
        <v>42541</v>
      </c>
      <c r="U23" s="13">
        <v>75510.5</v>
      </c>
      <c r="V23" s="14"/>
      <c r="W23" s="22">
        <v>42541</v>
      </c>
      <c r="X23" s="15">
        <v>0</v>
      </c>
      <c r="Y23" s="32"/>
      <c r="Z23" s="13">
        <v>0</v>
      </c>
      <c r="AA23" s="18">
        <v>0</v>
      </c>
      <c r="AB23" s="18"/>
      <c r="AC23" s="216"/>
      <c r="AE23" s="28"/>
      <c r="AF23" s="11">
        <v>42541</v>
      </c>
      <c r="AG23" s="12"/>
      <c r="AH23" s="40"/>
      <c r="AI23" s="20">
        <v>42541</v>
      </c>
      <c r="AJ23" s="13"/>
      <c r="AK23" s="14"/>
      <c r="AL23" s="22">
        <v>42541</v>
      </c>
      <c r="AM23" s="15"/>
      <c r="AN23" s="32"/>
      <c r="AO23" s="13">
        <v>0</v>
      </c>
      <c r="AP23" s="18">
        <v>0</v>
      </c>
      <c r="AQ23" s="18"/>
      <c r="AR23" s="216"/>
      <c r="AT23" s="28"/>
      <c r="AU23" s="11">
        <v>42541</v>
      </c>
      <c r="AV23" s="12"/>
      <c r="AW23" s="40"/>
      <c r="AX23" s="20">
        <v>42541</v>
      </c>
      <c r="AY23" s="13"/>
      <c r="AZ23" s="14"/>
      <c r="BA23" s="22">
        <v>42541</v>
      </c>
      <c r="BB23" s="15"/>
      <c r="BC23" s="32"/>
      <c r="BD23" s="13">
        <v>0</v>
      </c>
      <c r="BE23" s="18">
        <v>0</v>
      </c>
    </row>
    <row r="24" spans="1:59" x14ac:dyDescent="0.25">
      <c r="A24" s="28"/>
      <c r="B24" s="11">
        <v>42542</v>
      </c>
      <c r="C24" s="12">
        <v>107413.5</v>
      </c>
      <c r="D24" s="40" t="s">
        <v>339</v>
      </c>
      <c r="E24" s="20">
        <v>42542</v>
      </c>
      <c r="F24" s="13">
        <v>107413.6</v>
      </c>
      <c r="G24" s="14"/>
      <c r="H24" s="22">
        <v>42542</v>
      </c>
      <c r="I24" s="15">
        <v>0</v>
      </c>
      <c r="J24" s="34"/>
      <c r="K24" s="24"/>
      <c r="L24" s="18">
        <v>0</v>
      </c>
      <c r="M24" s="18"/>
      <c r="P24" s="28"/>
      <c r="Q24" s="11">
        <v>42542</v>
      </c>
      <c r="R24" s="12">
        <v>107413.5</v>
      </c>
      <c r="S24" s="40" t="s">
        <v>339</v>
      </c>
      <c r="T24" s="20">
        <v>42542</v>
      </c>
      <c r="U24" s="230">
        <v>107413.6</v>
      </c>
      <c r="V24" s="14"/>
      <c r="W24" s="22">
        <v>42542</v>
      </c>
      <c r="X24" s="231">
        <v>0</v>
      </c>
      <c r="Y24" s="34"/>
      <c r="Z24" s="24"/>
      <c r="AA24" s="18">
        <v>0</v>
      </c>
      <c r="AB24" s="18"/>
      <c r="AC24" s="216"/>
      <c r="AE24" s="28"/>
      <c r="AF24" s="11">
        <v>42542</v>
      </c>
      <c r="AG24" s="12"/>
      <c r="AH24" s="40"/>
      <c r="AI24" s="20">
        <v>42542</v>
      </c>
      <c r="AJ24" s="13"/>
      <c r="AK24" s="14"/>
      <c r="AL24" s="22">
        <v>42542</v>
      </c>
      <c r="AM24" s="15"/>
      <c r="AN24" s="34"/>
      <c r="AO24" s="24"/>
      <c r="AP24" s="18">
        <v>0</v>
      </c>
      <c r="AQ24" s="18"/>
      <c r="AR24" s="216"/>
      <c r="AT24" s="28"/>
      <c r="AU24" s="11">
        <v>42542</v>
      </c>
      <c r="AV24" s="12"/>
      <c r="AW24" s="40"/>
      <c r="AX24" s="20">
        <v>42542</v>
      </c>
      <c r="AY24" s="13"/>
      <c r="AZ24" s="14"/>
      <c r="BA24" s="22">
        <v>42542</v>
      </c>
      <c r="BB24" s="15"/>
      <c r="BC24" s="34" t="s">
        <v>282</v>
      </c>
      <c r="BD24" s="24"/>
      <c r="BE24" s="18">
        <v>0</v>
      </c>
      <c r="BF24" s="33"/>
    </row>
    <row r="25" spans="1:59" x14ac:dyDescent="0.25">
      <c r="B25" s="11">
        <v>42543</v>
      </c>
      <c r="C25" s="12">
        <v>42568</v>
      </c>
      <c r="D25" s="19" t="s">
        <v>365</v>
      </c>
      <c r="E25" s="20">
        <v>42543</v>
      </c>
      <c r="F25" s="13">
        <v>42648</v>
      </c>
      <c r="G25" s="14"/>
      <c r="H25" s="22">
        <v>42543</v>
      </c>
      <c r="I25" s="15">
        <v>80</v>
      </c>
      <c r="J25" s="23"/>
      <c r="K25" s="24"/>
      <c r="L25" s="18">
        <v>0</v>
      </c>
      <c r="M25" s="18"/>
      <c r="Q25" s="11">
        <v>42543</v>
      </c>
      <c r="R25" s="12"/>
      <c r="S25" s="19"/>
      <c r="T25" s="20">
        <v>42543</v>
      </c>
      <c r="U25" s="13"/>
      <c r="V25" s="14"/>
      <c r="W25" s="22">
        <v>42543</v>
      </c>
      <c r="X25" s="15"/>
      <c r="Y25" s="23"/>
      <c r="Z25" s="24"/>
      <c r="AA25" s="18">
        <v>0</v>
      </c>
      <c r="AB25" s="18"/>
      <c r="AC25" s="18"/>
      <c r="AF25" s="11">
        <v>42543</v>
      </c>
      <c r="AG25" s="12"/>
      <c r="AH25" s="19"/>
      <c r="AI25" s="20">
        <v>42543</v>
      </c>
      <c r="AJ25" s="13"/>
      <c r="AK25" s="14"/>
      <c r="AL25" s="22">
        <v>42543</v>
      </c>
      <c r="AM25" s="15"/>
      <c r="AN25" s="23"/>
      <c r="AO25" s="24"/>
      <c r="AP25" s="18">
        <v>0</v>
      </c>
      <c r="AQ25" s="18"/>
      <c r="AR25" s="216"/>
      <c r="AU25" s="11">
        <v>42543</v>
      </c>
      <c r="AV25" s="12"/>
      <c r="AW25" s="19"/>
      <c r="AX25" s="20">
        <v>42543</v>
      </c>
      <c r="AY25" s="13"/>
      <c r="AZ25" s="14"/>
      <c r="BA25" s="22">
        <v>42543</v>
      </c>
      <c r="BB25" s="15"/>
      <c r="BC25" s="23" t="s">
        <v>173</v>
      </c>
      <c r="BD25" s="24"/>
      <c r="BE25" s="18">
        <v>0</v>
      </c>
      <c r="BF25" s="33"/>
    </row>
    <row r="26" spans="1:59" x14ac:dyDescent="0.25">
      <c r="B26" s="11">
        <v>42544</v>
      </c>
      <c r="C26" s="12">
        <v>30226</v>
      </c>
      <c r="D26" s="19" t="s">
        <v>366</v>
      </c>
      <c r="E26" s="20">
        <v>42544</v>
      </c>
      <c r="F26" s="13">
        <v>30226</v>
      </c>
      <c r="G26" s="14"/>
      <c r="H26" s="22">
        <v>42544</v>
      </c>
      <c r="I26" s="15">
        <v>0</v>
      </c>
      <c r="J26" s="23"/>
      <c r="K26" s="24"/>
      <c r="L26" s="18">
        <v>0</v>
      </c>
      <c r="M26" s="18"/>
      <c r="Q26" s="11">
        <v>42544</v>
      </c>
      <c r="R26" s="12"/>
      <c r="S26" s="19"/>
      <c r="T26" s="20">
        <v>42544</v>
      </c>
      <c r="U26" s="13"/>
      <c r="V26" s="14"/>
      <c r="W26" s="22">
        <v>42544</v>
      </c>
      <c r="X26" s="15"/>
      <c r="Y26" s="23"/>
      <c r="Z26" s="24"/>
      <c r="AA26" s="18">
        <v>0</v>
      </c>
      <c r="AB26" s="18"/>
      <c r="AC26" s="216"/>
      <c r="AF26" s="11">
        <v>42544</v>
      </c>
      <c r="AG26" s="12"/>
      <c r="AH26" s="19"/>
      <c r="AI26" s="20">
        <v>42544</v>
      </c>
      <c r="AJ26" s="13"/>
      <c r="AK26" s="14"/>
      <c r="AL26" s="22">
        <v>42544</v>
      </c>
      <c r="AM26" s="15"/>
      <c r="AN26" s="23"/>
      <c r="AO26" s="24"/>
      <c r="AP26" s="18">
        <v>0</v>
      </c>
      <c r="AQ26" s="18"/>
      <c r="AR26" s="18"/>
      <c r="AU26" s="11">
        <v>42544</v>
      </c>
      <c r="AV26" s="12"/>
      <c r="AW26" s="19"/>
      <c r="AX26" s="20">
        <v>42544</v>
      </c>
      <c r="AY26" s="13"/>
      <c r="AZ26" s="14"/>
      <c r="BA26" s="22">
        <v>42544</v>
      </c>
      <c r="BB26" s="15"/>
      <c r="BC26" s="23"/>
      <c r="BD26" s="24"/>
      <c r="BE26" s="18">
        <v>0</v>
      </c>
    </row>
    <row r="27" spans="1:59" x14ac:dyDescent="0.25">
      <c r="B27" s="11">
        <v>42545</v>
      </c>
      <c r="C27" s="12">
        <v>43926.46</v>
      </c>
      <c r="D27" s="19" t="s">
        <v>367</v>
      </c>
      <c r="E27" s="20">
        <v>42545</v>
      </c>
      <c r="F27" s="13">
        <v>43926.5</v>
      </c>
      <c r="G27" s="14"/>
      <c r="H27" s="22">
        <v>42545</v>
      </c>
      <c r="I27" s="15">
        <v>0</v>
      </c>
      <c r="J27" s="23"/>
      <c r="K27" s="24"/>
      <c r="L27" s="18">
        <v>0</v>
      </c>
      <c r="M27" s="18"/>
      <c r="Q27" s="11">
        <v>42545</v>
      </c>
      <c r="R27" s="12"/>
      <c r="S27" s="19"/>
      <c r="T27" s="20">
        <v>42545</v>
      </c>
      <c r="U27" s="13"/>
      <c r="V27" s="14"/>
      <c r="W27" s="22">
        <v>42545</v>
      </c>
      <c r="X27" s="15"/>
      <c r="Y27" s="23"/>
      <c r="Z27" s="24"/>
      <c r="AA27" s="18">
        <v>0</v>
      </c>
      <c r="AB27" s="18"/>
      <c r="AC27" s="216"/>
      <c r="AF27" s="11">
        <v>42545</v>
      </c>
      <c r="AG27" s="12"/>
      <c r="AH27" s="19"/>
      <c r="AI27" s="20">
        <v>42545</v>
      </c>
      <c r="AJ27" s="13"/>
      <c r="AK27" s="14"/>
      <c r="AL27" s="22">
        <v>42545</v>
      </c>
      <c r="AM27" s="15"/>
      <c r="AN27" s="23"/>
      <c r="AO27" s="24"/>
      <c r="AP27" s="18">
        <v>0</v>
      </c>
      <c r="AQ27" s="18"/>
      <c r="AR27" s="216"/>
      <c r="AU27" s="11">
        <v>42545</v>
      </c>
      <c r="AV27" s="12"/>
      <c r="AW27" s="19"/>
      <c r="AX27" s="20">
        <v>42545</v>
      </c>
      <c r="AY27" s="13"/>
      <c r="AZ27" s="14"/>
      <c r="BA27" s="22">
        <v>42545</v>
      </c>
      <c r="BB27" s="15"/>
      <c r="BC27" s="23"/>
      <c r="BD27" s="24"/>
      <c r="BE27" s="18">
        <v>0</v>
      </c>
    </row>
    <row r="28" spans="1:59" x14ac:dyDescent="0.25">
      <c r="B28" s="11">
        <v>42546</v>
      </c>
      <c r="C28" s="12">
        <v>78604</v>
      </c>
      <c r="D28" s="19" t="s">
        <v>368</v>
      </c>
      <c r="E28" s="20">
        <v>42546</v>
      </c>
      <c r="F28" s="13">
        <v>78604</v>
      </c>
      <c r="G28" s="14"/>
      <c r="H28" s="22">
        <v>42546</v>
      </c>
      <c r="I28" s="15">
        <v>0</v>
      </c>
      <c r="J28" s="23"/>
      <c r="K28" s="24"/>
      <c r="L28" s="18">
        <v>0</v>
      </c>
      <c r="M28" s="18"/>
      <c r="Q28" s="11">
        <v>42546</v>
      </c>
      <c r="R28" s="12"/>
      <c r="S28" s="19"/>
      <c r="T28" s="20">
        <v>42546</v>
      </c>
      <c r="U28" s="13"/>
      <c r="V28" s="14"/>
      <c r="W28" s="22">
        <v>42546</v>
      </c>
      <c r="X28" s="15"/>
      <c r="Y28" s="23"/>
      <c r="Z28" s="24"/>
      <c r="AA28" s="18">
        <v>0</v>
      </c>
      <c r="AB28" s="18"/>
      <c r="AC28" s="216"/>
      <c r="AF28" s="11">
        <v>42546</v>
      </c>
      <c r="AG28" s="12"/>
      <c r="AH28" s="19"/>
      <c r="AI28" s="20">
        <v>42546</v>
      </c>
      <c r="AJ28" s="13"/>
      <c r="AK28" s="14"/>
      <c r="AL28" s="22">
        <v>42546</v>
      </c>
      <c r="AM28" s="15"/>
      <c r="AN28" s="23"/>
      <c r="AO28" s="24"/>
      <c r="AP28" s="18">
        <v>0</v>
      </c>
      <c r="AQ28" s="18"/>
      <c r="AR28" s="216"/>
      <c r="AU28" s="11">
        <v>42546</v>
      </c>
      <c r="AV28" s="12"/>
      <c r="AW28" s="19"/>
      <c r="AX28" s="20">
        <v>42546</v>
      </c>
      <c r="AY28" s="13"/>
      <c r="AZ28" s="14"/>
      <c r="BA28" s="22">
        <v>42546</v>
      </c>
      <c r="BB28" s="15"/>
      <c r="BC28" s="23"/>
      <c r="BD28" s="24"/>
      <c r="BE28" s="18">
        <v>0</v>
      </c>
    </row>
    <row r="29" spans="1:59" x14ac:dyDescent="0.25">
      <c r="B29" s="11">
        <v>42547</v>
      </c>
      <c r="C29" s="12">
        <v>102188.5</v>
      </c>
      <c r="D29" s="19" t="s">
        <v>369</v>
      </c>
      <c r="E29" s="20">
        <v>42547</v>
      </c>
      <c r="F29" s="13">
        <v>102188.5</v>
      </c>
      <c r="G29" s="14"/>
      <c r="H29" s="22">
        <v>42547</v>
      </c>
      <c r="I29" s="15">
        <v>0</v>
      </c>
      <c r="J29" s="23"/>
      <c r="K29" s="24"/>
      <c r="L29" s="18">
        <v>0</v>
      </c>
      <c r="M29" s="18"/>
      <c r="Q29" s="11">
        <v>42547</v>
      </c>
      <c r="R29" s="12"/>
      <c r="S29" s="19"/>
      <c r="T29" s="20">
        <v>42547</v>
      </c>
      <c r="U29" s="13"/>
      <c r="V29" s="14"/>
      <c r="W29" s="22">
        <v>42547</v>
      </c>
      <c r="X29" s="15"/>
      <c r="Y29" s="23"/>
      <c r="Z29" s="24"/>
      <c r="AA29" s="18"/>
      <c r="AB29" s="18"/>
      <c r="AC29" s="216"/>
      <c r="AF29" s="11">
        <v>42547</v>
      </c>
      <c r="AG29" s="12"/>
      <c r="AH29" s="19"/>
      <c r="AI29" s="20">
        <v>42547</v>
      </c>
      <c r="AJ29" s="13"/>
      <c r="AK29" s="14"/>
      <c r="AL29" s="22">
        <v>42547</v>
      </c>
      <c r="AM29" s="15"/>
      <c r="AN29" s="23"/>
      <c r="AO29" s="24"/>
      <c r="AP29" s="18"/>
      <c r="AQ29" s="18"/>
      <c r="AR29" s="216"/>
      <c r="AU29" s="11">
        <v>42547</v>
      </c>
      <c r="AV29" s="12"/>
      <c r="AW29" s="19"/>
      <c r="AX29" s="20">
        <v>42547</v>
      </c>
      <c r="AY29" s="13"/>
      <c r="AZ29" s="14"/>
      <c r="BA29" s="22">
        <v>42547</v>
      </c>
      <c r="BB29" s="15"/>
      <c r="BC29" s="23"/>
      <c r="BD29" s="24"/>
      <c r="BE29" s="18"/>
    </row>
    <row r="30" spans="1:59" x14ac:dyDescent="0.25">
      <c r="B30" s="11">
        <v>42548</v>
      </c>
      <c r="C30" s="12">
        <v>136578.5</v>
      </c>
      <c r="D30" s="19" t="s">
        <v>370</v>
      </c>
      <c r="E30" s="20">
        <v>42548</v>
      </c>
      <c r="F30" s="13">
        <v>136578.5</v>
      </c>
      <c r="G30" s="14"/>
      <c r="H30" s="22">
        <v>42548</v>
      </c>
      <c r="I30" s="15">
        <v>0</v>
      </c>
      <c r="J30" s="23"/>
      <c r="K30" s="24"/>
      <c r="L30" s="18">
        <v>0</v>
      </c>
      <c r="M30" s="18"/>
      <c r="Q30" s="11">
        <v>42548</v>
      </c>
      <c r="R30" s="12"/>
      <c r="S30" s="19"/>
      <c r="T30" s="20">
        <v>42548</v>
      </c>
      <c r="U30" s="13"/>
      <c r="V30" s="14"/>
      <c r="W30" s="22">
        <v>42548</v>
      </c>
      <c r="X30" s="15"/>
      <c r="Y30" s="23"/>
      <c r="Z30" s="24"/>
      <c r="AA30" s="18"/>
      <c r="AB30" s="18"/>
      <c r="AC30" s="216"/>
      <c r="AF30" s="11">
        <v>42548</v>
      </c>
      <c r="AG30" s="12"/>
      <c r="AH30" s="19"/>
      <c r="AI30" s="20">
        <v>42548</v>
      </c>
      <c r="AJ30" s="13"/>
      <c r="AK30" s="14"/>
      <c r="AL30" s="22">
        <v>42548</v>
      </c>
      <c r="AM30" s="15"/>
      <c r="AN30" s="23"/>
      <c r="AO30" s="24"/>
      <c r="AP30" s="18"/>
      <c r="AQ30" s="18"/>
      <c r="AR30" s="216"/>
      <c r="AU30" s="11">
        <v>42548</v>
      </c>
      <c r="AV30" s="12"/>
      <c r="AW30" s="19"/>
      <c r="AX30" s="20">
        <v>42548</v>
      </c>
      <c r="AY30" s="13"/>
      <c r="AZ30" s="14"/>
      <c r="BA30" s="22">
        <v>42548</v>
      </c>
      <c r="BB30" s="15"/>
      <c r="BC30" s="23"/>
      <c r="BD30" s="24"/>
      <c r="BE30" s="18"/>
    </row>
    <row r="31" spans="1:59" x14ac:dyDescent="0.25">
      <c r="B31" s="11">
        <v>42549</v>
      </c>
      <c r="C31" s="12">
        <v>27867</v>
      </c>
      <c r="D31" s="19" t="s">
        <v>371</v>
      </c>
      <c r="E31" s="20">
        <v>42549</v>
      </c>
      <c r="F31" s="13">
        <v>27909.5</v>
      </c>
      <c r="G31" s="14"/>
      <c r="H31" s="22">
        <v>42549</v>
      </c>
      <c r="I31" s="15">
        <v>0</v>
      </c>
      <c r="J31" s="23"/>
      <c r="K31" s="24"/>
      <c r="L31" s="18">
        <v>0</v>
      </c>
      <c r="M31" s="18"/>
      <c r="Q31" s="11">
        <v>42549</v>
      </c>
      <c r="R31" s="12"/>
      <c r="S31" s="19"/>
      <c r="T31" s="20">
        <v>42549</v>
      </c>
      <c r="U31" s="13"/>
      <c r="V31" s="14"/>
      <c r="W31" s="22">
        <v>42549</v>
      </c>
      <c r="X31" s="15"/>
      <c r="Y31" s="23"/>
      <c r="Z31" s="24"/>
      <c r="AA31" s="18"/>
      <c r="AB31" s="18"/>
      <c r="AC31" s="216"/>
      <c r="AF31" s="11">
        <v>42549</v>
      </c>
      <c r="AG31" s="12"/>
      <c r="AH31" s="19"/>
      <c r="AI31" s="20">
        <v>42549</v>
      </c>
      <c r="AJ31" s="13"/>
      <c r="AK31" s="14"/>
      <c r="AL31" s="22">
        <v>42549</v>
      </c>
      <c r="AM31" s="15"/>
      <c r="AN31" s="23"/>
      <c r="AO31" s="24"/>
      <c r="AP31" s="18"/>
      <c r="AQ31" s="18"/>
      <c r="AR31" s="216"/>
      <c r="AU31" s="11">
        <v>42549</v>
      </c>
      <c r="AV31" s="12"/>
      <c r="AW31" s="19"/>
      <c r="AX31" s="20">
        <v>42549</v>
      </c>
      <c r="AY31" s="13"/>
      <c r="AZ31" s="14"/>
      <c r="BA31" s="22">
        <v>42549</v>
      </c>
      <c r="BB31" s="15"/>
      <c r="BC31" s="23"/>
      <c r="BD31" s="24"/>
      <c r="BE31" s="18"/>
    </row>
    <row r="32" spans="1:59" x14ac:dyDescent="0.25">
      <c r="B32" s="11">
        <v>42550</v>
      </c>
      <c r="C32" s="12">
        <v>69755</v>
      </c>
      <c r="D32" s="42" t="s">
        <v>372</v>
      </c>
      <c r="E32" s="20">
        <v>42550</v>
      </c>
      <c r="F32" s="13">
        <v>69854.63</v>
      </c>
      <c r="G32" s="14"/>
      <c r="H32" s="22">
        <v>42550</v>
      </c>
      <c r="I32" s="15">
        <v>100</v>
      </c>
      <c r="J32" s="23"/>
      <c r="K32" s="24"/>
      <c r="L32" s="18">
        <v>0</v>
      </c>
      <c r="M32" s="18"/>
      <c r="Q32" s="11">
        <v>42550</v>
      </c>
      <c r="R32" s="12"/>
      <c r="S32" s="42"/>
      <c r="T32" s="20">
        <v>42550</v>
      </c>
      <c r="U32" s="13"/>
      <c r="V32" s="14"/>
      <c r="W32" s="22">
        <v>42550</v>
      </c>
      <c r="X32" s="15"/>
      <c r="Y32" s="23"/>
      <c r="Z32" s="24"/>
      <c r="AA32" s="18"/>
      <c r="AB32" s="18"/>
      <c r="AC32" s="216"/>
      <c r="AF32" s="11">
        <v>42550</v>
      </c>
      <c r="AG32" s="12"/>
      <c r="AH32" s="42"/>
      <c r="AI32" s="20">
        <v>42550</v>
      </c>
      <c r="AJ32" s="13"/>
      <c r="AK32" s="14"/>
      <c r="AL32" s="22">
        <v>42550</v>
      </c>
      <c r="AM32" s="15"/>
      <c r="AN32" s="23"/>
      <c r="AO32" s="24"/>
      <c r="AP32" s="18"/>
      <c r="AQ32" s="18"/>
      <c r="AR32" s="18"/>
      <c r="AU32" s="11">
        <v>42550</v>
      </c>
      <c r="AV32" s="12"/>
      <c r="AW32" s="42"/>
      <c r="AX32" s="20">
        <v>42550</v>
      </c>
      <c r="AY32" s="13"/>
      <c r="AZ32" s="14"/>
      <c r="BA32" s="22">
        <v>42550</v>
      </c>
      <c r="BB32" s="15"/>
      <c r="BC32" s="23"/>
      <c r="BD32" s="24"/>
      <c r="BE32" s="18"/>
    </row>
    <row r="33" spans="1:58" x14ac:dyDescent="0.25">
      <c r="B33" s="11">
        <v>42551</v>
      </c>
      <c r="C33" s="12">
        <v>35474.5</v>
      </c>
      <c r="D33" s="19" t="s">
        <v>372</v>
      </c>
      <c r="E33" s="20">
        <v>42551</v>
      </c>
      <c r="F33" s="13">
        <v>35474.5</v>
      </c>
      <c r="G33" s="14"/>
      <c r="H33" s="22">
        <v>42551</v>
      </c>
      <c r="I33" s="15">
        <v>0</v>
      </c>
      <c r="J33" s="23"/>
      <c r="K33" s="24"/>
      <c r="L33" s="18">
        <v>0</v>
      </c>
      <c r="M33" s="18"/>
      <c r="Q33" s="11">
        <v>42551</v>
      </c>
      <c r="R33" s="12"/>
      <c r="S33" s="19"/>
      <c r="T33" s="20">
        <v>42551</v>
      </c>
      <c r="U33" s="13"/>
      <c r="V33" s="14"/>
      <c r="W33" s="22">
        <v>42551</v>
      </c>
      <c r="X33" s="15"/>
      <c r="Y33" s="23"/>
      <c r="Z33" s="24"/>
      <c r="AA33" s="18"/>
      <c r="AB33" s="18"/>
      <c r="AC33" s="216"/>
      <c r="AF33" s="11">
        <v>42551</v>
      </c>
      <c r="AG33" s="12"/>
      <c r="AH33" s="19"/>
      <c r="AI33" s="20">
        <v>42551</v>
      </c>
      <c r="AJ33" s="13"/>
      <c r="AK33" s="14"/>
      <c r="AL33" s="22">
        <v>42551</v>
      </c>
      <c r="AM33" s="15"/>
      <c r="AN33" s="23"/>
      <c r="AO33" s="24"/>
      <c r="AP33" s="18"/>
      <c r="AQ33" s="18"/>
      <c r="AR33" s="18"/>
      <c r="AU33" s="11">
        <v>42551</v>
      </c>
      <c r="AV33" s="12"/>
      <c r="AW33" s="19"/>
      <c r="AX33" s="20">
        <v>42551</v>
      </c>
      <c r="AY33" s="13"/>
      <c r="AZ33" s="14"/>
      <c r="BA33" s="22">
        <v>42551</v>
      </c>
      <c r="BB33" s="15"/>
      <c r="BC33" s="23"/>
      <c r="BD33" s="24"/>
      <c r="BE33" s="18"/>
      <c r="BF33"/>
    </row>
    <row r="34" spans="1:58" ht="15.75" thickBot="1" x14ac:dyDescent="0.3">
      <c r="A34" s="28"/>
      <c r="B34" s="11"/>
      <c r="C34" s="12"/>
      <c r="D34" s="19"/>
      <c r="E34" s="20"/>
      <c r="F34" s="13"/>
      <c r="G34" s="14"/>
      <c r="H34" s="22"/>
      <c r="I34" s="15"/>
      <c r="J34" s="23"/>
      <c r="K34" s="24"/>
      <c r="L34" s="18"/>
      <c r="M34" s="18"/>
      <c r="P34" s="28"/>
      <c r="Q34" s="11"/>
      <c r="R34" s="12"/>
      <c r="S34" s="19"/>
      <c r="T34" s="20"/>
      <c r="U34" s="13"/>
      <c r="V34" s="14"/>
      <c r="W34" s="22"/>
      <c r="X34" s="15"/>
      <c r="Y34" s="23"/>
      <c r="Z34" s="24"/>
      <c r="AA34" s="18"/>
      <c r="AB34" s="18"/>
      <c r="AC34" s="216"/>
      <c r="AE34" s="28"/>
      <c r="AF34" s="11"/>
      <c r="AG34" s="12"/>
      <c r="AH34" s="19"/>
      <c r="AI34" s="20"/>
      <c r="AJ34" s="13"/>
      <c r="AK34" s="14"/>
      <c r="AL34" s="22"/>
      <c r="AM34" s="15"/>
      <c r="AN34" s="23"/>
      <c r="AO34" s="24"/>
      <c r="AP34" s="18"/>
      <c r="AQ34" s="18"/>
      <c r="AR34" s="18"/>
      <c r="AT34" s="28"/>
      <c r="AU34" s="11"/>
      <c r="AV34" s="12"/>
      <c r="AW34" s="19"/>
      <c r="AX34" s="20"/>
      <c r="AY34" s="13"/>
      <c r="AZ34" s="14"/>
      <c r="BA34" s="22"/>
      <c r="BB34" s="15"/>
      <c r="BC34" s="23"/>
      <c r="BD34" s="24"/>
      <c r="BE34" s="18"/>
      <c r="BF34"/>
    </row>
    <row r="35" spans="1:58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M35" s="50"/>
      <c r="P35" s="43"/>
      <c r="Q35" s="44"/>
      <c r="R35" s="45">
        <v>0</v>
      </c>
      <c r="S35" s="46"/>
      <c r="T35" s="47"/>
      <c r="U35" s="24">
        <v>0</v>
      </c>
      <c r="W35" s="48"/>
      <c r="X35" s="49"/>
      <c r="Y35" s="23"/>
      <c r="Z35" s="24"/>
      <c r="AA35" s="50">
        <v>0</v>
      </c>
      <c r="AB35" s="50"/>
      <c r="AC35" s="216"/>
      <c r="AE35" s="43"/>
      <c r="AF35" s="44"/>
      <c r="AG35" s="45">
        <v>0</v>
      </c>
      <c r="AH35" s="46"/>
      <c r="AI35" s="47"/>
      <c r="AJ35" s="24">
        <v>0</v>
      </c>
      <c r="AL35" s="48"/>
      <c r="AM35" s="49"/>
      <c r="AN35" s="23"/>
      <c r="AO35" s="24"/>
      <c r="AP35" s="50">
        <v>0</v>
      </c>
      <c r="AQ35" s="50"/>
      <c r="AR35" s="50"/>
      <c r="AT35" s="43"/>
      <c r="AU35" s="44"/>
      <c r="AV35" s="45">
        <v>0</v>
      </c>
      <c r="AW35" s="46"/>
      <c r="AX35" s="47"/>
      <c r="AY35" s="24">
        <v>0</v>
      </c>
      <c r="BA35" s="48"/>
      <c r="BB35" s="49"/>
      <c r="BC35" s="23"/>
      <c r="BD35" s="24"/>
      <c r="BE35" s="50">
        <v>0</v>
      </c>
      <c r="BF35"/>
    </row>
    <row r="36" spans="1:58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M36" s="50"/>
      <c r="P36" s="51"/>
      <c r="Q36" s="52" t="s">
        <v>0</v>
      </c>
      <c r="R36" s="53">
        <v>0</v>
      </c>
      <c r="S36" s="46"/>
      <c r="T36" s="54"/>
      <c r="U36" s="55">
        <v>0</v>
      </c>
      <c r="W36" s="56"/>
      <c r="X36" s="57">
        <v>0</v>
      </c>
      <c r="Y36" s="58"/>
      <c r="Z36" s="55"/>
      <c r="AA36" s="59">
        <v>0</v>
      </c>
      <c r="AB36" s="50"/>
      <c r="AC36" s="216"/>
      <c r="AE36" s="51"/>
      <c r="AF36" s="52" t="s">
        <v>0</v>
      </c>
      <c r="AG36" s="53">
        <v>0</v>
      </c>
      <c r="AH36" s="46"/>
      <c r="AI36" s="54"/>
      <c r="AJ36" s="55">
        <v>0</v>
      </c>
      <c r="AL36" s="56"/>
      <c r="AM36" s="57">
        <v>0</v>
      </c>
      <c r="AN36" s="58"/>
      <c r="AO36" s="55"/>
      <c r="AP36" s="59">
        <v>0</v>
      </c>
      <c r="AQ36" s="50"/>
      <c r="AR36" s="50"/>
      <c r="AT36" s="51"/>
      <c r="AU36" s="52" t="s">
        <v>0</v>
      </c>
      <c r="AV36" s="53">
        <v>0</v>
      </c>
      <c r="AW36" s="46"/>
      <c r="AX36" s="54"/>
      <c r="AY36" s="55">
        <v>0</v>
      </c>
      <c r="BA36" s="56"/>
      <c r="BB36" s="57">
        <v>0</v>
      </c>
      <c r="BC36" s="58"/>
      <c r="BD36" s="55"/>
      <c r="BE36" s="59">
        <v>0</v>
      </c>
      <c r="BF36"/>
    </row>
    <row r="37" spans="1:58" x14ac:dyDescent="0.25">
      <c r="B37" s="60" t="s">
        <v>11</v>
      </c>
      <c r="C37" s="61">
        <f>SUM(C4:C36)</f>
        <v>2905808.04</v>
      </c>
      <c r="D37" s="46"/>
      <c r="E37" s="62" t="s">
        <v>11</v>
      </c>
      <c r="F37" s="63">
        <f>SUM(F4:F36)</f>
        <v>2404160.5299999998</v>
      </c>
      <c r="H37" s="1" t="s">
        <v>11</v>
      </c>
      <c r="I37" s="64">
        <f>SUM(I4:I36)</f>
        <v>412</v>
      </c>
      <c r="J37" s="64"/>
      <c r="K37" s="64">
        <f t="shared" ref="K37" si="0">SUM(K4:K36)</f>
        <v>55788.850000000006</v>
      </c>
      <c r="L37" s="2">
        <f>SUM(L4:L36)</f>
        <v>8526</v>
      </c>
      <c r="M37" s="2"/>
      <c r="Q37" s="60" t="s">
        <v>11</v>
      </c>
      <c r="R37" s="61">
        <f>SUM(R4:R36)</f>
        <v>2338620.08</v>
      </c>
      <c r="S37" s="46"/>
      <c r="T37" s="62" t="s">
        <v>11</v>
      </c>
      <c r="U37" s="63">
        <f>SUM(U4:U36)</f>
        <v>1836750.4</v>
      </c>
      <c r="W37" s="1" t="s">
        <v>11</v>
      </c>
      <c r="X37" s="64">
        <f>SUM(X4:X36)</f>
        <v>232</v>
      </c>
      <c r="Y37" s="64"/>
      <c r="Z37" s="64">
        <f t="shared" ref="Z37" si="1">SUM(Z4:Z36)</f>
        <v>41879.810000000005</v>
      </c>
      <c r="AA37" s="2">
        <f>SUM(AA4:AA36)</f>
        <v>8526</v>
      </c>
      <c r="AB37" s="2"/>
      <c r="AC37" s="272"/>
      <c r="AF37" s="60" t="s">
        <v>11</v>
      </c>
      <c r="AG37" s="61">
        <f>SUM(AG4:AG36)</f>
        <v>1733384.3</v>
      </c>
      <c r="AH37" s="46"/>
      <c r="AI37" s="62" t="s">
        <v>11</v>
      </c>
      <c r="AJ37" s="63">
        <f>SUM(AJ4:AJ36)</f>
        <v>1230637.7999999998</v>
      </c>
      <c r="AL37" s="1" t="s">
        <v>11</v>
      </c>
      <c r="AM37" s="64">
        <f>SUM(AM4:AM36)</f>
        <v>166</v>
      </c>
      <c r="AN37" s="64"/>
      <c r="AO37" s="64">
        <f t="shared" ref="AO37" si="2">SUM(AO4:AO36)</f>
        <v>28168.550000000003</v>
      </c>
      <c r="AP37" s="2">
        <f>SUM(AP4:AP36)</f>
        <v>0</v>
      </c>
      <c r="AQ37" s="2"/>
      <c r="AR37" s="2"/>
      <c r="AU37" s="60" t="s">
        <v>11</v>
      </c>
      <c r="AV37" s="61">
        <f>SUM(AV4:AV36)</f>
        <v>1041897.1</v>
      </c>
      <c r="AW37" s="46"/>
      <c r="AX37" s="62" t="s">
        <v>11</v>
      </c>
      <c r="AY37" s="63">
        <f>SUM(AY4:AY36)</f>
        <v>530635.69999999995</v>
      </c>
      <c r="BA37" s="1" t="s">
        <v>11</v>
      </c>
      <c r="BB37" s="64">
        <f>SUM(BB4:BB36)</f>
        <v>166</v>
      </c>
      <c r="BC37" s="64"/>
      <c r="BD37" s="64">
        <f t="shared" ref="BD37" si="3">SUM(BD4:BD36)</f>
        <v>13008.29</v>
      </c>
      <c r="BE37" s="2">
        <f>SUM(BE4:BE36)</f>
        <v>0</v>
      </c>
      <c r="BF37"/>
    </row>
    <row r="38" spans="1:58" x14ac:dyDescent="0.25">
      <c r="A38" s="342"/>
      <c r="B38" s="342"/>
      <c r="C38" s="50"/>
      <c r="E38" s="1"/>
      <c r="F38" s="1"/>
      <c r="H38" s="1"/>
      <c r="I38" s="64"/>
      <c r="J38" s="1"/>
      <c r="K38" s="64"/>
      <c r="L38" s="2"/>
      <c r="M38" s="2"/>
      <c r="P38" s="342"/>
      <c r="Q38" s="342"/>
      <c r="R38" s="50"/>
      <c r="T38" s="1"/>
      <c r="U38" s="1"/>
      <c r="W38" s="1"/>
      <c r="X38" s="64"/>
      <c r="Y38" s="1"/>
      <c r="Z38" s="64"/>
      <c r="AA38" s="2"/>
      <c r="AB38" s="2"/>
      <c r="AE38" s="342"/>
      <c r="AF38" s="342"/>
      <c r="AG38" s="50"/>
      <c r="AI38" s="1"/>
      <c r="AJ38" s="1"/>
      <c r="AL38" s="1"/>
      <c r="AM38" s="64"/>
      <c r="AN38" s="1"/>
      <c r="AO38" s="64"/>
      <c r="AP38" s="2"/>
      <c r="AQ38" s="2"/>
      <c r="AR38" s="2"/>
      <c r="AT38" s="342"/>
      <c r="AU38" s="342"/>
      <c r="AV38" s="50"/>
      <c r="AX38" s="1"/>
      <c r="AY38" s="1"/>
      <c r="BA38" s="1"/>
      <c r="BB38" s="64"/>
      <c r="BC38" s="1"/>
      <c r="BD38" s="64"/>
      <c r="BE38" s="2"/>
      <c r="BF38"/>
    </row>
    <row r="39" spans="1:58" ht="15.75" customHeight="1" x14ac:dyDescent="0.25">
      <c r="A39" s="65"/>
      <c r="B39" s="66"/>
      <c r="C39" s="50"/>
      <c r="D39" s="67"/>
      <c r="E39" s="66"/>
      <c r="F39" s="66"/>
      <c r="H39" s="326" t="s">
        <v>12</v>
      </c>
      <c r="I39" s="327"/>
      <c r="J39" s="328">
        <f>I37+K37</f>
        <v>56200.850000000006</v>
      </c>
      <c r="K39" s="329"/>
      <c r="L39" s="68"/>
      <c r="M39" s="68"/>
      <c r="P39" s="65"/>
      <c r="Q39" s="66"/>
      <c r="R39" s="50"/>
      <c r="S39" s="67"/>
      <c r="T39" s="66"/>
      <c r="U39" s="66"/>
      <c r="W39" s="326" t="s">
        <v>12</v>
      </c>
      <c r="X39" s="327"/>
      <c r="Y39" s="328">
        <f>X37+Z37</f>
        <v>42111.810000000005</v>
      </c>
      <c r="Z39" s="329"/>
      <c r="AA39" s="68"/>
      <c r="AB39" s="68"/>
      <c r="AE39" s="65"/>
      <c r="AF39" s="66"/>
      <c r="AG39" s="50"/>
      <c r="AH39" s="67"/>
      <c r="AI39" s="66"/>
      <c r="AJ39" s="66"/>
      <c r="AL39" s="326" t="s">
        <v>12</v>
      </c>
      <c r="AM39" s="327"/>
      <c r="AN39" s="328">
        <f>AM37+AO37</f>
        <v>28334.550000000003</v>
      </c>
      <c r="AO39" s="329"/>
      <c r="AP39" s="68"/>
      <c r="AQ39" s="68"/>
      <c r="AR39" s="68"/>
      <c r="AT39" s="65"/>
      <c r="AU39" s="66"/>
      <c r="AV39" s="50"/>
      <c r="AW39" s="67"/>
      <c r="AX39" s="66"/>
      <c r="AY39" s="66"/>
      <c r="BA39" s="326" t="s">
        <v>12</v>
      </c>
      <c r="BB39" s="327"/>
      <c r="BC39" s="328">
        <f>BB37+BD37</f>
        <v>13174.29</v>
      </c>
      <c r="BD39" s="329"/>
      <c r="BE39" s="68"/>
      <c r="BF39"/>
    </row>
    <row r="40" spans="1:58" ht="15.75" customHeight="1" x14ac:dyDescent="0.25">
      <c r="A40" s="330"/>
      <c r="B40" s="330"/>
      <c r="C40" s="50"/>
      <c r="D40" s="331" t="s">
        <v>13</v>
      </c>
      <c r="E40" s="331"/>
      <c r="F40" s="69">
        <f>F37-J39</f>
        <v>2347959.6799999997</v>
      </c>
      <c r="H40" s="1"/>
      <c r="I40" s="70"/>
      <c r="J40" s="1"/>
      <c r="K40" s="1"/>
      <c r="L40" s="2"/>
      <c r="M40" s="2"/>
      <c r="P40" s="330"/>
      <c r="Q40" s="330"/>
      <c r="R40" s="50"/>
      <c r="S40" s="331" t="s">
        <v>13</v>
      </c>
      <c r="T40" s="331"/>
      <c r="U40" s="69">
        <f>U37-Y39</f>
        <v>1794638.5899999999</v>
      </c>
      <c r="W40" s="1"/>
      <c r="X40" s="70"/>
      <c r="Y40" s="1"/>
      <c r="Z40" s="1"/>
      <c r="AA40" s="2"/>
      <c r="AB40" s="2"/>
      <c r="AE40" s="330"/>
      <c r="AF40" s="330"/>
      <c r="AG40" s="50"/>
      <c r="AH40" s="331" t="s">
        <v>13</v>
      </c>
      <c r="AI40" s="331"/>
      <c r="AJ40" s="69">
        <f>AJ37-AN39</f>
        <v>1202303.2499999998</v>
      </c>
      <c r="AL40" s="1"/>
      <c r="AM40" s="70"/>
      <c r="AN40" s="1"/>
      <c r="AO40" s="1"/>
      <c r="AP40" s="2"/>
      <c r="AQ40" s="2"/>
      <c r="AR40" s="2"/>
      <c r="AT40" s="330"/>
      <c r="AU40" s="330"/>
      <c r="AV40" s="50"/>
      <c r="AW40" s="331" t="s">
        <v>13</v>
      </c>
      <c r="AX40" s="331"/>
      <c r="AY40" s="69">
        <f>AY37-BC39</f>
        <v>517461.41</v>
      </c>
      <c r="BA40" s="1"/>
      <c r="BB40" s="70"/>
      <c r="BC40" s="1"/>
      <c r="BD40" s="1"/>
      <c r="BE40" s="2"/>
      <c r="BF40"/>
    </row>
    <row r="41" spans="1:58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M41" s="2"/>
      <c r="P41" s="67"/>
      <c r="Q41" s="66"/>
      <c r="R41" s="50"/>
      <c r="S41" s="67"/>
      <c r="T41" s="66"/>
      <c r="U41" s="69">
        <v>0</v>
      </c>
      <c r="W41" s="1"/>
      <c r="X41" s="1"/>
      <c r="Y41" s="1"/>
      <c r="Z41" s="1"/>
      <c r="AA41" s="2"/>
      <c r="AB41" s="2"/>
      <c r="AE41" s="67"/>
      <c r="AF41" s="66"/>
      <c r="AG41" s="50"/>
      <c r="AH41" s="67"/>
      <c r="AI41" s="66"/>
      <c r="AJ41" s="69">
        <v>0</v>
      </c>
      <c r="AL41" s="1"/>
      <c r="AM41" s="1"/>
      <c r="AN41" s="1"/>
      <c r="AO41" s="1"/>
      <c r="AP41" s="2"/>
      <c r="AQ41" s="2"/>
      <c r="AR41" s="2"/>
      <c r="AT41" s="67"/>
      <c r="AU41" s="66"/>
      <c r="AV41" s="50"/>
      <c r="AW41" s="67"/>
      <c r="AX41" s="66"/>
      <c r="AY41" s="69">
        <v>0</v>
      </c>
      <c r="BA41" s="1"/>
      <c r="BB41" s="1"/>
      <c r="BC41" s="1"/>
      <c r="BD41" s="1"/>
      <c r="BE41" s="2"/>
      <c r="BF41"/>
    </row>
    <row r="42" spans="1:58" ht="15.75" thickBot="1" x14ac:dyDescent="0.3">
      <c r="B42" s="1"/>
      <c r="C42" s="2"/>
      <c r="E42" s="71" t="s">
        <v>14</v>
      </c>
      <c r="F42" s="50">
        <v>-2256671.02</v>
      </c>
      <c r="H42" s="1"/>
      <c r="I42" s="72" t="s">
        <v>15</v>
      </c>
      <c r="J42" s="275"/>
      <c r="K42" s="276">
        <v>276782.38</v>
      </c>
      <c r="L42" s="2"/>
      <c r="M42" s="2"/>
      <c r="Q42" s="1"/>
      <c r="R42" s="2"/>
      <c r="T42" s="71" t="s">
        <v>14</v>
      </c>
      <c r="U42" s="50">
        <v>-1462896.66</v>
      </c>
      <c r="W42" s="1"/>
      <c r="X42" s="72" t="s">
        <v>15</v>
      </c>
      <c r="Y42" s="275"/>
      <c r="Z42" s="276">
        <v>119366.96</v>
      </c>
      <c r="AA42" s="2"/>
      <c r="AB42" s="2"/>
      <c r="AF42" s="1"/>
      <c r="AG42" s="2"/>
      <c r="AI42" s="71" t="s">
        <v>14</v>
      </c>
      <c r="AJ42" s="50">
        <v>-950799.8</v>
      </c>
      <c r="AL42" s="1"/>
      <c r="AM42" s="72" t="s">
        <v>15</v>
      </c>
      <c r="AN42" s="275"/>
      <c r="AO42" s="276">
        <v>111697.58</v>
      </c>
      <c r="AP42" s="2"/>
      <c r="AQ42" s="2"/>
      <c r="AR42" s="2"/>
      <c r="AU42" s="1"/>
      <c r="AV42" s="2"/>
      <c r="AX42" s="71" t="s">
        <v>14</v>
      </c>
      <c r="AY42" s="50">
        <v>-412750.8</v>
      </c>
      <c r="BA42" s="1"/>
      <c r="BB42" s="72" t="s">
        <v>15</v>
      </c>
      <c r="BC42" s="275"/>
      <c r="BD42" s="276">
        <v>265442.45</v>
      </c>
      <c r="BE42" s="2"/>
      <c r="BF42"/>
    </row>
    <row r="43" spans="1:58" ht="15.75" thickTop="1" x14ac:dyDescent="0.25">
      <c r="B43" s="1"/>
      <c r="C43" s="2"/>
      <c r="E43" s="1" t="s">
        <v>16</v>
      </c>
      <c r="F43" s="64">
        <f>SUM(F40:F42)</f>
        <v>91288.659999999683</v>
      </c>
      <c r="H43" s="1"/>
      <c r="I43" s="1"/>
      <c r="J43" s="1"/>
      <c r="K43" s="64">
        <f>F45+K42</f>
        <v>369375.53999999969</v>
      </c>
      <c r="L43" s="2"/>
      <c r="M43" s="2"/>
      <c r="Q43" s="1"/>
      <c r="R43" s="2"/>
      <c r="T43" s="1" t="s">
        <v>16</v>
      </c>
      <c r="U43" s="64">
        <f>SUM(U40:U42)</f>
        <v>331741.92999999993</v>
      </c>
      <c r="W43" s="1"/>
      <c r="X43" s="1"/>
      <c r="Y43" s="1"/>
      <c r="Z43" s="64">
        <f>U45+Z42</f>
        <v>463388.38999999996</v>
      </c>
      <c r="AA43" s="2"/>
      <c r="AB43" s="2"/>
      <c r="AF43" s="1"/>
      <c r="AG43" s="2"/>
      <c r="AI43" s="1" t="s">
        <v>16</v>
      </c>
      <c r="AJ43" s="64">
        <f>SUM(AJ40:AJ42)</f>
        <v>251503.44999999972</v>
      </c>
      <c r="AL43" s="1"/>
      <c r="AM43" s="1"/>
      <c r="AN43" s="1"/>
      <c r="AO43" s="64">
        <f>AJ45+AO42</f>
        <v>375379.02999999974</v>
      </c>
      <c r="AP43" s="2"/>
      <c r="AQ43" s="2"/>
      <c r="AR43" s="2"/>
      <c r="AU43" s="1"/>
      <c r="AV43" s="2"/>
      <c r="AX43" s="1" t="s">
        <v>16</v>
      </c>
      <c r="AY43" s="64">
        <f>SUM(AY40:AY42)</f>
        <v>104710.60999999999</v>
      </c>
      <c r="BA43" s="1"/>
      <c r="BB43" s="1"/>
      <c r="BC43" s="1"/>
      <c r="BD43" s="64">
        <f>AY45+BD42</f>
        <v>373607.06</v>
      </c>
      <c r="BE43" s="2"/>
      <c r="BF43"/>
    </row>
    <row r="44" spans="1:58" ht="15.75" thickBot="1" x14ac:dyDescent="0.3">
      <c r="B44" s="1"/>
      <c r="C44" s="2"/>
      <c r="D44" s="62" t="s">
        <v>17</v>
      </c>
      <c r="E44" s="62"/>
      <c r="F44" s="75">
        <v>1304.5</v>
      </c>
      <c r="H44" s="1"/>
      <c r="I44" s="1" t="s">
        <v>1</v>
      </c>
      <c r="J44" s="76"/>
      <c r="K44" s="77">
        <f>-C3</f>
        <v>-389370.9</v>
      </c>
      <c r="L44" s="2"/>
      <c r="M44" s="2"/>
      <c r="Q44" s="1"/>
      <c r="R44" s="2"/>
      <c r="S44" s="62" t="s">
        <v>17</v>
      </c>
      <c r="T44" s="62"/>
      <c r="U44" s="75">
        <v>12279.5</v>
      </c>
      <c r="W44" s="1"/>
      <c r="X44" s="1" t="s">
        <v>1</v>
      </c>
      <c r="Y44" s="76"/>
      <c r="Z44" s="77">
        <f>-R3</f>
        <v>-389370.9</v>
      </c>
      <c r="AA44" s="2"/>
      <c r="AB44" s="2"/>
      <c r="AF44" s="1"/>
      <c r="AG44" s="2"/>
      <c r="AH44" s="62" t="s">
        <v>17</v>
      </c>
      <c r="AI44" s="62"/>
      <c r="AJ44" s="75">
        <v>12178</v>
      </c>
      <c r="AL44" s="1"/>
      <c r="AM44" s="1" t="s">
        <v>1</v>
      </c>
      <c r="AN44" s="76"/>
      <c r="AO44" s="77">
        <f>-AG3</f>
        <v>-389370.9</v>
      </c>
      <c r="AP44" s="2"/>
      <c r="AQ44" s="2"/>
      <c r="AR44" s="2"/>
      <c r="AU44" s="1"/>
      <c r="AV44" s="2"/>
      <c r="AW44" s="62" t="s">
        <v>17</v>
      </c>
      <c r="AX44" s="62"/>
      <c r="AY44" s="75">
        <v>3454</v>
      </c>
      <c r="BA44" s="1"/>
      <c r="BB44" s="1" t="s">
        <v>1</v>
      </c>
      <c r="BC44" s="76"/>
      <c r="BD44" s="77">
        <f>-AV3</f>
        <v>-389370.9</v>
      </c>
      <c r="BE44" s="2"/>
      <c r="BF44"/>
    </row>
    <row r="45" spans="1:58" ht="20.25" thickTop="1" thickBot="1" x14ac:dyDescent="0.35">
      <c r="B45" s="1"/>
      <c r="C45" s="2"/>
      <c r="E45" s="60" t="s">
        <v>18</v>
      </c>
      <c r="F45" s="78">
        <f>F44+F43</f>
        <v>92593.159999999683</v>
      </c>
      <c r="H45" s="1"/>
      <c r="I45" s="332" t="s">
        <v>175</v>
      </c>
      <c r="J45" s="333"/>
      <c r="K45" s="79">
        <f>K43+K44</f>
        <v>-19995.360000000335</v>
      </c>
      <c r="L45" s="2"/>
      <c r="M45" s="2"/>
      <c r="Q45" s="1"/>
      <c r="R45" s="2"/>
      <c r="T45" s="60" t="s">
        <v>18</v>
      </c>
      <c r="U45" s="78">
        <f>U44+U43</f>
        <v>344021.42999999993</v>
      </c>
      <c r="W45" s="1"/>
      <c r="X45" s="332" t="s">
        <v>175</v>
      </c>
      <c r="Y45" s="333"/>
      <c r="Z45" s="79">
        <f>Z43+Z44</f>
        <v>74017.489999999932</v>
      </c>
      <c r="AA45" s="2"/>
      <c r="AB45" s="2"/>
      <c r="AF45" s="1"/>
      <c r="AG45" s="2"/>
      <c r="AI45" s="60" t="s">
        <v>18</v>
      </c>
      <c r="AJ45" s="78">
        <f>AJ44+AJ43</f>
        <v>263681.44999999972</v>
      </c>
      <c r="AL45" s="1"/>
      <c r="AM45" s="332" t="s">
        <v>175</v>
      </c>
      <c r="AN45" s="333"/>
      <c r="AO45" s="79">
        <f>AO43+AO44</f>
        <v>-13991.870000000286</v>
      </c>
      <c r="AP45" s="2"/>
      <c r="AQ45" s="2"/>
      <c r="AR45" s="2"/>
      <c r="AU45" s="1"/>
      <c r="AV45" s="2"/>
      <c r="AX45" s="60" t="s">
        <v>18</v>
      </c>
      <c r="AY45" s="78">
        <f>AY44+AY43</f>
        <v>108164.60999999999</v>
      </c>
      <c r="BA45" s="1"/>
      <c r="BB45" s="332" t="s">
        <v>175</v>
      </c>
      <c r="BC45" s="333"/>
      <c r="BD45" s="79">
        <f>BD43+BD44</f>
        <v>-15763.840000000026</v>
      </c>
      <c r="BE45" s="2"/>
      <c r="BF45"/>
    </row>
    <row r="46" spans="1:58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M46" s="2"/>
      <c r="Q46" s="1"/>
      <c r="R46" s="2"/>
      <c r="T46" s="1"/>
      <c r="U46" s="1"/>
      <c r="W46" s="1"/>
      <c r="X46" s="1"/>
      <c r="Y46" s="1"/>
      <c r="Z46" s="1"/>
      <c r="AA46" s="2"/>
      <c r="AB46" s="2"/>
      <c r="AF46" s="1"/>
      <c r="AG46" s="2"/>
      <c r="AI46" s="1"/>
      <c r="AJ46" s="1"/>
      <c r="AL46" s="1"/>
      <c r="AM46" s="1"/>
      <c r="AN46" s="1"/>
      <c r="AO46" s="1"/>
      <c r="AP46" s="2"/>
      <c r="AQ46" s="2"/>
      <c r="AR46" s="2"/>
      <c r="AU46" s="1"/>
      <c r="AV46" s="2"/>
      <c r="AX46" s="1"/>
      <c r="AY46" s="1"/>
      <c r="BA46" s="1"/>
      <c r="BB46" s="1"/>
      <c r="BC46" s="1"/>
      <c r="BD46" s="1"/>
      <c r="BE46" s="2"/>
      <c r="BF46"/>
    </row>
    <row r="49" spans="58:58" x14ac:dyDescent="0.25">
      <c r="BF49"/>
    </row>
    <row r="50" spans="58:58" x14ac:dyDescent="0.25">
      <c r="BF50"/>
    </row>
    <row r="51" spans="58:58" x14ac:dyDescent="0.25">
      <c r="BF51"/>
    </row>
    <row r="52" spans="58:58" x14ac:dyDescent="0.25">
      <c r="BF52"/>
    </row>
    <row r="53" spans="58:58" x14ac:dyDescent="0.25">
      <c r="BF53"/>
    </row>
    <row r="54" spans="58:58" x14ac:dyDescent="0.25">
      <c r="BF54"/>
    </row>
    <row r="55" spans="58:58" x14ac:dyDescent="0.25">
      <c r="BF55"/>
    </row>
    <row r="56" spans="58:58" x14ac:dyDescent="0.25">
      <c r="BF56"/>
    </row>
    <row r="57" spans="58:58" x14ac:dyDescent="0.25">
      <c r="BF57"/>
    </row>
    <row r="58" spans="58:58" x14ac:dyDescent="0.25">
      <c r="BF58"/>
    </row>
    <row r="59" spans="58:58" x14ac:dyDescent="0.25">
      <c r="BF59"/>
    </row>
    <row r="60" spans="58:58" x14ac:dyDescent="0.25">
      <c r="BF60"/>
    </row>
    <row r="61" spans="58:58" x14ac:dyDescent="0.25">
      <c r="BF61"/>
    </row>
    <row r="62" spans="58:58" x14ac:dyDescent="0.25">
      <c r="BF62"/>
    </row>
    <row r="63" spans="58:58" x14ac:dyDescent="0.25">
      <c r="BF63"/>
    </row>
    <row r="64" spans="58:58" x14ac:dyDescent="0.25">
      <c r="BF64"/>
    </row>
    <row r="65" spans="58:58" x14ac:dyDescent="0.25">
      <c r="BF65"/>
    </row>
    <row r="66" spans="58:58" x14ac:dyDescent="0.25">
      <c r="BF66"/>
    </row>
    <row r="67" spans="58:58" x14ac:dyDescent="0.25">
      <c r="BF67"/>
    </row>
    <row r="68" spans="58:58" x14ac:dyDescent="0.25">
      <c r="BF68"/>
    </row>
    <row r="69" spans="58:58" x14ac:dyDescent="0.25">
      <c r="BF69"/>
    </row>
    <row r="70" spans="58:58" x14ac:dyDescent="0.25">
      <c r="BF70"/>
    </row>
    <row r="71" spans="58:58" x14ac:dyDescent="0.25">
      <c r="BF71"/>
    </row>
    <row r="72" spans="58:58" x14ac:dyDescent="0.25">
      <c r="BF72"/>
    </row>
    <row r="73" spans="58:58" x14ac:dyDescent="0.25">
      <c r="BF73"/>
    </row>
    <row r="74" spans="58:58" x14ac:dyDescent="0.25">
      <c r="BF74"/>
    </row>
    <row r="75" spans="58:58" x14ac:dyDescent="0.25">
      <c r="BF75"/>
    </row>
    <row r="76" spans="58:58" x14ac:dyDescent="0.25">
      <c r="BF76"/>
    </row>
    <row r="77" spans="58:58" x14ac:dyDescent="0.25">
      <c r="BF77"/>
    </row>
    <row r="78" spans="58:58" x14ac:dyDescent="0.25">
      <c r="BF78"/>
    </row>
    <row r="79" spans="58:58" x14ac:dyDescent="0.25">
      <c r="BF79"/>
    </row>
    <row r="80" spans="58:58" x14ac:dyDescent="0.25">
      <c r="BF80"/>
    </row>
    <row r="81" spans="58:58" x14ac:dyDescent="0.25">
      <c r="BF81"/>
    </row>
    <row r="82" spans="58:58" x14ac:dyDescent="0.25">
      <c r="BF82"/>
    </row>
    <row r="83" spans="58:58" x14ac:dyDescent="0.25">
      <c r="BF83"/>
    </row>
    <row r="84" spans="58:58" x14ac:dyDescent="0.25">
      <c r="BF84"/>
    </row>
    <row r="85" spans="58:58" x14ac:dyDescent="0.25">
      <c r="BF85"/>
    </row>
    <row r="86" spans="58:58" x14ac:dyDescent="0.25">
      <c r="BF86"/>
    </row>
    <row r="87" spans="58:58" x14ac:dyDescent="0.25">
      <c r="BF87"/>
    </row>
    <row r="88" spans="58:58" x14ac:dyDescent="0.25">
      <c r="BF88"/>
    </row>
    <row r="89" spans="58:58" x14ac:dyDescent="0.25">
      <c r="BF89"/>
    </row>
    <row r="90" spans="58:58" x14ac:dyDescent="0.25">
      <c r="BF90"/>
    </row>
    <row r="91" spans="58:58" x14ac:dyDescent="0.25">
      <c r="BF91"/>
    </row>
    <row r="92" spans="58:58" x14ac:dyDescent="0.25">
      <c r="BF92"/>
    </row>
    <row r="93" spans="58:58" x14ac:dyDescent="0.25">
      <c r="BF93"/>
    </row>
    <row r="94" spans="58:58" x14ac:dyDescent="0.25">
      <c r="BF94"/>
    </row>
    <row r="95" spans="58:58" x14ac:dyDescent="0.25">
      <c r="BF95"/>
    </row>
    <row r="96" spans="58:58" x14ac:dyDescent="0.25">
      <c r="BF96"/>
    </row>
    <row r="97" spans="58:58" x14ac:dyDescent="0.25">
      <c r="BF97"/>
    </row>
    <row r="98" spans="58:58" x14ac:dyDescent="0.25">
      <c r="BF98"/>
    </row>
    <row r="99" spans="58:58" x14ac:dyDescent="0.25">
      <c r="BF99"/>
    </row>
    <row r="100" spans="58:58" x14ac:dyDescent="0.25">
      <c r="BF100"/>
    </row>
    <row r="101" spans="58:58" x14ac:dyDescent="0.25">
      <c r="BF101"/>
    </row>
    <row r="102" spans="58:58" x14ac:dyDescent="0.25">
      <c r="BF102"/>
    </row>
    <row r="103" spans="58:58" x14ac:dyDescent="0.25">
      <c r="BF103"/>
    </row>
    <row r="104" spans="58:58" x14ac:dyDescent="0.25">
      <c r="BF104"/>
    </row>
    <row r="105" spans="58:58" x14ac:dyDescent="0.25">
      <c r="BF105"/>
    </row>
    <row r="106" spans="58:58" x14ac:dyDescent="0.25">
      <c r="BF106"/>
    </row>
    <row r="107" spans="58:58" x14ac:dyDescent="0.25">
      <c r="BF107"/>
    </row>
    <row r="108" spans="58:58" x14ac:dyDescent="0.25">
      <c r="BF108"/>
    </row>
    <row r="109" spans="58:58" x14ac:dyDescent="0.25">
      <c r="BF109"/>
    </row>
    <row r="110" spans="58:58" x14ac:dyDescent="0.25">
      <c r="BF110"/>
    </row>
    <row r="111" spans="58:58" x14ac:dyDescent="0.25">
      <c r="BF111"/>
    </row>
  </sheetData>
  <mergeCells count="40">
    <mergeCell ref="W39:X39"/>
    <mergeCell ref="Y39:Z39"/>
    <mergeCell ref="P40:Q40"/>
    <mergeCell ref="S40:T40"/>
    <mergeCell ref="X45:Y45"/>
    <mergeCell ref="R1:Y1"/>
    <mergeCell ref="T3:U3"/>
    <mergeCell ref="X3:Z3"/>
    <mergeCell ref="Y20:Y21"/>
    <mergeCell ref="P38:Q38"/>
    <mergeCell ref="AT40:AU40"/>
    <mergeCell ref="AW40:AX40"/>
    <mergeCell ref="AT38:AU38"/>
    <mergeCell ref="BA39:BB39"/>
    <mergeCell ref="BC39:BD39"/>
    <mergeCell ref="BC20:BC21"/>
    <mergeCell ref="AV1:BC1"/>
    <mergeCell ref="AX3:AY3"/>
    <mergeCell ref="BB3:BD3"/>
    <mergeCell ref="BB45:BC45"/>
    <mergeCell ref="AG1:AN1"/>
    <mergeCell ref="AI3:AJ3"/>
    <mergeCell ref="AM3:AO3"/>
    <mergeCell ref="AN20:AN21"/>
    <mergeCell ref="AE38:AF38"/>
    <mergeCell ref="AL39:AM39"/>
    <mergeCell ref="AN39:AO39"/>
    <mergeCell ref="AE40:AF40"/>
    <mergeCell ref="AH40:AI40"/>
    <mergeCell ref="AM45:AN45"/>
    <mergeCell ref="C1:J1"/>
    <mergeCell ref="E3:F3"/>
    <mergeCell ref="I3:K3"/>
    <mergeCell ref="J20:J21"/>
    <mergeCell ref="A38:B38"/>
    <mergeCell ref="H39:I39"/>
    <mergeCell ref="J39:K39"/>
    <mergeCell ref="A40:B40"/>
    <mergeCell ref="D40:E40"/>
    <mergeCell ref="I45:J4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109"/>
  <sheetViews>
    <sheetView topLeftCell="A22" workbookViewId="0">
      <selection activeCell="C32" sqref="C32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8.85546875" customWidth="1"/>
    <col min="17" max="17" width="20.140625" bestFit="1" customWidth="1"/>
  </cols>
  <sheetData>
    <row r="1" spans="1:18" ht="19.5" thickBot="1" x14ac:dyDescent="0.35">
      <c r="L1" s="33"/>
      <c r="M1" s="343">
        <v>1</v>
      </c>
      <c r="N1" s="86" t="s">
        <v>28</v>
      </c>
      <c r="O1" s="86"/>
      <c r="P1" s="110"/>
      <c r="Q1" s="287">
        <v>42534</v>
      </c>
      <c r="R1" s="112"/>
    </row>
    <row r="2" spans="1:18" ht="19.5" customHeight="1" thickBot="1" x14ac:dyDescent="0.35">
      <c r="B2" s="176"/>
      <c r="C2" s="177"/>
      <c r="D2" s="260" t="s">
        <v>21</v>
      </c>
      <c r="E2" s="179"/>
      <c r="F2" s="180"/>
      <c r="G2" s="181"/>
      <c r="L2" s="33"/>
      <c r="M2" s="344"/>
      <c r="N2" s="113"/>
      <c r="O2" s="113"/>
      <c r="P2" s="114"/>
      <c r="Q2" s="115"/>
      <c r="R2" s="112"/>
    </row>
    <row r="3" spans="1:18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"/>
      <c r="M3" s="116" t="s">
        <v>23</v>
      </c>
      <c r="N3" s="116" t="s">
        <v>24</v>
      </c>
      <c r="O3" s="116"/>
      <c r="P3" s="117" t="s">
        <v>29</v>
      </c>
      <c r="Q3" s="118" t="s">
        <v>30</v>
      </c>
      <c r="R3" s="119"/>
    </row>
    <row r="4" spans="1:18" x14ac:dyDescent="0.25">
      <c r="A4" s="14"/>
      <c r="B4" s="92">
        <v>42522</v>
      </c>
      <c r="C4" s="93" t="s">
        <v>289</v>
      </c>
      <c r="D4" s="132">
        <v>5745.4</v>
      </c>
      <c r="E4" s="95">
        <v>42534</v>
      </c>
      <c r="F4" s="94">
        <v>5745.4</v>
      </c>
      <c r="G4" s="158">
        <f t="shared" ref="G4:G39" si="0">D4-F4</f>
        <v>0</v>
      </c>
      <c r="H4" s="146"/>
      <c r="L4" s="3">
        <f>23760+27960.5+32457.5+52670.5+29605</f>
        <v>166453.5</v>
      </c>
      <c r="M4" s="93" t="s">
        <v>286</v>
      </c>
      <c r="N4" s="132">
        <v>166453.49</v>
      </c>
      <c r="O4" s="120"/>
      <c r="P4" s="289">
        <v>3266529</v>
      </c>
      <c r="Q4" s="296">
        <v>24388.5</v>
      </c>
      <c r="R4" s="297">
        <v>42516</v>
      </c>
    </row>
    <row r="5" spans="1:18" x14ac:dyDescent="0.25">
      <c r="A5" s="14"/>
      <c r="B5" s="96">
        <v>42523</v>
      </c>
      <c r="C5" s="93" t="s">
        <v>290</v>
      </c>
      <c r="D5" s="132">
        <v>7985.6</v>
      </c>
      <c r="E5" s="95">
        <v>42534</v>
      </c>
      <c r="F5" s="94">
        <v>7985.6</v>
      </c>
      <c r="G5" s="97">
        <f t="shared" si="0"/>
        <v>0</v>
      </c>
      <c r="H5" s="146"/>
      <c r="L5" s="3">
        <f>24388.5+6972.5</f>
        <v>31361</v>
      </c>
      <c r="M5" s="93" t="s">
        <v>271</v>
      </c>
      <c r="N5" s="132">
        <v>31360.62</v>
      </c>
      <c r="O5" s="310" t="s">
        <v>36</v>
      </c>
      <c r="P5" s="241">
        <v>3266528</v>
      </c>
      <c r="Q5" s="242">
        <v>37303.5</v>
      </c>
      <c r="R5" s="290">
        <v>42517</v>
      </c>
    </row>
    <row r="6" spans="1:18" x14ac:dyDescent="0.25">
      <c r="A6" s="14"/>
      <c r="B6" s="96">
        <v>42524</v>
      </c>
      <c r="C6" s="98" t="s">
        <v>291</v>
      </c>
      <c r="D6" s="132">
        <v>15483.6</v>
      </c>
      <c r="E6" s="95">
        <v>42534</v>
      </c>
      <c r="F6" s="94">
        <v>15483.6</v>
      </c>
      <c r="G6" s="97">
        <f t="shared" si="0"/>
        <v>0</v>
      </c>
      <c r="H6" s="38"/>
      <c r="L6" s="3">
        <v>404.25</v>
      </c>
      <c r="M6" s="93" t="s">
        <v>270</v>
      </c>
      <c r="N6" s="132">
        <v>404.25</v>
      </c>
      <c r="O6" s="124"/>
      <c r="P6" s="241" t="s">
        <v>31</v>
      </c>
      <c r="Q6" s="242">
        <v>34394.5</v>
      </c>
      <c r="R6" s="290">
        <v>42520</v>
      </c>
    </row>
    <row r="7" spans="1:18" x14ac:dyDescent="0.25">
      <c r="A7" s="14"/>
      <c r="B7" s="96">
        <v>42525</v>
      </c>
      <c r="C7" s="93" t="s">
        <v>292</v>
      </c>
      <c r="D7" s="132">
        <v>219956.2</v>
      </c>
      <c r="E7" s="95" t="s">
        <v>330</v>
      </c>
      <c r="F7" s="94">
        <f>199864.92+20091.28</f>
        <v>219956.2</v>
      </c>
      <c r="G7" s="99">
        <f t="shared" si="0"/>
        <v>0</v>
      </c>
      <c r="H7" s="38"/>
      <c r="L7" s="3">
        <f>64321+34740.5+50571</f>
        <v>149632.5</v>
      </c>
      <c r="M7" s="93" t="s">
        <v>272</v>
      </c>
      <c r="N7" s="132">
        <v>149632.6</v>
      </c>
      <c r="O7" s="124"/>
      <c r="P7" s="241">
        <v>3266527</v>
      </c>
      <c r="Q7" s="242">
        <v>34740.5</v>
      </c>
      <c r="R7" s="290">
        <v>42518</v>
      </c>
    </row>
    <row r="8" spans="1:18" x14ac:dyDescent="0.25">
      <c r="A8" s="14"/>
      <c r="B8" s="96">
        <v>42527</v>
      </c>
      <c r="C8" s="93" t="s">
        <v>305</v>
      </c>
      <c r="D8" s="132">
        <v>160692</v>
      </c>
      <c r="E8" s="95">
        <v>42542</v>
      </c>
      <c r="F8" s="100">
        <v>160692</v>
      </c>
      <c r="G8" s="97">
        <f t="shared" si="0"/>
        <v>0</v>
      </c>
      <c r="H8" s="38"/>
      <c r="L8" s="3">
        <v>10502.42</v>
      </c>
      <c r="M8" s="93" t="s">
        <v>277</v>
      </c>
      <c r="N8" s="132">
        <v>10502.42</v>
      </c>
      <c r="O8" s="124"/>
      <c r="P8" s="241">
        <v>3266526</v>
      </c>
      <c r="Q8" s="242">
        <v>40000</v>
      </c>
      <c r="R8" s="290">
        <v>42519</v>
      </c>
    </row>
    <row r="9" spans="1:18" x14ac:dyDescent="0.25">
      <c r="A9" s="286"/>
      <c r="B9" s="96">
        <v>42529</v>
      </c>
      <c r="C9" s="93" t="s">
        <v>306</v>
      </c>
      <c r="D9" s="235">
        <v>16947.25</v>
      </c>
      <c r="E9" s="95">
        <v>42542</v>
      </c>
      <c r="F9" s="94">
        <v>16947.25</v>
      </c>
      <c r="G9" s="99">
        <f t="shared" si="0"/>
        <v>0</v>
      </c>
      <c r="H9" s="38"/>
      <c r="L9" s="3">
        <f>44342+136218+32890.5</f>
        <v>213450.5</v>
      </c>
      <c r="M9" s="93" t="s">
        <v>278</v>
      </c>
      <c r="N9" s="132">
        <v>213450.6</v>
      </c>
      <c r="O9" s="128"/>
      <c r="P9" s="241">
        <v>3266525</v>
      </c>
      <c r="Q9" s="242">
        <v>25000</v>
      </c>
      <c r="R9" s="290">
        <v>42519</v>
      </c>
    </row>
    <row r="10" spans="1:18" x14ac:dyDescent="0.25">
      <c r="A10" s="14"/>
      <c r="B10" s="96">
        <v>42530</v>
      </c>
      <c r="C10" s="93" t="s">
        <v>307</v>
      </c>
      <c r="D10" s="132">
        <v>12060.2</v>
      </c>
      <c r="E10" s="95">
        <v>42542</v>
      </c>
      <c r="F10" s="94">
        <v>12060.2</v>
      </c>
      <c r="G10" s="99">
        <f t="shared" si="0"/>
        <v>0</v>
      </c>
      <c r="H10" s="38"/>
      <c r="L10" s="3">
        <f>9105.5+5076.5</f>
        <v>14182</v>
      </c>
      <c r="M10" s="93" t="s">
        <v>287</v>
      </c>
      <c r="N10" s="132">
        <v>14182</v>
      </c>
      <c r="O10" s="129"/>
      <c r="P10" s="241">
        <v>3266524</v>
      </c>
      <c r="Q10" s="242">
        <v>19833.5</v>
      </c>
      <c r="R10" s="290">
        <v>42519</v>
      </c>
    </row>
    <row r="11" spans="1:18" ht="15" x14ac:dyDescent="0.25">
      <c r="A11" s="14"/>
      <c r="B11" s="96">
        <v>42530</v>
      </c>
      <c r="C11" s="93" t="s">
        <v>308</v>
      </c>
      <c r="D11" s="132">
        <v>66598</v>
      </c>
      <c r="E11" s="95" t="s">
        <v>348</v>
      </c>
      <c r="F11" s="94">
        <f>39252.72+27345.28</f>
        <v>66598</v>
      </c>
      <c r="G11" s="99">
        <f t="shared" si="0"/>
        <v>0</v>
      </c>
      <c r="H11" s="38"/>
      <c r="L11" s="3">
        <v>5745.4</v>
      </c>
      <c r="M11" s="93" t="s">
        <v>289</v>
      </c>
      <c r="N11" s="132">
        <v>5745.4</v>
      </c>
      <c r="O11" s="124"/>
      <c r="P11" s="291" t="s">
        <v>31</v>
      </c>
      <c r="Q11" s="292">
        <v>8528</v>
      </c>
      <c r="R11" s="290">
        <v>42522</v>
      </c>
    </row>
    <row r="12" spans="1:18" ht="15" x14ac:dyDescent="0.25">
      <c r="A12" s="14"/>
      <c r="B12" s="96">
        <v>42531</v>
      </c>
      <c r="C12" s="93" t="s">
        <v>316</v>
      </c>
      <c r="D12" s="132">
        <v>332482.34999999998</v>
      </c>
      <c r="E12" s="95">
        <v>42542</v>
      </c>
      <c r="F12" s="132">
        <v>332482.34999999998</v>
      </c>
      <c r="G12" s="99">
        <f t="shared" si="0"/>
        <v>0</v>
      </c>
      <c r="H12" s="38"/>
      <c r="L12" s="3">
        <v>7985.6</v>
      </c>
      <c r="M12" s="93" t="s">
        <v>290</v>
      </c>
      <c r="N12" s="132">
        <v>7985.6</v>
      </c>
      <c r="O12" s="124"/>
      <c r="P12" s="291">
        <v>3266523</v>
      </c>
      <c r="Q12" s="292">
        <v>19432.5</v>
      </c>
      <c r="R12" s="290">
        <v>42520</v>
      </c>
    </row>
    <row r="13" spans="1:18" ht="15" x14ac:dyDescent="0.25">
      <c r="A13" s="14"/>
      <c r="B13" s="96">
        <v>42533</v>
      </c>
      <c r="C13" s="93" t="s">
        <v>315</v>
      </c>
      <c r="D13" s="132">
        <v>33231.919999999998</v>
      </c>
      <c r="E13" s="95">
        <v>42542</v>
      </c>
      <c r="F13" s="132">
        <v>33231.919999999998</v>
      </c>
      <c r="G13" s="99">
        <f t="shared" si="0"/>
        <v>0</v>
      </c>
      <c r="H13" s="38"/>
      <c r="L13" s="3">
        <v>15483.6</v>
      </c>
      <c r="M13" s="98" t="s">
        <v>291</v>
      </c>
      <c r="N13" s="132">
        <v>15483.6</v>
      </c>
      <c r="O13" s="124"/>
      <c r="P13" s="291" t="s">
        <v>31</v>
      </c>
      <c r="Q13" s="292">
        <v>20251</v>
      </c>
      <c r="R13" s="290">
        <v>42522</v>
      </c>
    </row>
    <row r="14" spans="1:18" ht="15" x14ac:dyDescent="0.25">
      <c r="A14" s="264"/>
      <c r="B14" s="96">
        <v>42534</v>
      </c>
      <c r="C14" s="93" t="s">
        <v>317</v>
      </c>
      <c r="D14" s="132">
        <v>35412.78</v>
      </c>
      <c r="E14" s="95">
        <v>42542</v>
      </c>
      <c r="F14" s="94">
        <v>35412.78</v>
      </c>
      <c r="G14" s="99">
        <f t="shared" si="0"/>
        <v>0</v>
      </c>
      <c r="H14" s="38"/>
      <c r="L14" s="3">
        <f>4716+97321+97827.5</f>
        <v>199864.5</v>
      </c>
      <c r="M14" s="93" t="s">
        <v>292</v>
      </c>
      <c r="N14" s="132">
        <v>199864.92</v>
      </c>
      <c r="O14" s="124" t="s">
        <v>37</v>
      </c>
      <c r="P14" s="291">
        <v>3266522</v>
      </c>
      <c r="Q14" s="292">
        <v>12206.5</v>
      </c>
      <c r="R14" s="290">
        <v>42521</v>
      </c>
    </row>
    <row r="15" spans="1:18" ht="15" x14ac:dyDescent="0.25">
      <c r="A15" s="14"/>
      <c r="B15" s="96">
        <v>42537</v>
      </c>
      <c r="C15" s="93" t="s">
        <v>324</v>
      </c>
      <c r="D15" s="132">
        <v>15339</v>
      </c>
      <c r="E15" s="95">
        <v>42551</v>
      </c>
      <c r="F15" s="132">
        <v>15339</v>
      </c>
      <c r="G15" s="99">
        <f t="shared" si="0"/>
        <v>0</v>
      </c>
      <c r="H15" s="38"/>
      <c r="L15" s="3"/>
      <c r="M15" s="93"/>
      <c r="N15" s="132"/>
      <c r="O15" s="124"/>
      <c r="P15" s="291" t="s">
        <v>31</v>
      </c>
      <c r="Q15" s="292">
        <v>11058</v>
      </c>
      <c r="R15" s="290">
        <v>42523</v>
      </c>
    </row>
    <row r="16" spans="1:18" ht="15" x14ac:dyDescent="0.25">
      <c r="A16" s="14"/>
      <c r="B16" s="96">
        <v>42538</v>
      </c>
      <c r="C16" s="93" t="s">
        <v>327</v>
      </c>
      <c r="D16" s="132">
        <v>342340.7</v>
      </c>
      <c r="E16" s="95">
        <v>42551</v>
      </c>
      <c r="F16" s="132">
        <v>342340.7</v>
      </c>
      <c r="G16" s="99">
        <f t="shared" si="0"/>
        <v>0</v>
      </c>
      <c r="H16" s="38"/>
      <c r="L16" s="3"/>
      <c r="M16" s="93"/>
      <c r="N16" s="132"/>
      <c r="O16" s="124"/>
      <c r="P16" s="291" t="s">
        <v>31</v>
      </c>
      <c r="Q16" s="292">
        <v>2919</v>
      </c>
      <c r="R16" s="290">
        <v>42524</v>
      </c>
    </row>
    <row r="17" spans="1:18" ht="15" x14ac:dyDescent="0.25">
      <c r="A17" s="14"/>
      <c r="B17" s="96">
        <v>42539</v>
      </c>
      <c r="C17" s="93" t="s">
        <v>328</v>
      </c>
      <c r="D17" s="132">
        <v>109412.16</v>
      </c>
      <c r="E17" s="95">
        <v>42551</v>
      </c>
      <c r="F17" s="132">
        <v>109412.16</v>
      </c>
      <c r="G17" s="99">
        <f t="shared" si="0"/>
        <v>0</v>
      </c>
      <c r="H17" s="38"/>
      <c r="L17" s="3"/>
      <c r="M17" s="93"/>
      <c r="N17" s="132"/>
      <c r="O17" s="124"/>
      <c r="P17" s="291" t="s">
        <v>31</v>
      </c>
      <c r="Q17" s="292">
        <v>6539</v>
      </c>
      <c r="R17" s="290">
        <v>42523</v>
      </c>
    </row>
    <row r="18" spans="1:18" ht="15" x14ac:dyDescent="0.25">
      <c r="A18" s="14"/>
      <c r="B18" s="96">
        <v>42540</v>
      </c>
      <c r="C18" s="93" t="s">
        <v>329</v>
      </c>
      <c r="D18" s="132">
        <v>37592</v>
      </c>
      <c r="E18" s="95">
        <v>42551</v>
      </c>
      <c r="F18" s="132">
        <v>37592</v>
      </c>
      <c r="G18" s="99">
        <f t="shared" si="0"/>
        <v>0</v>
      </c>
      <c r="H18" s="38"/>
      <c r="L18" s="3"/>
      <c r="M18" s="93"/>
      <c r="N18" s="132"/>
      <c r="O18" s="124"/>
      <c r="P18" s="291">
        <v>3266521</v>
      </c>
      <c r="Q18" s="292">
        <v>15000</v>
      </c>
      <c r="R18" s="290">
        <v>42522</v>
      </c>
    </row>
    <row r="19" spans="1:18" ht="15" x14ac:dyDescent="0.25">
      <c r="A19" s="14"/>
      <c r="B19" s="96">
        <v>42542</v>
      </c>
      <c r="C19" s="93" t="s">
        <v>334</v>
      </c>
      <c r="D19" s="132">
        <v>7413</v>
      </c>
      <c r="E19" s="95">
        <v>42551</v>
      </c>
      <c r="F19" s="94">
        <v>7413</v>
      </c>
      <c r="G19" s="99">
        <f t="shared" si="0"/>
        <v>0</v>
      </c>
      <c r="H19" s="38"/>
      <c r="L19" s="3"/>
      <c r="M19" s="93"/>
      <c r="N19" s="132"/>
      <c r="O19" s="124"/>
      <c r="P19" s="291">
        <v>3266520</v>
      </c>
      <c r="Q19" s="292">
        <v>17154.5</v>
      </c>
      <c r="R19" s="290">
        <v>42522</v>
      </c>
    </row>
    <row r="20" spans="1:18" ht="15" x14ac:dyDescent="0.25">
      <c r="A20" s="14"/>
      <c r="B20" s="96">
        <v>42542</v>
      </c>
      <c r="C20" s="93" t="s">
        <v>340</v>
      </c>
      <c r="D20" s="132">
        <v>82041</v>
      </c>
      <c r="E20" s="95">
        <v>42551</v>
      </c>
      <c r="F20" s="94">
        <v>82041</v>
      </c>
      <c r="G20" s="99">
        <f t="shared" si="0"/>
        <v>0</v>
      </c>
      <c r="H20" s="38"/>
      <c r="L20" s="3"/>
      <c r="M20" s="93"/>
      <c r="N20" s="132"/>
      <c r="O20" s="124"/>
      <c r="P20" s="291" t="s">
        <v>31</v>
      </c>
      <c r="Q20" s="292">
        <v>9816</v>
      </c>
      <c r="R20" s="290">
        <v>42522</v>
      </c>
    </row>
    <row r="21" spans="1:18" ht="15" x14ac:dyDescent="0.25">
      <c r="A21" s="14"/>
      <c r="B21" s="96">
        <v>42543</v>
      </c>
      <c r="C21" s="93" t="s">
        <v>335</v>
      </c>
      <c r="D21" s="132">
        <v>47814.36</v>
      </c>
      <c r="E21" s="95">
        <v>42551</v>
      </c>
      <c r="F21" s="94">
        <v>47814.36</v>
      </c>
      <c r="G21" s="99">
        <f t="shared" si="0"/>
        <v>0</v>
      </c>
      <c r="H21" s="38"/>
      <c r="L21" s="3"/>
      <c r="M21" s="93"/>
      <c r="N21" s="132"/>
      <c r="O21" s="124"/>
      <c r="P21" s="291">
        <v>3266519</v>
      </c>
      <c r="Q21" s="292">
        <v>28894.5</v>
      </c>
      <c r="R21" s="290">
        <v>42523</v>
      </c>
    </row>
    <row r="22" spans="1:18" ht="15" x14ac:dyDescent="0.25">
      <c r="A22" s="14"/>
      <c r="B22" s="96">
        <v>42544</v>
      </c>
      <c r="C22" s="93" t="s">
        <v>336</v>
      </c>
      <c r="D22" s="132">
        <v>37379.699999999997</v>
      </c>
      <c r="E22" s="95">
        <v>42551</v>
      </c>
      <c r="F22" s="94">
        <v>37379.699999999997</v>
      </c>
      <c r="G22" s="99">
        <f t="shared" si="0"/>
        <v>0</v>
      </c>
      <c r="H22" s="38"/>
      <c r="L22" s="3"/>
      <c r="M22" s="93"/>
      <c r="N22" s="132"/>
      <c r="O22" s="124"/>
      <c r="P22" s="291">
        <v>3266517</v>
      </c>
      <c r="Q22" s="292">
        <v>37149.5</v>
      </c>
      <c r="R22" s="290">
        <v>42524</v>
      </c>
    </row>
    <row r="23" spans="1:18" ht="15" x14ac:dyDescent="0.25">
      <c r="A23" s="14"/>
      <c r="B23" s="96">
        <v>42544</v>
      </c>
      <c r="C23" s="93" t="s">
        <v>337</v>
      </c>
      <c r="D23" s="132">
        <v>190586.04</v>
      </c>
      <c r="E23" s="95">
        <v>42551</v>
      </c>
      <c r="F23" s="94">
        <v>190586.04</v>
      </c>
      <c r="G23" s="99">
        <f t="shared" si="0"/>
        <v>0</v>
      </c>
      <c r="H23" s="38"/>
      <c r="L23" s="3"/>
      <c r="M23" s="93"/>
      <c r="N23" s="132"/>
      <c r="O23" s="124"/>
      <c r="P23" s="291">
        <v>3266518</v>
      </c>
      <c r="Q23" s="292">
        <v>26000</v>
      </c>
      <c r="R23" s="290">
        <v>42524</v>
      </c>
    </row>
    <row r="24" spans="1:18" ht="15" x14ac:dyDescent="0.25">
      <c r="A24" s="14"/>
      <c r="B24" s="96">
        <v>42545</v>
      </c>
      <c r="C24" s="93" t="s">
        <v>341</v>
      </c>
      <c r="D24" s="132">
        <v>720</v>
      </c>
      <c r="E24" s="95">
        <v>42551</v>
      </c>
      <c r="F24" s="94">
        <v>720</v>
      </c>
      <c r="G24" s="99">
        <f t="shared" si="0"/>
        <v>0</v>
      </c>
      <c r="H24" s="38"/>
      <c r="L24" s="3"/>
      <c r="M24" s="93"/>
      <c r="N24" s="132"/>
      <c r="O24" s="124"/>
      <c r="P24" s="291">
        <v>3266516</v>
      </c>
      <c r="Q24" s="292">
        <v>32000</v>
      </c>
      <c r="R24" s="290">
        <v>42525</v>
      </c>
    </row>
    <row r="25" spans="1:18" ht="15" x14ac:dyDescent="0.25">
      <c r="A25" s="14"/>
      <c r="B25" s="96">
        <v>42546</v>
      </c>
      <c r="C25" s="93" t="s">
        <v>342</v>
      </c>
      <c r="D25" s="132">
        <v>256226.63</v>
      </c>
      <c r="E25" s="102">
        <v>42566</v>
      </c>
      <c r="F25" s="101">
        <v>256226.63</v>
      </c>
      <c r="G25" s="99">
        <f t="shared" si="0"/>
        <v>0</v>
      </c>
      <c r="H25" s="38"/>
      <c r="L25" s="3"/>
      <c r="M25" s="93"/>
      <c r="N25" s="132"/>
      <c r="O25" s="124"/>
      <c r="P25" s="291">
        <v>3266515</v>
      </c>
      <c r="Q25" s="292">
        <v>38000</v>
      </c>
      <c r="R25" s="290">
        <v>42525</v>
      </c>
    </row>
    <row r="26" spans="1:18" ht="15" x14ac:dyDescent="0.25">
      <c r="A26" s="14"/>
      <c r="B26" s="96">
        <v>42546</v>
      </c>
      <c r="C26" s="93" t="s">
        <v>343</v>
      </c>
      <c r="D26" s="132">
        <v>17818.48</v>
      </c>
      <c r="E26" s="102" t="s">
        <v>378</v>
      </c>
      <c r="F26" s="315">
        <f>1784.76+16033.72</f>
        <v>17818.48</v>
      </c>
      <c r="G26" s="314">
        <f t="shared" si="0"/>
        <v>0</v>
      </c>
      <c r="H26" s="38"/>
      <c r="L26" s="3"/>
      <c r="M26" s="93"/>
      <c r="N26" s="132"/>
      <c r="O26" s="124"/>
      <c r="P26" s="291">
        <v>3266514</v>
      </c>
      <c r="Q26" s="292">
        <v>25000</v>
      </c>
      <c r="R26" s="290">
        <v>42525</v>
      </c>
    </row>
    <row r="27" spans="1:18" ht="15" x14ac:dyDescent="0.25">
      <c r="A27" s="14"/>
      <c r="B27" s="96">
        <v>42549</v>
      </c>
      <c r="C27" s="93" t="s">
        <v>344</v>
      </c>
      <c r="D27" s="132">
        <v>38173.870000000003</v>
      </c>
      <c r="E27" s="102">
        <v>42566</v>
      </c>
      <c r="F27" s="101">
        <v>38173.870000000003</v>
      </c>
      <c r="G27" s="99">
        <f t="shared" si="0"/>
        <v>0</v>
      </c>
      <c r="H27" s="38"/>
      <c r="L27" s="3"/>
      <c r="M27" s="93"/>
      <c r="N27" s="132"/>
      <c r="O27" s="124"/>
      <c r="P27" s="291">
        <v>3266512</v>
      </c>
      <c r="Q27" s="292">
        <v>41218</v>
      </c>
      <c r="R27" s="290">
        <v>42525</v>
      </c>
    </row>
    <row r="28" spans="1:18" ht="15" x14ac:dyDescent="0.25">
      <c r="A28" s="14"/>
      <c r="B28" s="96">
        <v>42549</v>
      </c>
      <c r="C28" s="93" t="s">
        <v>345</v>
      </c>
      <c r="D28" s="132">
        <v>38229.629999999997</v>
      </c>
      <c r="E28" s="102">
        <v>42566</v>
      </c>
      <c r="F28" s="101">
        <v>38229.629999999997</v>
      </c>
      <c r="G28" s="99">
        <f t="shared" si="0"/>
        <v>0</v>
      </c>
      <c r="H28" s="38"/>
      <c r="L28" s="3"/>
      <c r="M28" s="93"/>
      <c r="N28" s="132"/>
      <c r="O28" s="124"/>
      <c r="P28" s="291">
        <v>3266511</v>
      </c>
      <c r="Q28" s="292">
        <v>23090</v>
      </c>
      <c r="R28" s="290">
        <v>42526</v>
      </c>
    </row>
    <row r="29" spans="1:18" ht="15" x14ac:dyDescent="0.25">
      <c r="A29" s="14"/>
      <c r="B29" s="96">
        <v>42549</v>
      </c>
      <c r="C29" s="93" t="s">
        <v>349</v>
      </c>
      <c r="D29" s="132">
        <v>38508.43</v>
      </c>
      <c r="E29" s="102">
        <v>42566</v>
      </c>
      <c r="F29" s="101">
        <v>38508.43</v>
      </c>
      <c r="G29" s="99">
        <f t="shared" si="0"/>
        <v>0</v>
      </c>
      <c r="H29" s="38"/>
      <c r="L29" s="3"/>
      <c r="M29" s="93"/>
      <c r="N29" s="132"/>
      <c r="O29" s="124"/>
      <c r="P29" s="291">
        <v>3266513</v>
      </c>
      <c r="Q29" s="292">
        <v>30000</v>
      </c>
      <c r="R29" s="290">
        <v>42526</v>
      </c>
    </row>
    <row r="30" spans="1:18" ht="15" x14ac:dyDescent="0.25">
      <c r="A30" s="14"/>
      <c r="B30" s="96">
        <v>42551</v>
      </c>
      <c r="C30" s="93" t="s">
        <v>346</v>
      </c>
      <c r="D30" s="132">
        <v>41956.4</v>
      </c>
      <c r="E30" s="102">
        <v>42566</v>
      </c>
      <c r="F30" s="101">
        <v>41956.4</v>
      </c>
      <c r="G30" s="99">
        <f t="shared" si="0"/>
        <v>0</v>
      </c>
      <c r="H30" s="38"/>
      <c r="L30" s="3"/>
      <c r="M30" s="93"/>
      <c r="N30" s="132"/>
      <c r="O30" s="124"/>
      <c r="P30" s="291" t="s">
        <v>31</v>
      </c>
      <c r="Q30" s="292">
        <v>61995</v>
      </c>
      <c r="R30" s="290">
        <v>42530</v>
      </c>
    </row>
    <row r="31" spans="1:18" ht="15" x14ac:dyDescent="0.25">
      <c r="A31" s="14"/>
      <c r="B31" s="96">
        <v>42551</v>
      </c>
      <c r="C31" s="93" t="s">
        <v>350</v>
      </c>
      <c r="D31" s="132">
        <v>647.70000000000005</v>
      </c>
      <c r="E31" s="102">
        <v>42566</v>
      </c>
      <c r="F31" s="101">
        <v>647.70000000000005</v>
      </c>
      <c r="G31" s="99">
        <f t="shared" si="0"/>
        <v>0</v>
      </c>
      <c r="H31" s="38"/>
      <c r="L31" s="3"/>
      <c r="M31" s="93"/>
      <c r="N31" s="132"/>
      <c r="O31" s="124"/>
      <c r="P31" s="291" t="s">
        <v>31</v>
      </c>
      <c r="Q31" s="292">
        <v>24744</v>
      </c>
      <c r="R31" s="290">
        <v>42528</v>
      </c>
    </row>
    <row r="32" spans="1:18" ht="15" x14ac:dyDescent="0.25">
      <c r="A32" s="14"/>
      <c r="B32" s="96"/>
      <c r="C32" s="93"/>
      <c r="D32" s="132"/>
      <c r="E32" s="102"/>
      <c r="F32" s="101"/>
      <c r="G32" s="99">
        <f t="shared" si="0"/>
        <v>0</v>
      </c>
      <c r="H32" s="38"/>
      <c r="L32" s="3"/>
      <c r="M32" s="93"/>
      <c r="N32" s="132"/>
      <c r="O32" s="124"/>
      <c r="P32" s="291">
        <v>3266510</v>
      </c>
      <c r="Q32" s="292">
        <v>10582</v>
      </c>
      <c r="R32" s="290">
        <v>42527</v>
      </c>
    </row>
    <row r="33" spans="1:18" ht="15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/>
      <c r="M33" s="93"/>
      <c r="N33" s="132"/>
      <c r="O33" s="124"/>
      <c r="P33" s="291" t="s">
        <v>31</v>
      </c>
      <c r="Q33" s="292">
        <v>8233</v>
      </c>
      <c r="R33" s="290">
        <v>42529</v>
      </c>
    </row>
    <row r="34" spans="1:18" ht="15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/>
      <c r="M34" s="93"/>
      <c r="N34" s="132"/>
      <c r="O34" s="124"/>
      <c r="P34" s="291">
        <v>3266509</v>
      </c>
      <c r="Q34" s="292">
        <v>50000</v>
      </c>
      <c r="R34" s="290">
        <v>42528</v>
      </c>
    </row>
    <row r="35" spans="1:1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/>
      <c r="M35" s="93"/>
      <c r="N35" s="132"/>
      <c r="O35" s="124"/>
      <c r="P35" s="291">
        <v>3266508</v>
      </c>
      <c r="Q35" s="292">
        <v>39594.5</v>
      </c>
      <c r="R35" s="290">
        <v>42528</v>
      </c>
    </row>
    <row r="36" spans="1:18" thickBot="1" x14ac:dyDescent="0.3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/>
      <c r="M36" s="281"/>
      <c r="N36" s="282"/>
      <c r="O36" s="219"/>
      <c r="P36" s="293"/>
      <c r="Q36" s="294">
        <v>0</v>
      </c>
      <c r="R36" s="295"/>
    </row>
    <row r="37" spans="1:18" ht="16.5" thickTop="1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3">
        <f>SUM(L4:L36)</f>
        <v>815065.2699999999</v>
      </c>
      <c r="M37" s="147"/>
      <c r="N37" s="236">
        <f>SUM(N4:N36)</f>
        <v>815065.5</v>
      </c>
      <c r="O37" s="210"/>
      <c r="P37" s="211"/>
      <c r="Q37" s="200">
        <f>SUM(Q4:Q36)</f>
        <v>815065.5</v>
      </c>
      <c r="R37" s="202"/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</row>
    <row r="39" spans="1:18" ht="16.5" customHeight="1" thickBot="1" x14ac:dyDescent="0.3">
      <c r="B39" s="14"/>
      <c r="C39" s="104"/>
      <c r="D39" s="262"/>
      <c r="E39" s="104"/>
      <c r="F39" s="106"/>
      <c r="G39" s="107">
        <f t="shared" si="0"/>
        <v>0</v>
      </c>
    </row>
    <row r="40" spans="1:18" ht="17.25" thickTop="1" thickBot="1" x14ac:dyDescent="0.3">
      <c r="B40"/>
      <c r="C40"/>
      <c r="D40" s="263">
        <f>SUM(D4:D39)</f>
        <v>2208794.4000000004</v>
      </c>
      <c r="E40" s="108"/>
      <c r="F40" s="109">
        <f>SUM(F4:F39)</f>
        <v>2208794.4000000004</v>
      </c>
      <c r="G40" s="109">
        <f>SUM(G4:G39)</f>
        <v>0</v>
      </c>
    </row>
    <row r="41" spans="1:18" ht="19.5" thickBot="1" x14ac:dyDescent="0.35">
      <c r="L41" s="33"/>
      <c r="M41" s="343">
        <v>1</v>
      </c>
      <c r="N41" s="86" t="s">
        <v>28</v>
      </c>
      <c r="O41" s="86"/>
      <c r="P41" s="110"/>
      <c r="Q41" s="197">
        <v>42542</v>
      </c>
      <c r="R41" s="112"/>
    </row>
    <row r="42" spans="1:18" ht="16.5" thickBot="1" x14ac:dyDescent="0.3">
      <c r="L42" s="33"/>
      <c r="M42" s="344"/>
      <c r="N42" s="113"/>
      <c r="O42" s="113"/>
      <c r="P42" s="114"/>
      <c r="Q42" s="115"/>
      <c r="R42" s="112"/>
    </row>
    <row r="43" spans="1:18" ht="16.5" thickBot="1" x14ac:dyDescent="0.3">
      <c r="L43" s="3"/>
      <c r="M43" s="116" t="s">
        <v>23</v>
      </c>
      <c r="N43" s="116" t="s">
        <v>24</v>
      </c>
      <c r="O43" s="116"/>
      <c r="P43" s="117" t="s">
        <v>29</v>
      </c>
      <c r="Q43" s="118" t="s">
        <v>30</v>
      </c>
      <c r="R43" s="119"/>
    </row>
    <row r="44" spans="1:18" ht="16.5" thickTop="1" x14ac:dyDescent="0.25">
      <c r="B44"/>
      <c r="C44" s="159">
        <v>42522</v>
      </c>
      <c r="D44" s="3">
        <v>2888</v>
      </c>
      <c r="E44" t="s">
        <v>299</v>
      </c>
      <c r="F44"/>
      <c r="G44"/>
      <c r="H44"/>
      <c r="L44" s="3">
        <v>20091.7</v>
      </c>
      <c r="M44" s="93" t="s">
        <v>292</v>
      </c>
      <c r="N44" s="132">
        <v>20091.28</v>
      </c>
      <c r="O44" s="120" t="s">
        <v>36</v>
      </c>
      <c r="P44" s="289" t="s">
        <v>31</v>
      </c>
      <c r="Q44" s="296">
        <v>86299</v>
      </c>
      <c r="R44" s="297">
        <v>42531</v>
      </c>
    </row>
    <row r="45" spans="1:18" x14ac:dyDescent="0.25">
      <c r="B45"/>
      <c r="C45" s="159">
        <v>42529</v>
      </c>
      <c r="D45" s="3">
        <v>2707.5</v>
      </c>
      <c r="E45" t="s">
        <v>319</v>
      </c>
      <c r="F45"/>
      <c r="G45"/>
      <c r="H45"/>
      <c r="L45" s="3">
        <v>160692</v>
      </c>
      <c r="M45" s="93" t="s">
        <v>305</v>
      </c>
      <c r="N45" s="132">
        <v>160692</v>
      </c>
      <c r="O45" s="124"/>
      <c r="P45" s="241" t="s">
        <v>31</v>
      </c>
      <c r="Q45" s="242">
        <v>10350</v>
      </c>
      <c r="R45" s="290">
        <v>42530</v>
      </c>
    </row>
    <row r="46" spans="1:18" x14ac:dyDescent="0.25">
      <c r="B46"/>
      <c r="C46" s="159">
        <v>42530</v>
      </c>
      <c r="D46" s="3">
        <v>25525</v>
      </c>
      <c r="E46" t="s">
        <v>320</v>
      </c>
      <c r="F46"/>
      <c r="G46"/>
      <c r="H46"/>
      <c r="L46" s="3">
        <f>2600.3+14346.95</f>
        <v>16947.25</v>
      </c>
      <c r="M46" s="93" t="s">
        <v>306</v>
      </c>
      <c r="N46" s="235">
        <v>16947.25</v>
      </c>
      <c r="O46" s="124"/>
      <c r="P46" s="241" t="s">
        <v>31</v>
      </c>
      <c r="Q46" s="242">
        <v>2097</v>
      </c>
      <c r="R46" s="290">
        <v>42527</v>
      </c>
    </row>
    <row r="47" spans="1:18" x14ac:dyDescent="0.25">
      <c r="B47"/>
      <c r="C47" s="159">
        <v>42532</v>
      </c>
      <c r="D47" s="3">
        <v>2280</v>
      </c>
      <c r="E47" t="s">
        <v>49</v>
      </c>
      <c r="F47"/>
      <c r="G47"/>
      <c r="H47"/>
      <c r="L47" s="3">
        <v>12060.2</v>
      </c>
      <c r="M47" s="93" t="s">
        <v>307</v>
      </c>
      <c r="N47" s="132">
        <v>12060.2</v>
      </c>
      <c r="O47" s="124"/>
      <c r="P47" s="241">
        <v>3266507</v>
      </c>
      <c r="Q47" s="242">
        <v>50000</v>
      </c>
      <c r="R47" s="290">
        <v>42529</v>
      </c>
    </row>
    <row r="48" spans="1:18" x14ac:dyDescent="0.25">
      <c r="B48"/>
      <c r="C48" s="159">
        <v>42534</v>
      </c>
      <c r="D48" s="3">
        <v>8274</v>
      </c>
      <c r="E48" t="s">
        <v>320</v>
      </c>
      <c r="F48"/>
      <c r="G48"/>
      <c r="H48"/>
      <c r="L48" s="3">
        <v>39252.300000000003</v>
      </c>
      <c r="M48" s="93" t="s">
        <v>308</v>
      </c>
      <c r="N48" s="132">
        <v>39252.720000000001</v>
      </c>
      <c r="O48" s="124" t="s">
        <v>37</v>
      </c>
      <c r="P48" s="241">
        <v>3266506</v>
      </c>
      <c r="Q48" s="242">
        <v>34638</v>
      </c>
      <c r="R48" s="290">
        <v>42529</v>
      </c>
    </row>
    <row r="49" spans="2:18" x14ac:dyDescent="0.25">
      <c r="B49"/>
      <c r="C49" s="159">
        <v>42535</v>
      </c>
      <c r="D49" s="3">
        <v>2530</v>
      </c>
      <c r="E49" t="s">
        <v>49</v>
      </c>
      <c r="F49"/>
      <c r="G49"/>
      <c r="H49"/>
      <c r="L49" s="3">
        <f>77837+126566+56981.5+71098</f>
        <v>332482.5</v>
      </c>
      <c r="M49" s="93" t="s">
        <v>316</v>
      </c>
      <c r="N49" s="132">
        <v>332482.34999999998</v>
      </c>
      <c r="O49" s="128"/>
      <c r="P49" s="241">
        <v>3266505</v>
      </c>
      <c r="Q49" s="242">
        <v>26407</v>
      </c>
      <c r="R49" s="290">
        <v>42530</v>
      </c>
    </row>
    <row r="50" spans="2:18" x14ac:dyDescent="0.25">
      <c r="B50"/>
      <c r="C50" s="159">
        <v>42546</v>
      </c>
      <c r="D50" s="3">
        <v>2568</v>
      </c>
      <c r="E50" t="s">
        <v>49</v>
      </c>
      <c r="F50"/>
      <c r="G50"/>
      <c r="H50"/>
      <c r="L50" s="3">
        <f>26222+7009.92</f>
        <v>33231.919999999998</v>
      </c>
      <c r="M50" s="93" t="s">
        <v>315</v>
      </c>
      <c r="N50" s="132">
        <v>33231.919999999998</v>
      </c>
      <c r="O50" s="129"/>
      <c r="P50" s="241">
        <v>3266503</v>
      </c>
      <c r="Q50" s="242">
        <v>35000</v>
      </c>
      <c r="R50" s="290">
        <v>42531</v>
      </c>
    </row>
    <row r="51" spans="2:18" ht="15" x14ac:dyDescent="0.25">
      <c r="B51"/>
      <c r="C51" s="159">
        <v>42547</v>
      </c>
      <c r="D51" s="3">
        <v>413</v>
      </c>
      <c r="E51" t="s">
        <v>54</v>
      </c>
      <c r="F51"/>
      <c r="G51"/>
      <c r="H51"/>
      <c r="L51" s="3">
        <v>35412.78</v>
      </c>
      <c r="M51" s="93" t="s">
        <v>317</v>
      </c>
      <c r="N51" s="132">
        <v>35412.78</v>
      </c>
      <c r="O51" s="124"/>
      <c r="P51" s="291">
        <v>3266502</v>
      </c>
      <c r="Q51" s="292">
        <v>42837</v>
      </c>
      <c r="R51" s="290">
        <v>42531</v>
      </c>
    </row>
    <row r="52" spans="2:18" ht="15" x14ac:dyDescent="0.25">
      <c r="B52"/>
      <c r="C52" s="159">
        <v>42548</v>
      </c>
      <c r="D52" s="3">
        <v>443.12</v>
      </c>
      <c r="E52" t="s">
        <v>54</v>
      </c>
      <c r="F52"/>
      <c r="G52"/>
      <c r="H52"/>
      <c r="L52" s="3"/>
      <c r="M52" s="93"/>
      <c r="N52" s="132"/>
      <c r="O52" s="124"/>
      <c r="P52" s="291">
        <v>3266501</v>
      </c>
      <c r="Q52" s="292">
        <v>50000</v>
      </c>
      <c r="R52" s="290">
        <v>42532</v>
      </c>
    </row>
    <row r="53" spans="2:18" ht="15" x14ac:dyDescent="0.25">
      <c r="B53"/>
      <c r="C53" s="159">
        <v>42549</v>
      </c>
      <c r="D53" s="3">
        <v>248</v>
      </c>
      <c r="E53" t="s">
        <v>173</v>
      </c>
      <c r="F53"/>
      <c r="G53"/>
      <c r="H53"/>
      <c r="L53" s="3"/>
      <c r="M53" s="93"/>
      <c r="N53" s="94"/>
      <c r="O53" s="124"/>
      <c r="P53" s="291">
        <v>3266500</v>
      </c>
      <c r="Q53" s="292">
        <v>40865</v>
      </c>
      <c r="R53" s="290">
        <v>42532</v>
      </c>
    </row>
    <row r="54" spans="2:18" ht="15" x14ac:dyDescent="0.25">
      <c r="B54"/>
      <c r="C54"/>
      <c r="D54" s="3">
        <f>SUM(D44:D53)</f>
        <v>47876.62</v>
      </c>
      <c r="E54"/>
      <c r="F54" s="14"/>
      <c r="G54"/>
      <c r="H54"/>
      <c r="L54" s="3"/>
      <c r="M54" s="93"/>
      <c r="N54" s="94"/>
      <c r="O54" s="124"/>
      <c r="P54" s="291" t="s">
        <v>31</v>
      </c>
      <c r="Q54" s="292">
        <v>35701</v>
      </c>
      <c r="R54" s="290">
        <v>42532</v>
      </c>
    </row>
    <row r="55" spans="2:18" ht="15" x14ac:dyDescent="0.25">
      <c r="B55"/>
      <c r="C55"/>
      <c r="E55"/>
      <c r="F55" s="14"/>
      <c r="G55"/>
      <c r="H55"/>
      <c r="L55" s="3"/>
      <c r="M55" s="93"/>
      <c r="N55" s="94"/>
      <c r="O55" s="124"/>
      <c r="P55" s="291" t="s">
        <v>31</v>
      </c>
      <c r="Q55" s="292">
        <v>10781</v>
      </c>
      <c r="R55" s="290">
        <v>42531</v>
      </c>
    </row>
    <row r="56" spans="2:18" ht="15" x14ac:dyDescent="0.25">
      <c r="B56"/>
      <c r="C56"/>
      <c r="E56"/>
      <c r="F56" s="14"/>
      <c r="G56"/>
      <c r="H56"/>
      <c r="L56" s="3"/>
      <c r="M56" s="93"/>
      <c r="N56" s="94"/>
      <c r="O56" s="124"/>
      <c r="P56" s="291">
        <v>3266499</v>
      </c>
      <c r="Q56" s="292">
        <v>25000</v>
      </c>
      <c r="R56" s="290">
        <v>42533</v>
      </c>
    </row>
    <row r="57" spans="2:18" ht="15" x14ac:dyDescent="0.25">
      <c r="B57"/>
      <c r="C57"/>
      <c r="E57"/>
      <c r="F57" s="14"/>
      <c r="G57"/>
      <c r="H57"/>
      <c r="L57" s="3"/>
      <c r="M57" s="93"/>
      <c r="N57" s="94"/>
      <c r="O57" s="124"/>
      <c r="P57" s="291">
        <v>3266498</v>
      </c>
      <c r="Q57" s="292">
        <v>21200.5</v>
      </c>
      <c r="R57" s="290">
        <v>42533</v>
      </c>
    </row>
    <row r="58" spans="2:18" ht="15" x14ac:dyDescent="0.25">
      <c r="B58"/>
      <c r="C58"/>
      <c r="E58"/>
      <c r="F58" s="14"/>
      <c r="G58"/>
      <c r="H58"/>
      <c r="L58" s="3"/>
      <c r="M58" s="93"/>
      <c r="N58" s="94"/>
      <c r="O58" s="124"/>
      <c r="P58" s="291" t="s">
        <v>31</v>
      </c>
      <c r="Q58" s="292">
        <v>18053</v>
      </c>
      <c r="R58" s="290">
        <v>42535</v>
      </c>
    </row>
    <row r="59" spans="2:18" ht="15" x14ac:dyDescent="0.25">
      <c r="B59"/>
      <c r="C59"/>
      <c r="E59"/>
      <c r="F59" s="14"/>
      <c r="G59"/>
      <c r="H59"/>
      <c r="L59" s="3"/>
      <c r="M59" s="93"/>
      <c r="N59" s="94"/>
      <c r="O59" s="124"/>
      <c r="P59" s="291" t="s">
        <v>31</v>
      </c>
      <c r="Q59" s="292">
        <v>4358</v>
      </c>
      <c r="R59" s="290">
        <v>42535</v>
      </c>
    </row>
    <row r="60" spans="2:18" ht="15" x14ac:dyDescent="0.25">
      <c r="B60"/>
      <c r="C60"/>
      <c r="E60"/>
      <c r="F60" s="14"/>
      <c r="G60"/>
      <c r="H60"/>
      <c r="L60" s="3"/>
      <c r="M60" s="93"/>
      <c r="N60" s="94"/>
      <c r="O60" s="124"/>
      <c r="P60" s="291">
        <v>3273301</v>
      </c>
      <c r="Q60" s="292">
        <v>42000</v>
      </c>
      <c r="R60" s="290">
        <v>42534</v>
      </c>
    </row>
    <row r="61" spans="2:18" ht="15" x14ac:dyDescent="0.25">
      <c r="B61"/>
      <c r="C61"/>
      <c r="E61"/>
      <c r="F61" s="14"/>
      <c r="G61"/>
      <c r="H61"/>
      <c r="L61" s="3"/>
      <c r="M61" s="93"/>
      <c r="N61" s="94"/>
      <c r="O61" s="124"/>
      <c r="P61" s="291">
        <v>3273299</v>
      </c>
      <c r="Q61" s="292">
        <v>23000</v>
      </c>
      <c r="R61" s="290">
        <v>42534</v>
      </c>
    </row>
    <row r="62" spans="2:18" ht="15" x14ac:dyDescent="0.25">
      <c r="B62"/>
      <c r="C62"/>
      <c r="E62"/>
      <c r="F62" s="14"/>
      <c r="G62"/>
      <c r="H62"/>
      <c r="L62" s="3"/>
      <c r="M62" s="93"/>
      <c r="N62" s="100"/>
      <c r="O62" s="124"/>
      <c r="P62" s="291">
        <v>3266497</v>
      </c>
      <c r="Q62" s="292">
        <v>9909</v>
      </c>
      <c r="R62" s="290">
        <v>42534</v>
      </c>
    </row>
    <row r="63" spans="2:18" ht="15" x14ac:dyDescent="0.25">
      <c r="B63"/>
      <c r="C63"/>
      <c r="E63"/>
      <c r="F63" s="14"/>
      <c r="G63"/>
      <c r="H63"/>
      <c r="L63" s="3"/>
      <c r="M63" s="93"/>
      <c r="N63" s="132"/>
      <c r="O63" s="124"/>
      <c r="P63" s="291">
        <v>3273300</v>
      </c>
      <c r="Q63" s="292">
        <v>25000</v>
      </c>
      <c r="R63" s="290">
        <v>42535</v>
      </c>
    </row>
    <row r="64" spans="2:18" ht="15" x14ac:dyDescent="0.25">
      <c r="B64"/>
      <c r="C64"/>
      <c r="E64"/>
      <c r="F64" s="14"/>
      <c r="G64"/>
      <c r="H64"/>
      <c r="L64" s="3"/>
      <c r="M64" s="233"/>
      <c r="N64" s="234"/>
      <c r="O64" s="124"/>
      <c r="P64" s="291">
        <v>3273298</v>
      </c>
      <c r="Q64" s="292">
        <v>20175</v>
      </c>
      <c r="R64" s="290">
        <v>42535</v>
      </c>
    </row>
    <row r="65" spans="2:18" ht="15" x14ac:dyDescent="0.25">
      <c r="B65"/>
      <c r="C65"/>
      <c r="E65"/>
      <c r="F65" s="14"/>
      <c r="G65"/>
      <c r="H65"/>
      <c r="L65" s="3"/>
      <c r="M65" s="233"/>
      <c r="N65" s="234"/>
      <c r="O65" s="124"/>
      <c r="P65" s="291">
        <v>3273297</v>
      </c>
      <c r="Q65" s="292">
        <v>36500</v>
      </c>
      <c r="R65" s="290">
        <v>42535</v>
      </c>
    </row>
    <row r="66" spans="2:18" thickBot="1" x14ac:dyDescent="0.3">
      <c r="B66"/>
      <c r="C66"/>
      <c r="E66"/>
      <c r="F66" s="14"/>
      <c r="G66"/>
      <c r="H66"/>
      <c r="L66" s="3"/>
      <c r="M66" s="281"/>
      <c r="N66" s="282"/>
      <c r="O66" s="219"/>
      <c r="P66" s="198"/>
      <c r="Q66" s="199">
        <v>0</v>
      </c>
      <c r="R66" s="220"/>
    </row>
    <row r="67" spans="2:18" ht="16.5" thickTop="1" x14ac:dyDescent="0.25">
      <c r="B67"/>
      <c r="C67"/>
      <c r="E67"/>
      <c r="F67" s="14"/>
      <c r="G67"/>
      <c r="H67"/>
      <c r="L67" s="33">
        <f>SUM(L44:L66)</f>
        <v>650170.65</v>
      </c>
      <c r="M67" s="147"/>
      <c r="N67" s="236">
        <f>SUM(N44:N66)</f>
        <v>650170.50000000012</v>
      </c>
      <c r="O67" s="210"/>
      <c r="P67" s="211"/>
      <c r="Q67" s="200">
        <f>SUM(Q44:Q66)</f>
        <v>650170.5</v>
      </c>
      <c r="R67" s="202"/>
    </row>
    <row r="68" spans="2:18" ht="15" x14ac:dyDescent="0.25">
      <c r="B68"/>
      <c r="C68"/>
      <c r="E68"/>
      <c r="F68" s="14"/>
      <c r="G68"/>
      <c r="H68"/>
    </row>
    <row r="69" spans="2:18" ht="15" x14ac:dyDescent="0.25">
      <c r="B69"/>
      <c r="C69"/>
      <c r="E69"/>
      <c r="F69" s="14"/>
      <c r="G69"/>
      <c r="H69"/>
    </row>
    <row r="70" spans="2:18" ht="15" x14ac:dyDescent="0.25">
      <c r="B70"/>
      <c r="C70"/>
      <c r="E70"/>
      <c r="F70" s="14"/>
      <c r="G70"/>
      <c r="H70"/>
    </row>
    <row r="71" spans="2:18" thickBot="1" x14ac:dyDescent="0.3">
      <c r="B71"/>
      <c r="C71"/>
      <c r="E71"/>
      <c r="F71" s="14"/>
      <c r="G71"/>
      <c r="H71"/>
    </row>
    <row r="72" spans="2:18" ht="19.5" customHeight="1" thickBot="1" x14ac:dyDescent="0.35">
      <c r="B72"/>
      <c r="C72"/>
      <c r="E72"/>
      <c r="F72" s="14"/>
      <c r="G72"/>
      <c r="H72"/>
      <c r="L72" s="33"/>
      <c r="M72" s="343">
        <v>1</v>
      </c>
      <c r="N72" s="86" t="s">
        <v>28</v>
      </c>
      <c r="O72" s="86"/>
      <c r="P72" s="110"/>
      <c r="Q72" s="197">
        <v>42551</v>
      </c>
      <c r="R72" s="112"/>
    </row>
    <row r="73" spans="2:18" ht="16.5" customHeight="1" thickBot="1" x14ac:dyDescent="0.3">
      <c r="B73"/>
      <c r="C73"/>
      <c r="E73"/>
      <c r="F73" s="14"/>
      <c r="G73"/>
      <c r="H73"/>
      <c r="L73" s="33"/>
      <c r="M73" s="344"/>
      <c r="N73" s="113"/>
      <c r="O73" s="113"/>
      <c r="P73" s="114"/>
      <c r="Q73" s="115"/>
      <c r="R73" s="112"/>
    </row>
    <row r="74" spans="2:18" ht="16.5" thickBot="1" x14ac:dyDescent="0.3">
      <c r="L74" s="3"/>
      <c r="M74" s="116" t="s">
        <v>23</v>
      </c>
      <c r="N74" s="116" t="s">
        <v>24</v>
      </c>
      <c r="O74" s="116"/>
      <c r="P74" s="117" t="s">
        <v>29</v>
      </c>
      <c r="Q74" s="118" t="s">
        <v>30</v>
      </c>
      <c r="R74" s="119"/>
    </row>
    <row r="75" spans="2:18" ht="16.5" thickTop="1" x14ac:dyDescent="0.25">
      <c r="L75" s="3">
        <v>27345.7</v>
      </c>
      <c r="M75" s="93" t="s">
        <v>308</v>
      </c>
      <c r="N75" s="132">
        <v>27345.279999999999</v>
      </c>
      <c r="O75" s="120" t="s">
        <v>36</v>
      </c>
      <c r="P75" s="289">
        <v>3273296</v>
      </c>
      <c r="Q75" s="296">
        <v>42685</v>
      </c>
      <c r="R75" s="297">
        <v>42536</v>
      </c>
    </row>
    <row r="76" spans="2:18" x14ac:dyDescent="0.25">
      <c r="L76" s="3">
        <v>15339</v>
      </c>
      <c r="M76" s="93" t="s">
        <v>324</v>
      </c>
      <c r="N76" s="132">
        <v>15339</v>
      </c>
      <c r="O76" s="124"/>
      <c r="P76" s="241">
        <v>3273310</v>
      </c>
      <c r="Q76" s="242">
        <v>29960</v>
      </c>
      <c r="R76" s="290">
        <v>42537</v>
      </c>
    </row>
    <row r="77" spans="2:18" x14ac:dyDescent="0.25">
      <c r="L77" s="3">
        <f>129719.5+81350.5+82702+48569.2</f>
        <v>342341.2</v>
      </c>
      <c r="M77" s="93" t="s">
        <v>327</v>
      </c>
      <c r="N77" s="132">
        <v>342340.7</v>
      </c>
      <c r="O77" s="124"/>
      <c r="P77" s="241">
        <v>3273309</v>
      </c>
      <c r="Q77" s="242">
        <v>35000</v>
      </c>
      <c r="R77" s="290">
        <v>42537</v>
      </c>
    </row>
    <row r="78" spans="2:18" x14ac:dyDescent="0.25">
      <c r="L78" s="3">
        <f>37285.8+72126.36</f>
        <v>109412.16</v>
      </c>
      <c r="M78" s="93" t="s">
        <v>328</v>
      </c>
      <c r="N78" s="132">
        <v>109412.16</v>
      </c>
      <c r="O78" s="124"/>
      <c r="P78" s="241">
        <v>3273308</v>
      </c>
      <c r="Q78" s="242">
        <v>50000</v>
      </c>
      <c r="R78" s="290">
        <v>42537</v>
      </c>
    </row>
    <row r="79" spans="2:18" x14ac:dyDescent="0.25">
      <c r="L79" s="3">
        <f>3384+34208</f>
        <v>37592</v>
      </c>
      <c r="M79" s="93" t="s">
        <v>329</v>
      </c>
      <c r="N79" s="132">
        <v>37592</v>
      </c>
      <c r="O79" s="124"/>
      <c r="P79" s="241">
        <v>3273307</v>
      </c>
      <c r="Q79" s="242">
        <v>14759.5</v>
      </c>
      <c r="R79" s="290">
        <v>42537</v>
      </c>
    </row>
    <row r="80" spans="2:18" x14ac:dyDescent="0.25">
      <c r="L80" s="3">
        <v>7413</v>
      </c>
      <c r="M80" s="93" t="s">
        <v>334</v>
      </c>
      <c r="N80" s="132">
        <v>7413</v>
      </c>
      <c r="O80" s="128"/>
      <c r="P80" s="241">
        <v>3273306</v>
      </c>
      <c r="Q80" s="242">
        <v>56000</v>
      </c>
      <c r="R80" s="290">
        <v>42538</v>
      </c>
    </row>
    <row r="81" spans="2:18" x14ac:dyDescent="0.25">
      <c r="L81" s="3">
        <f>17978.24+42568+21494.76</f>
        <v>82041</v>
      </c>
      <c r="M81" s="93" t="s">
        <v>340</v>
      </c>
      <c r="N81" s="132">
        <v>82041</v>
      </c>
      <c r="O81" s="129"/>
      <c r="P81" s="241">
        <v>3273305</v>
      </c>
      <c r="Q81" s="242">
        <v>25350.5</v>
      </c>
      <c r="R81" s="290">
        <v>42538</v>
      </c>
    </row>
    <row r="82" spans="2:18" x14ac:dyDescent="0.25">
      <c r="L82" s="3">
        <v>47814.36</v>
      </c>
      <c r="M82" s="93" t="s">
        <v>335</v>
      </c>
      <c r="N82" s="132">
        <v>47814.36</v>
      </c>
      <c r="O82" s="124"/>
      <c r="P82" s="291">
        <v>3273304</v>
      </c>
      <c r="Q82" s="292">
        <v>30000</v>
      </c>
      <c r="R82" s="290">
        <v>42539</v>
      </c>
    </row>
    <row r="83" spans="2:18" x14ac:dyDescent="0.25">
      <c r="L83" s="3">
        <f>8011.24+29368.46</f>
        <v>37379.699999999997</v>
      </c>
      <c r="M83" s="93" t="s">
        <v>336</v>
      </c>
      <c r="N83" s="132">
        <v>37379.699999999997</v>
      </c>
      <c r="O83" s="124"/>
      <c r="P83" s="291">
        <v>3273303</v>
      </c>
      <c r="Q83" s="292">
        <v>30000</v>
      </c>
      <c r="R83" s="290">
        <v>42539</v>
      </c>
    </row>
    <row r="84" spans="2:18" x14ac:dyDescent="0.25">
      <c r="L84" s="3">
        <f>14558+76036+99992</f>
        <v>190586</v>
      </c>
      <c r="M84" s="93" t="s">
        <v>337</v>
      </c>
      <c r="N84" s="132">
        <v>190586.04</v>
      </c>
      <c r="O84" s="124"/>
      <c r="P84" s="291">
        <v>3273302</v>
      </c>
      <c r="Q84" s="292">
        <v>22702</v>
      </c>
      <c r="R84" s="290">
        <v>42539</v>
      </c>
    </row>
    <row r="85" spans="2:18" ht="15" x14ac:dyDescent="0.25">
      <c r="B85"/>
      <c r="C85"/>
      <c r="D85"/>
      <c r="E85"/>
      <c r="F85"/>
      <c r="G85"/>
      <c r="H85"/>
      <c r="L85" s="3">
        <v>720</v>
      </c>
      <c r="M85" s="93" t="s">
        <v>341</v>
      </c>
      <c r="N85" s="132">
        <v>720</v>
      </c>
      <c r="O85" s="124"/>
      <c r="P85" s="291">
        <v>3273293</v>
      </c>
      <c r="Q85" s="292">
        <v>42770</v>
      </c>
      <c r="R85" s="290">
        <v>42540</v>
      </c>
    </row>
    <row r="86" spans="2:18" ht="15" x14ac:dyDescent="0.25">
      <c r="B86"/>
      <c r="C86"/>
      <c r="D86"/>
      <c r="E86"/>
      <c r="F86"/>
      <c r="G86"/>
      <c r="H86"/>
      <c r="L86" s="3">
        <v>1783.5</v>
      </c>
      <c r="M86" s="93" t="s">
        <v>343</v>
      </c>
      <c r="N86" s="132">
        <v>1784.76</v>
      </c>
      <c r="O86" s="124" t="s">
        <v>88</v>
      </c>
      <c r="P86" s="291">
        <v>3359452</v>
      </c>
      <c r="Q86" s="292">
        <v>43085</v>
      </c>
      <c r="R86" s="290">
        <v>42540</v>
      </c>
    </row>
    <row r="87" spans="2:18" ht="15" x14ac:dyDescent="0.25">
      <c r="B87"/>
      <c r="C87"/>
      <c r="D87"/>
      <c r="E87"/>
      <c r="F87"/>
      <c r="G87"/>
      <c r="H87"/>
      <c r="L87" s="3"/>
      <c r="M87" s="93"/>
      <c r="N87" s="132"/>
      <c r="O87" s="124"/>
      <c r="P87" s="291">
        <v>3273317</v>
      </c>
      <c r="Q87" s="292">
        <v>57510.5</v>
      </c>
      <c r="R87" s="290">
        <v>42541</v>
      </c>
    </row>
    <row r="88" spans="2:18" ht="15" x14ac:dyDescent="0.25">
      <c r="B88"/>
      <c r="C88"/>
      <c r="D88"/>
      <c r="E88"/>
      <c r="F88"/>
      <c r="G88"/>
      <c r="H88"/>
      <c r="L88" s="3"/>
      <c r="M88" s="93"/>
      <c r="N88" s="132"/>
      <c r="O88" s="124"/>
      <c r="P88" s="291">
        <v>3273318</v>
      </c>
      <c r="Q88" s="292">
        <v>18000</v>
      </c>
      <c r="R88" s="290">
        <v>42541</v>
      </c>
    </row>
    <row r="89" spans="2:18" ht="15" x14ac:dyDescent="0.25">
      <c r="B89"/>
      <c r="C89"/>
      <c r="D89"/>
      <c r="E89"/>
      <c r="F89"/>
      <c r="G89"/>
      <c r="H89"/>
      <c r="L89" s="3"/>
      <c r="M89" s="93"/>
      <c r="N89" s="132"/>
      <c r="O89" s="124"/>
      <c r="P89" s="291" t="s">
        <v>347</v>
      </c>
      <c r="Q89" s="292">
        <v>13736</v>
      </c>
      <c r="R89" s="290">
        <v>42544</v>
      </c>
    </row>
    <row r="90" spans="2:18" ht="15" x14ac:dyDescent="0.25">
      <c r="B90"/>
      <c r="C90"/>
      <c r="D90"/>
      <c r="E90"/>
      <c r="F90"/>
      <c r="G90"/>
      <c r="H90"/>
      <c r="L90" s="3"/>
      <c r="M90" s="93"/>
      <c r="N90" s="132"/>
      <c r="O90" s="124"/>
      <c r="P90" s="291" t="s">
        <v>347</v>
      </c>
      <c r="Q90" s="292">
        <v>22814.5</v>
      </c>
      <c r="R90" s="290">
        <v>42544</v>
      </c>
    </row>
    <row r="91" spans="2:18" ht="15" x14ac:dyDescent="0.25">
      <c r="B91"/>
      <c r="C91"/>
      <c r="D91"/>
      <c r="E91"/>
      <c r="F91"/>
      <c r="G91"/>
      <c r="H91"/>
      <c r="L91" s="3"/>
      <c r="M91" s="93"/>
      <c r="N91" s="94"/>
      <c r="O91" s="124"/>
      <c r="P91" s="291">
        <v>3359451</v>
      </c>
      <c r="Q91" s="292">
        <v>10363</v>
      </c>
      <c r="R91" s="290">
        <v>42542</v>
      </c>
    </row>
    <row r="92" spans="2:18" ht="15" x14ac:dyDescent="0.25">
      <c r="B92"/>
      <c r="C92"/>
      <c r="D92"/>
      <c r="E92"/>
      <c r="F92"/>
      <c r="G92"/>
      <c r="H92"/>
      <c r="L92" s="3"/>
      <c r="M92" s="93"/>
      <c r="N92" s="94"/>
      <c r="O92" s="124"/>
      <c r="P92" s="291">
        <v>3273294</v>
      </c>
      <c r="Q92" s="292">
        <v>22500</v>
      </c>
      <c r="R92" s="290">
        <v>42542</v>
      </c>
    </row>
    <row r="93" spans="2:18" ht="15" x14ac:dyDescent="0.25">
      <c r="B93"/>
      <c r="C93"/>
      <c r="D93"/>
      <c r="E93"/>
      <c r="F93"/>
      <c r="G93"/>
      <c r="H93"/>
      <c r="L93" s="3"/>
      <c r="M93" s="93"/>
      <c r="N93" s="100"/>
      <c r="O93" s="124"/>
      <c r="P93" s="291">
        <v>3273316</v>
      </c>
      <c r="Q93" s="292">
        <v>38000</v>
      </c>
      <c r="R93" s="290">
        <v>42542</v>
      </c>
    </row>
    <row r="94" spans="2:18" ht="15" x14ac:dyDescent="0.25">
      <c r="B94"/>
      <c r="C94"/>
      <c r="D94"/>
      <c r="E94"/>
      <c r="F94"/>
      <c r="G94"/>
      <c r="H94"/>
      <c r="L94" s="3"/>
      <c r="M94" s="93"/>
      <c r="N94" s="100"/>
      <c r="O94" s="124"/>
      <c r="P94" s="291" t="s">
        <v>347</v>
      </c>
      <c r="Q94" s="292">
        <v>8070</v>
      </c>
      <c r="R94" s="290">
        <v>42545</v>
      </c>
    </row>
    <row r="95" spans="2:18" ht="15" x14ac:dyDescent="0.25">
      <c r="B95"/>
      <c r="C95"/>
      <c r="D95"/>
      <c r="E95"/>
      <c r="F95"/>
      <c r="G95"/>
      <c r="H95"/>
      <c r="L95" s="3"/>
      <c r="M95" s="93"/>
      <c r="N95" s="100"/>
      <c r="O95" s="124"/>
      <c r="P95" s="291" t="s">
        <v>347</v>
      </c>
      <c r="Q95" s="292">
        <v>31347.5</v>
      </c>
      <c r="R95" s="290">
        <v>42544</v>
      </c>
    </row>
    <row r="96" spans="2:18" ht="15" x14ac:dyDescent="0.25">
      <c r="B96"/>
      <c r="C96"/>
      <c r="D96"/>
      <c r="E96"/>
      <c r="F96"/>
      <c r="G96"/>
      <c r="H96"/>
      <c r="L96" s="3"/>
      <c r="M96" s="93"/>
      <c r="N96" s="100"/>
      <c r="O96" s="124"/>
      <c r="P96" s="291">
        <v>3273315</v>
      </c>
      <c r="Q96" s="292">
        <v>3150.5</v>
      </c>
      <c r="R96" s="290">
        <v>42543</v>
      </c>
    </row>
    <row r="97" spans="2:18" ht="15" x14ac:dyDescent="0.25">
      <c r="B97"/>
      <c r="C97"/>
      <c r="D97"/>
      <c r="E97"/>
      <c r="F97"/>
      <c r="G97"/>
      <c r="H97"/>
      <c r="L97" s="3"/>
      <c r="M97" s="93"/>
      <c r="N97" s="100"/>
      <c r="O97" s="124"/>
      <c r="P97" s="291" t="s">
        <v>347</v>
      </c>
      <c r="Q97" s="292">
        <v>19751</v>
      </c>
      <c r="R97" s="290">
        <v>42548</v>
      </c>
    </row>
    <row r="98" spans="2:18" ht="15" x14ac:dyDescent="0.25">
      <c r="B98"/>
      <c r="C98"/>
      <c r="D98"/>
      <c r="E98"/>
      <c r="F98"/>
      <c r="G98"/>
      <c r="H98"/>
      <c r="L98" s="3"/>
      <c r="M98" s="93"/>
      <c r="N98" s="100"/>
      <c r="O98" s="124"/>
      <c r="P98" s="291">
        <v>3359657</v>
      </c>
      <c r="Q98" s="292">
        <v>10475</v>
      </c>
      <c r="R98" s="290">
        <v>42546</v>
      </c>
    </row>
    <row r="99" spans="2:18" ht="15" x14ac:dyDescent="0.25">
      <c r="B99"/>
      <c r="C99"/>
      <c r="D99"/>
      <c r="E99"/>
      <c r="F99"/>
      <c r="G99"/>
      <c r="H99"/>
      <c r="L99" s="3"/>
      <c r="M99" s="93"/>
      <c r="N99" s="100"/>
      <c r="O99" s="124"/>
      <c r="P99" s="291" t="s">
        <v>347</v>
      </c>
      <c r="Q99" s="292">
        <v>43926.5</v>
      </c>
      <c r="R99" s="290">
        <v>42548</v>
      </c>
    </row>
    <row r="100" spans="2:18" ht="15" x14ac:dyDescent="0.25">
      <c r="B100"/>
      <c r="C100"/>
      <c r="D100"/>
      <c r="E100"/>
      <c r="F100"/>
      <c r="G100"/>
      <c r="H100"/>
      <c r="L100" s="3"/>
      <c r="M100" s="93"/>
      <c r="N100" s="100"/>
      <c r="O100" s="124"/>
      <c r="P100" s="291" t="s">
        <v>347</v>
      </c>
      <c r="Q100" s="292">
        <v>22597</v>
      </c>
      <c r="R100" s="290">
        <v>42548</v>
      </c>
    </row>
    <row r="101" spans="2:18" ht="15" x14ac:dyDescent="0.25">
      <c r="B101"/>
      <c r="C101"/>
      <c r="D101"/>
      <c r="E101"/>
      <c r="F101"/>
      <c r="G101"/>
      <c r="H101"/>
      <c r="L101" s="3"/>
      <c r="M101" s="93"/>
      <c r="N101" s="100"/>
      <c r="O101" s="124"/>
      <c r="P101" s="291" t="s">
        <v>347</v>
      </c>
      <c r="Q101" s="292">
        <v>23063.5</v>
      </c>
      <c r="R101" s="290">
        <v>42548</v>
      </c>
    </row>
    <row r="102" spans="2:18" ht="15" x14ac:dyDescent="0.25">
      <c r="B102"/>
      <c r="C102"/>
      <c r="D102"/>
      <c r="E102"/>
      <c r="F102"/>
      <c r="G102"/>
      <c r="H102"/>
      <c r="L102" s="3"/>
      <c r="M102" s="93"/>
      <c r="N102" s="100"/>
      <c r="O102" s="124"/>
      <c r="P102" s="291">
        <v>3273314</v>
      </c>
      <c r="Q102" s="292">
        <v>30375.5</v>
      </c>
      <c r="R102" s="290">
        <v>42546</v>
      </c>
    </row>
    <row r="103" spans="2:18" ht="15" x14ac:dyDescent="0.25">
      <c r="B103"/>
      <c r="C103"/>
      <c r="D103"/>
      <c r="E103"/>
      <c r="F103"/>
      <c r="G103"/>
      <c r="H103"/>
      <c r="L103" s="3"/>
      <c r="M103" s="93"/>
      <c r="N103" s="100"/>
      <c r="O103" s="124"/>
      <c r="P103" s="291">
        <v>3273313</v>
      </c>
      <c r="Q103" s="292">
        <v>30000</v>
      </c>
      <c r="R103" s="290">
        <v>42547</v>
      </c>
    </row>
    <row r="104" spans="2:18" ht="15" x14ac:dyDescent="0.25">
      <c r="B104"/>
      <c r="C104"/>
      <c r="D104"/>
      <c r="E104"/>
      <c r="F104"/>
      <c r="G104"/>
      <c r="H104"/>
      <c r="L104" s="3"/>
      <c r="M104" s="93"/>
      <c r="N104" s="100"/>
      <c r="O104" s="124"/>
      <c r="P104" s="291">
        <v>3273312</v>
      </c>
      <c r="Q104" s="292">
        <v>40000</v>
      </c>
      <c r="R104" s="290">
        <v>42547</v>
      </c>
    </row>
    <row r="105" spans="2:18" ht="15" x14ac:dyDescent="0.25">
      <c r="B105"/>
      <c r="C105"/>
      <c r="D105"/>
      <c r="E105"/>
      <c r="F105"/>
      <c r="G105"/>
      <c r="H105"/>
      <c r="L105" s="3"/>
      <c r="M105" s="93"/>
      <c r="N105" s="132"/>
      <c r="O105" s="124"/>
      <c r="P105" s="291">
        <v>3273311</v>
      </c>
      <c r="Q105" s="292">
        <v>31775.5</v>
      </c>
      <c r="R105" s="290">
        <v>42547</v>
      </c>
    </row>
    <row r="106" spans="2:18" ht="15" x14ac:dyDescent="0.25">
      <c r="B106"/>
      <c r="C106"/>
      <c r="D106"/>
      <c r="E106"/>
      <c r="F106"/>
      <c r="G106"/>
      <c r="H106"/>
      <c r="L106" s="3"/>
      <c r="M106" s="233"/>
      <c r="N106" s="234"/>
      <c r="O106" s="124"/>
      <c r="P106" s="291"/>
      <c r="Q106" s="292"/>
      <c r="R106" s="290"/>
    </row>
    <row r="107" spans="2:18" ht="15" x14ac:dyDescent="0.25">
      <c r="B107"/>
      <c r="C107"/>
      <c r="D107"/>
      <c r="E107"/>
      <c r="F107"/>
      <c r="G107"/>
      <c r="H107"/>
      <c r="L107" s="3"/>
      <c r="M107" s="233"/>
      <c r="N107" s="234"/>
      <c r="O107" s="124"/>
      <c r="P107" s="291"/>
      <c r="Q107" s="292"/>
      <c r="R107" s="290"/>
    </row>
    <row r="108" spans="2:18" thickBot="1" x14ac:dyDescent="0.3">
      <c r="B108"/>
      <c r="C108"/>
      <c r="D108"/>
      <c r="E108"/>
      <c r="F108"/>
      <c r="G108"/>
      <c r="H108"/>
      <c r="L108" s="3"/>
      <c r="M108" s="281"/>
      <c r="N108" s="282"/>
      <c r="O108" s="219"/>
      <c r="P108" s="198"/>
      <c r="Q108" s="199">
        <v>0</v>
      </c>
      <c r="R108" s="220"/>
    </row>
    <row r="109" spans="2:18" ht="16.5" thickTop="1" x14ac:dyDescent="0.25">
      <c r="L109" s="33">
        <f>SUM(L75:L108)</f>
        <v>899767.62</v>
      </c>
      <c r="M109" s="147"/>
      <c r="N109" s="236">
        <f>SUM(N75:N108)</f>
        <v>899768</v>
      </c>
      <c r="O109" s="210"/>
      <c r="P109" s="211"/>
      <c r="Q109" s="200">
        <f>SUM(Q75:Q108)</f>
        <v>899768</v>
      </c>
      <c r="R109" s="202"/>
    </row>
  </sheetData>
  <sortState ref="B27:D31">
    <sortCondition ref="C27:C31"/>
  </sortState>
  <mergeCells count="3">
    <mergeCell ref="M1:M2"/>
    <mergeCell ref="M41:M42"/>
    <mergeCell ref="M72:M7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R46"/>
  <sheetViews>
    <sheetView topLeftCell="A10" workbookViewId="0">
      <selection activeCell="F27" sqref="F27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3" max="13" width="12.5703125" bestFit="1" customWidth="1"/>
    <col min="18" max="18" width="14" customWidth="1"/>
    <col min="21" max="21" width="14.140625" bestFit="1" customWidth="1"/>
    <col min="26" max="26" width="14.140625" bestFit="1" customWidth="1"/>
    <col min="28" max="28" width="12.5703125" bestFit="1" customWidth="1"/>
    <col min="29" max="29" width="14.140625" bestFit="1" customWidth="1"/>
    <col min="33" max="33" width="14" customWidth="1"/>
    <col min="36" max="36" width="14.140625" bestFit="1" customWidth="1"/>
    <col min="41" max="41" width="14.140625" bestFit="1" customWidth="1"/>
    <col min="43" max="43" width="12.5703125" bestFit="1" customWidth="1"/>
    <col min="44" max="44" width="14.140625" bestFit="1" customWidth="1"/>
  </cols>
  <sheetData>
    <row r="1" spans="1:43" ht="24" thickBot="1" x14ac:dyDescent="0.4">
      <c r="B1" s="1"/>
      <c r="C1" s="334" t="s">
        <v>351</v>
      </c>
      <c r="D1" s="334"/>
      <c r="E1" s="334"/>
      <c r="F1" s="334"/>
      <c r="G1" s="334"/>
      <c r="H1" s="334"/>
      <c r="I1" s="334"/>
      <c r="J1" s="334"/>
      <c r="K1" s="300" t="s">
        <v>273</v>
      </c>
      <c r="L1" s="2"/>
      <c r="M1" s="2"/>
      <c r="Q1" s="1"/>
      <c r="R1" s="334" t="s">
        <v>351</v>
      </c>
      <c r="S1" s="334"/>
      <c r="T1" s="334"/>
      <c r="U1" s="334"/>
      <c r="V1" s="334"/>
      <c r="W1" s="334"/>
      <c r="X1" s="334"/>
      <c r="Y1" s="334"/>
      <c r="Z1" s="300" t="s">
        <v>257</v>
      </c>
      <c r="AA1" s="2"/>
      <c r="AB1" s="2"/>
      <c r="AF1" s="1"/>
      <c r="AG1" s="334" t="s">
        <v>351</v>
      </c>
      <c r="AH1" s="334"/>
      <c r="AI1" s="334"/>
      <c r="AJ1" s="334"/>
      <c r="AK1" s="334"/>
      <c r="AL1" s="334"/>
      <c r="AM1" s="334"/>
      <c r="AN1" s="334"/>
      <c r="AO1" s="300" t="s">
        <v>256</v>
      </c>
      <c r="AP1" s="2"/>
      <c r="AQ1" s="2"/>
    </row>
    <row r="2" spans="1:43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M2" s="2"/>
      <c r="Q2" s="1"/>
      <c r="R2" s="4" t="s">
        <v>0</v>
      </c>
      <c r="T2" s="5"/>
      <c r="U2" s="5"/>
      <c r="W2" s="1"/>
      <c r="X2" s="1"/>
      <c r="Y2" s="1"/>
      <c r="Z2" s="1"/>
      <c r="AA2" s="2"/>
      <c r="AB2" s="2"/>
      <c r="AF2" s="1"/>
      <c r="AG2" s="4" t="s">
        <v>0</v>
      </c>
      <c r="AI2" s="5"/>
      <c r="AJ2" s="5"/>
      <c r="AL2" s="1"/>
      <c r="AM2" s="1"/>
      <c r="AN2" s="1"/>
      <c r="AO2" s="1"/>
      <c r="AP2" s="2"/>
      <c r="AQ2" s="2"/>
    </row>
    <row r="3" spans="1:43" ht="20.25" thickTop="1" thickBot="1" x14ac:dyDescent="0.35">
      <c r="A3" s="6" t="s">
        <v>1</v>
      </c>
      <c r="B3" s="7"/>
      <c r="C3" s="8">
        <v>276782.38</v>
      </c>
      <c r="D3" s="9"/>
      <c r="E3" s="335" t="s">
        <v>2</v>
      </c>
      <c r="F3" s="336"/>
      <c r="H3" s="1"/>
      <c r="I3" s="337" t="s">
        <v>3</v>
      </c>
      <c r="J3" s="338"/>
      <c r="K3" s="339"/>
      <c r="L3" s="10" t="s">
        <v>4</v>
      </c>
      <c r="M3" s="10"/>
      <c r="P3" s="6" t="s">
        <v>1</v>
      </c>
      <c r="Q3" s="7"/>
      <c r="R3" s="8">
        <v>276782.38</v>
      </c>
      <c r="S3" s="9"/>
      <c r="T3" s="335" t="s">
        <v>2</v>
      </c>
      <c r="U3" s="336"/>
      <c r="W3" s="1"/>
      <c r="X3" s="337" t="s">
        <v>3</v>
      </c>
      <c r="Y3" s="338"/>
      <c r="Z3" s="339"/>
      <c r="AA3" s="10" t="s">
        <v>4</v>
      </c>
      <c r="AB3" s="10"/>
      <c r="AE3" s="6" t="s">
        <v>1</v>
      </c>
      <c r="AF3" s="7"/>
      <c r="AG3" s="8">
        <v>276782.38</v>
      </c>
      <c r="AH3" s="9"/>
      <c r="AI3" s="335" t="s">
        <v>2</v>
      </c>
      <c r="AJ3" s="336"/>
      <c r="AL3" s="1"/>
      <c r="AM3" s="337" t="s">
        <v>3</v>
      </c>
      <c r="AN3" s="338"/>
      <c r="AO3" s="339"/>
      <c r="AP3" s="10" t="s">
        <v>4</v>
      </c>
      <c r="AQ3" s="10"/>
    </row>
    <row r="4" spans="1:43" ht="15.75" thickTop="1" x14ac:dyDescent="0.25">
      <c r="B4" s="11">
        <v>42552</v>
      </c>
      <c r="C4" s="12">
        <v>47018.6</v>
      </c>
      <c r="D4" s="40" t="s">
        <v>373</v>
      </c>
      <c r="E4" s="186">
        <v>42552</v>
      </c>
      <c r="F4" s="13">
        <v>47018.6</v>
      </c>
      <c r="G4" s="14"/>
      <c r="H4" s="187">
        <v>42552</v>
      </c>
      <c r="I4" s="15">
        <v>0</v>
      </c>
      <c r="J4" s="16" t="s">
        <v>5</v>
      </c>
      <c r="K4" s="321">
        <v>0</v>
      </c>
      <c r="L4" s="18">
        <v>0</v>
      </c>
      <c r="M4" s="18"/>
      <c r="Q4" s="11">
        <v>42552</v>
      </c>
      <c r="R4" s="12">
        <v>47018.6</v>
      </c>
      <c r="S4" s="40" t="s">
        <v>373</v>
      </c>
      <c r="T4" s="186">
        <v>42552</v>
      </c>
      <c r="U4" s="13">
        <v>47018.6</v>
      </c>
      <c r="V4" s="14"/>
      <c r="W4" s="187">
        <v>42552</v>
      </c>
      <c r="X4" s="15">
        <v>0</v>
      </c>
      <c r="Y4" s="16" t="s">
        <v>5</v>
      </c>
      <c r="Z4" s="321">
        <v>0</v>
      </c>
      <c r="AA4" s="18">
        <v>0</v>
      </c>
      <c r="AB4" s="18"/>
      <c r="AF4" s="11">
        <v>42552</v>
      </c>
      <c r="AG4" s="12">
        <v>47018.6</v>
      </c>
      <c r="AH4" s="40" t="s">
        <v>373</v>
      </c>
      <c r="AI4" s="186">
        <v>42552</v>
      </c>
      <c r="AJ4" s="13">
        <v>47018.6</v>
      </c>
      <c r="AK4" s="14"/>
      <c r="AL4" s="187">
        <v>42552</v>
      </c>
      <c r="AM4" s="15">
        <v>0</v>
      </c>
      <c r="AN4" s="16" t="s">
        <v>5</v>
      </c>
      <c r="AO4" s="321">
        <v>0</v>
      </c>
      <c r="AP4" s="18">
        <v>0</v>
      </c>
      <c r="AQ4" s="18"/>
    </row>
    <row r="5" spans="1:43" x14ac:dyDescent="0.25">
      <c r="B5" s="11">
        <v>42553</v>
      </c>
      <c r="C5" s="12">
        <v>138598.76</v>
      </c>
      <c r="D5" s="19" t="s">
        <v>376</v>
      </c>
      <c r="E5" s="20">
        <v>42553</v>
      </c>
      <c r="F5" s="13">
        <v>139455.9</v>
      </c>
      <c r="G5" s="21"/>
      <c r="H5" s="22">
        <v>42553</v>
      </c>
      <c r="I5" s="38">
        <v>0</v>
      </c>
      <c r="J5" s="346" t="s">
        <v>389</v>
      </c>
      <c r="K5" s="319">
        <v>0</v>
      </c>
      <c r="L5" s="18">
        <v>0</v>
      </c>
      <c r="M5" s="18"/>
      <c r="Q5" s="11">
        <v>42553</v>
      </c>
      <c r="R5" s="12">
        <v>138598.76</v>
      </c>
      <c r="S5" s="19" t="s">
        <v>376</v>
      </c>
      <c r="T5" s="20">
        <v>42553</v>
      </c>
      <c r="U5" s="13">
        <v>139455.9</v>
      </c>
      <c r="V5" s="21"/>
      <c r="W5" s="22">
        <v>42553</v>
      </c>
      <c r="X5" s="38">
        <v>0</v>
      </c>
      <c r="Y5" s="346" t="s">
        <v>389</v>
      </c>
      <c r="Z5" s="319">
        <v>0</v>
      </c>
      <c r="AA5" s="18">
        <v>0</v>
      </c>
      <c r="AB5" s="18"/>
      <c r="AF5" s="11">
        <v>42553</v>
      </c>
      <c r="AG5" s="12">
        <v>138598.76</v>
      </c>
      <c r="AH5" s="19" t="s">
        <v>376</v>
      </c>
      <c r="AI5" s="20">
        <v>42553</v>
      </c>
      <c r="AJ5" s="13">
        <v>139455.9</v>
      </c>
      <c r="AK5" s="21"/>
      <c r="AL5" s="22">
        <v>42553</v>
      </c>
      <c r="AM5" s="38">
        <v>0</v>
      </c>
      <c r="AN5" s="346" t="s">
        <v>389</v>
      </c>
      <c r="AO5" s="319">
        <v>0</v>
      </c>
      <c r="AP5" s="18">
        <v>0</v>
      </c>
      <c r="AQ5" s="18"/>
    </row>
    <row r="6" spans="1:43" x14ac:dyDescent="0.25">
      <c r="B6" s="11">
        <v>42554</v>
      </c>
      <c r="C6" s="12">
        <v>111385.60000000001</v>
      </c>
      <c r="D6" s="19" t="s">
        <v>383</v>
      </c>
      <c r="E6" s="20">
        <v>42554</v>
      </c>
      <c r="F6" s="13">
        <v>111385.60000000001</v>
      </c>
      <c r="G6" s="14"/>
      <c r="H6" s="22">
        <v>42554</v>
      </c>
      <c r="I6" s="38">
        <v>0</v>
      </c>
      <c r="J6" s="347"/>
      <c r="K6" s="320">
        <v>30000</v>
      </c>
      <c r="L6" s="18">
        <v>0</v>
      </c>
      <c r="M6" s="18"/>
      <c r="Q6" s="11">
        <v>42554</v>
      </c>
      <c r="R6" s="12">
        <v>111385.60000000001</v>
      </c>
      <c r="S6" s="19" t="s">
        <v>383</v>
      </c>
      <c r="T6" s="20">
        <v>42554</v>
      </c>
      <c r="U6" s="13">
        <v>111385.60000000001</v>
      </c>
      <c r="V6" s="14"/>
      <c r="W6" s="22">
        <v>42554</v>
      </c>
      <c r="X6" s="38">
        <v>0</v>
      </c>
      <c r="Y6" s="347"/>
      <c r="Z6" s="320">
        <v>30000</v>
      </c>
      <c r="AA6" s="18">
        <v>0</v>
      </c>
      <c r="AB6" s="18"/>
      <c r="AF6" s="11">
        <v>42554</v>
      </c>
      <c r="AG6" s="12">
        <v>111385.60000000001</v>
      </c>
      <c r="AH6" s="19" t="s">
        <v>383</v>
      </c>
      <c r="AI6" s="20">
        <v>42554</v>
      </c>
      <c r="AJ6" s="13">
        <v>111385.60000000001</v>
      </c>
      <c r="AK6" s="14"/>
      <c r="AL6" s="22">
        <v>42554</v>
      </c>
      <c r="AM6" s="38">
        <v>0</v>
      </c>
      <c r="AN6" s="347"/>
      <c r="AO6" s="320">
        <v>30000</v>
      </c>
      <c r="AP6" s="18">
        <v>0</v>
      </c>
      <c r="AQ6" s="18"/>
    </row>
    <row r="7" spans="1:43" x14ac:dyDescent="0.25">
      <c r="B7" s="11">
        <v>42555</v>
      </c>
      <c r="C7" s="12">
        <v>185582.1</v>
      </c>
      <c r="D7" s="26" t="s">
        <v>384</v>
      </c>
      <c r="E7" s="20">
        <v>42555</v>
      </c>
      <c r="F7" s="13">
        <v>185582.1</v>
      </c>
      <c r="G7" s="14"/>
      <c r="H7" s="22">
        <v>42555</v>
      </c>
      <c r="I7" s="15">
        <v>0</v>
      </c>
      <c r="J7" s="23" t="s">
        <v>7</v>
      </c>
      <c r="K7" s="24">
        <f>7187.5+7187.5+7187.5</f>
        <v>21562.5</v>
      </c>
      <c r="L7" s="18">
        <v>0</v>
      </c>
      <c r="M7" s="18"/>
      <c r="Q7" s="11">
        <v>42555</v>
      </c>
      <c r="R7" s="12">
        <v>185582.1</v>
      </c>
      <c r="S7" s="26" t="s">
        <v>384</v>
      </c>
      <c r="T7" s="20">
        <v>42555</v>
      </c>
      <c r="U7" s="13">
        <v>185582.1</v>
      </c>
      <c r="V7" s="14"/>
      <c r="W7" s="22">
        <v>42555</v>
      </c>
      <c r="X7" s="15">
        <v>0</v>
      </c>
      <c r="Y7" s="23" t="s">
        <v>7</v>
      </c>
      <c r="Z7" s="24">
        <f>7187.5+7187.5</f>
        <v>14375</v>
      </c>
      <c r="AA7" s="18">
        <v>0</v>
      </c>
      <c r="AB7" s="18"/>
      <c r="AF7" s="11">
        <v>42555</v>
      </c>
      <c r="AG7" s="12">
        <v>185582.1</v>
      </c>
      <c r="AH7" s="26" t="s">
        <v>384</v>
      </c>
      <c r="AI7" s="20">
        <v>42555</v>
      </c>
      <c r="AJ7" s="13">
        <v>185582.1</v>
      </c>
      <c r="AK7" s="14"/>
      <c r="AL7" s="22">
        <v>42555</v>
      </c>
      <c r="AM7" s="15">
        <v>0</v>
      </c>
      <c r="AN7" s="23" t="s">
        <v>7</v>
      </c>
      <c r="AO7" s="24">
        <f>7187.5</f>
        <v>7187.5</v>
      </c>
      <c r="AP7" s="18">
        <v>0</v>
      </c>
      <c r="AQ7" s="18"/>
    </row>
    <row r="8" spans="1:43" x14ac:dyDescent="0.25">
      <c r="B8" s="11">
        <v>42556</v>
      </c>
      <c r="C8" s="12">
        <v>72067.5</v>
      </c>
      <c r="D8" s="19" t="s">
        <v>385</v>
      </c>
      <c r="E8" s="20">
        <v>42556</v>
      </c>
      <c r="F8" s="13">
        <v>72067.5</v>
      </c>
      <c r="G8" s="14"/>
      <c r="H8" s="22">
        <v>42556</v>
      </c>
      <c r="I8" s="15">
        <v>0</v>
      </c>
      <c r="J8" s="23" t="s">
        <v>379</v>
      </c>
      <c r="K8" s="13">
        <v>6308.45</v>
      </c>
      <c r="L8" s="18">
        <v>31.5</v>
      </c>
      <c r="M8" s="18" t="s">
        <v>216</v>
      </c>
      <c r="Q8" s="11">
        <v>42556</v>
      </c>
      <c r="R8" s="12">
        <v>72067.5</v>
      </c>
      <c r="S8" s="19" t="s">
        <v>385</v>
      </c>
      <c r="T8" s="20">
        <v>42556</v>
      </c>
      <c r="U8" s="13">
        <v>72067.5</v>
      </c>
      <c r="V8" s="14"/>
      <c r="W8" s="22">
        <v>42556</v>
      </c>
      <c r="X8" s="15">
        <v>0</v>
      </c>
      <c r="Y8" s="23" t="s">
        <v>379</v>
      </c>
      <c r="Z8" s="13">
        <v>6308.45</v>
      </c>
      <c r="AA8" s="18">
        <v>31.5</v>
      </c>
      <c r="AB8" s="18" t="s">
        <v>216</v>
      </c>
      <c r="AF8" s="11">
        <v>42556</v>
      </c>
      <c r="AG8" s="12">
        <v>72067.5</v>
      </c>
      <c r="AH8" s="19" t="s">
        <v>385</v>
      </c>
      <c r="AI8" s="20">
        <v>42556</v>
      </c>
      <c r="AJ8" s="13">
        <v>72067.5</v>
      </c>
      <c r="AK8" s="14"/>
      <c r="AL8" s="22">
        <v>42556</v>
      </c>
      <c r="AM8" s="15">
        <v>0</v>
      </c>
      <c r="AN8" s="23" t="s">
        <v>379</v>
      </c>
      <c r="AO8" s="13">
        <v>6308.45</v>
      </c>
      <c r="AP8" s="18">
        <v>31.5</v>
      </c>
      <c r="AQ8" s="18" t="s">
        <v>216</v>
      </c>
    </row>
    <row r="9" spans="1:43" x14ac:dyDescent="0.25">
      <c r="B9" s="11">
        <v>42557</v>
      </c>
      <c r="C9" s="12">
        <v>101534.5</v>
      </c>
      <c r="D9" s="26" t="s">
        <v>387</v>
      </c>
      <c r="E9" s="20">
        <v>42557</v>
      </c>
      <c r="F9" s="13">
        <v>100376</v>
      </c>
      <c r="G9" s="14"/>
      <c r="H9" s="22">
        <v>42557</v>
      </c>
      <c r="I9" s="15">
        <v>146</v>
      </c>
      <c r="J9" s="23" t="s">
        <v>380</v>
      </c>
      <c r="K9" s="13">
        <v>5982.46</v>
      </c>
      <c r="L9" s="18">
        <v>0</v>
      </c>
      <c r="M9" s="18"/>
      <c r="Q9" s="11">
        <v>42557</v>
      </c>
      <c r="R9" s="12">
        <v>101534.5</v>
      </c>
      <c r="S9" s="26" t="s">
        <v>387</v>
      </c>
      <c r="T9" s="20">
        <v>42557</v>
      </c>
      <c r="U9" s="13">
        <v>100376</v>
      </c>
      <c r="V9" s="14"/>
      <c r="W9" s="22">
        <v>42557</v>
      </c>
      <c r="X9" s="15">
        <v>146</v>
      </c>
      <c r="Y9" s="23" t="s">
        <v>380</v>
      </c>
      <c r="Z9" s="13">
        <v>5982.46</v>
      </c>
      <c r="AA9" s="18">
        <v>0</v>
      </c>
      <c r="AB9" s="18"/>
      <c r="AF9" s="11">
        <v>42557</v>
      </c>
      <c r="AG9" s="12">
        <v>101534.5</v>
      </c>
      <c r="AH9" s="26" t="s">
        <v>387</v>
      </c>
      <c r="AI9" s="20">
        <v>42557</v>
      </c>
      <c r="AJ9" s="13">
        <v>100376</v>
      </c>
      <c r="AK9" s="14"/>
      <c r="AL9" s="22">
        <v>42557</v>
      </c>
      <c r="AM9" s="15">
        <v>146</v>
      </c>
      <c r="AN9" s="23" t="s">
        <v>380</v>
      </c>
      <c r="AO9" s="13">
        <v>5982.46</v>
      </c>
      <c r="AP9" s="18">
        <v>0</v>
      </c>
      <c r="AQ9" s="18"/>
    </row>
    <row r="10" spans="1:43" x14ac:dyDescent="0.25">
      <c r="A10" s="27"/>
      <c r="B10" s="11">
        <v>42558</v>
      </c>
      <c r="C10" s="12">
        <v>89951.5</v>
      </c>
      <c r="D10" s="26" t="s">
        <v>388</v>
      </c>
      <c r="E10" s="20">
        <v>42558</v>
      </c>
      <c r="F10" s="13">
        <v>89551.5</v>
      </c>
      <c r="G10" s="14"/>
      <c r="H10" s="22">
        <v>42558</v>
      </c>
      <c r="I10" s="15">
        <v>0</v>
      </c>
      <c r="J10" s="23" t="s">
        <v>381</v>
      </c>
      <c r="K10" s="13">
        <v>5545.6</v>
      </c>
      <c r="L10" s="18">
        <v>0</v>
      </c>
      <c r="M10" s="18"/>
      <c r="P10" s="27"/>
      <c r="Q10" s="11">
        <v>42558</v>
      </c>
      <c r="R10" s="12">
        <v>89951.5</v>
      </c>
      <c r="S10" s="26" t="s">
        <v>388</v>
      </c>
      <c r="T10" s="20">
        <v>42558</v>
      </c>
      <c r="U10" s="13">
        <v>89551.5</v>
      </c>
      <c r="V10" s="14"/>
      <c r="W10" s="22">
        <v>42558</v>
      </c>
      <c r="X10" s="15">
        <v>0</v>
      </c>
      <c r="Y10" s="23" t="s">
        <v>381</v>
      </c>
      <c r="Z10" s="13">
        <v>5545.6</v>
      </c>
      <c r="AA10" s="18">
        <v>0</v>
      </c>
      <c r="AB10" s="18"/>
      <c r="AE10" s="27"/>
      <c r="AF10" s="11">
        <v>42558</v>
      </c>
      <c r="AG10" s="12">
        <v>89951.5</v>
      </c>
      <c r="AH10" s="26" t="s">
        <v>388</v>
      </c>
      <c r="AI10" s="20">
        <v>42558</v>
      </c>
      <c r="AJ10" s="13">
        <v>89551.5</v>
      </c>
      <c r="AK10" s="14"/>
      <c r="AL10" s="22">
        <v>42558</v>
      </c>
      <c r="AM10" s="15">
        <v>0</v>
      </c>
      <c r="AN10" s="23" t="s">
        <v>381</v>
      </c>
      <c r="AO10" s="13">
        <v>0</v>
      </c>
      <c r="AP10" s="18">
        <v>0</v>
      </c>
      <c r="AQ10" s="18"/>
    </row>
    <row r="11" spans="1:43" x14ac:dyDescent="0.25">
      <c r="B11" s="11">
        <v>42559</v>
      </c>
      <c r="C11" s="12">
        <v>68553.5</v>
      </c>
      <c r="D11" s="26" t="s">
        <v>390</v>
      </c>
      <c r="E11" s="20">
        <v>42559</v>
      </c>
      <c r="F11" s="13">
        <v>99053.5</v>
      </c>
      <c r="G11" s="14"/>
      <c r="H11" s="22">
        <v>42559</v>
      </c>
      <c r="I11" s="15">
        <v>500</v>
      </c>
      <c r="J11" s="23" t="s">
        <v>382</v>
      </c>
      <c r="K11" s="13">
        <v>6550.11</v>
      </c>
      <c r="L11" s="18">
        <v>0</v>
      </c>
      <c r="M11" s="18"/>
      <c r="Q11" s="11">
        <v>42559</v>
      </c>
      <c r="R11" s="12">
        <v>68553.5</v>
      </c>
      <c r="S11" s="26" t="s">
        <v>390</v>
      </c>
      <c r="T11" s="20">
        <v>42559</v>
      </c>
      <c r="U11" s="13">
        <v>99053.5</v>
      </c>
      <c r="V11" s="14"/>
      <c r="W11" s="22">
        <v>42559</v>
      </c>
      <c r="X11" s="15">
        <v>500</v>
      </c>
      <c r="Y11" s="23" t="s">
        <v>382</v>
      </c>
      <c r="Z11" s="13">
        <v>0</v>
      </c>
      <c r="AA11" s="18">
        <v>0</v>
      </c>
      <c r="AB11" s="18"/>
      <c r="AF11" s="11">
        <v>42559</v>
      </c>
      <c r="AG11" s="12">
        <v>68553.5</v>
      </c>
      <c r="AH11" s="26" t="s">
        <v>390</v>
      </c>
      <c r="AI11" s="20">
        <v>42559</v>
      </c>
      <c r="AJ11" s="13">
        <v>99053.5</v>
      </c>
      <c r="AK11" s="14"/>
      <c r="AL11" s="22">
        <v>42559</v>
      </c>
      <c r="AM11" s="15">
        <v>500</v>
      </c>
      <c r="AN11" s="23" t="s">
        <v>382</v>
      </c>
      <c r="AO11" s="13">
        <v>0</v>
      </c>
      <c r="AP11" s="18">
        <v>0</v>
      </c>
      <c r="AQ11" s="18"/>
    </row>
    <row r="12" spans="1:43" x14ac:dyDescent="0.25">
      <c r="A12" s="28"/>
      <c r="B12" s="11">
        <v>42560</v>
      </c>
      <c r="C12" s="12">
        <v>147658.5</v>
      </c>
      <c r="D12" s="19" t="s">
        <v>391</v>
      </c>
      <c r="E12" s="20">
        <v>42560</v>
      </c>
      <c r="F12" s="13">
        <v>147658.5</v>
      </c>
      <c r="G12" s="14"/>
      <c r="H12" s="22">
        <v>42560</v>
      </c>
      <c r="I12" s="15">
        <v>0</v>
      </c>
      <c r="J12" s="23" t="s">
        <v>117</v>
      </c>
      <c r="K12" s="13">
        <v>0</v>
      </c>
      <c r="L12" s="18">
        <v>0</v>
      </c>
      <c r="M12" s="18"/>
      <c r="P12" s="28"/>
      <c r="Q12" s="11">
        <v>42560</v>
      </c>
      <c r="R12" s="12">
        <v>147658.5</v>
      </c>
      <c r="S12" s="19" t="s">
        <v>391</v>
      </c>
      <c r="T12" s="20">
        <v>42560</v>
      </c>
      <c r="U12" s="13">
        <v>147658.5</v>
      </c>
      <c r="V12" s="14"/>
      <c r="W12" s="22">
        <v>42560</v>
      </c>
      <c r="X12" s="15">
        <v>0</v>
      </c>
      <c r="Y12" s="23" t="s">
        <v>117</v>
      </c>
      <c r="Z12" s="13">
        <v>0</v>
      </c>
      <c r="AA12" s="18">
        <v>0</v>
      </c>
      <c r="AB12" s="18"/>
      <c r="AE12" s="28"/>
      <c r="AF12" s="11">
        <v>42560</v>
      </c>
      <c r="AG12" s="12">
        <v>147658.5</v>
      </c>
      <c r="AH12" s="19" t="s">
        <v>391</v>
      </c>
      <c r="AI12" s="20">
        <v>42560</v>
      </c>
      <c r="AJ12" s="13">
        <v>147658.5</v>
      </c>
      <c r="AK12" s="14"/>
      <c r="AL12" s="22">
        <v>42560</v>
      </c>
      <c r="AM12" s="15">
        <v>0</v>
      </c>
      <c r="AN12" s="23" t="s">
        <v>117</v>
      </c>
      <c r="AO12" s="13">
        <v>0</v>
      </c>
      <c r="AP12" s="18">
        <v>0</v>
      </c>
      <c r="AQ12" s="18"/>
    </row>
    <row r="13" spans="1:43" x14ac:dyDescent="0.25">
      <c r="A13" s="28"/>
      <c r="B13" s="11">
        <v>42561</v>
      </c>
      <c r="C13" s="12">
        <v>118817.5</v>
      </c>
      <c r="D13" s="40" t="s">
        <v>392</v>
      </c>
      <c r="E13" s="20">
        <v>42561</v>
      </c>
      <c r="F13" s="13">
        <v>118817.5</v>
      </c>
      <c r="G13" s="14"/>
      <c r="H13" s="22">
        <v>42561</v>
      </c>
      <c r="I13" s="15">
        <v>0</v>
      </c>
      <c r="J13" s="30" t="s">
        <v>375</v>
      </c>
      <c r="K13" s="13">
        <v>857.14</v>
      </c>
      <c r="L13" s="18">
        <v>0</v>
      </c>
      <c r="M13" s="18"/>
      <c r="P13" s="28"/>
      <c r="Q13" s="11">
        <v>42561</v>
      </c>
      <c r="R13" s="12">
        <v>118817.5</v>
      </c>
      <c r="S13" s="40" t="s">
        <v>392</v>
      </c>
      <c r="T13" s="20">
        <v>42561</v>
      </c>
      <c r="U13" s="13">
        <v>118817.5</v>
      </c>
      <c r="V13" s="14"/>
      <c r="W13" s="22">
        <v>42561</v>
      </c>
      <c r="X13" s="15">
        <v>0</v>
      </c>
      <c r="Y13" s="30" t="s">
        <v>375</v>
      </c>
      <c r="Z13" s="13">
        <v>857.14</v>
      </c>
      <c r="AA13" s="18">
        <v>0</v>
      </c>
      <c r="AB13" s="18"/>
      <c r="AE13" s="28"/>
      <c r="AF13" s="11">
        <v>42561</v>
      </c>
      <c r="AG13" s="12">
        <v>118817.5</v>
      </c>
      <c r="AH13" s="40" t="s">
        <v>392</v>
      </c>
      <c r="AI13" s="20">
        <v>42561</v>
      </c>
      <c r="AJ13" s="13">
        <v>118817.5</v>
      </c>
      <c r="AK13" s="14"/>
      <c r="AL13" s="22">
        <v>42561</v>
      </c>
      <c r="AM13" s="15">
        <v>0</v>
      </c>
      <c r="AN13" s="30" t="s">
        <v>375</v>
      </c>
      <c r="AO13" s="13">
        <v>857.14</v>
      </c>
      <c r="AP13" s="18">
        <v>0</v>
      </c>
      <c r="AQ13" s="18"/>
    </row>
    <row r="14" spans="1:43" x14ac:dyDescent="0.25">
      <c r="B14" s="11">
        <v>42562</v>
      </c>
      <c r="C14" s="12">
        <v>234168.6</v>
      </c>
      <c r="D14" s="19" t="s">
        <v>393</v>
      </c>
      <c r="E14" s="20">
        <v>42562</v>
      </c>
      <c r="F14" s="13">
        <v>234168.6</v>
      </c>
      <c r="G14" s="14"/>
      <c r="H14" s="22">
        <v>42562</v>
      </c>
      <c r="I14" s="15">
        <v>0</v>
      </c>
      <c r="J14" s="31"/>
      <c r="K14" s="13">
        <v>0</v>
      </c>
      <c r="L14" s="18">
        <v>0</v>
      </c>
      <c r="M14" s="18"/>
      <c r="Q14" s="11">
        <v>42562</v>
      </c>
      <c r="R14" s="12">
        <v>234168.6</v>
      </c>
      <c r="S14" s="19" t="s">
        <v>393</v>
      </c>
      <c r="T14" s="20">
        <v>42562</v>
      </c>
      <c r="U14" s="13">
        <v>234168.6</v>
      </c>
      <c r="V14" s="14"/>
      <c r="W14" s="22">
        <v>42562</v>
      </c>
      <c r="X14" s="15">
        <v>0</v>
      </c>
      <c r="Y14" s="31"/>
      <c r="Z14" s="13">
        <v>0</v>
      </c>
      <c r="AA14" s="18">
        <v>0</v>
      </c>
      <c r="AB14" s="18"/>
      <c r="AF14" s="11">
        <v>42562</v>
      </c>
      <c r="AG14" s="12">
        <v>234168.6</v>
      </c>
      <c r="AH14" s="19" t="s">
        <v>393</v>
      </c>
      <c r="AI14" s="20">
        <v>42562</v>
      </c>
      <c r="AJ14" s="13">
        <v>234168.6</v>
      </c>
      <c r="AK14" s="14"/>
      <c r="AL14" s="22">
        <v>42562</v>
      </c>
      <c r="AM14" s="15">
        <v>0</v>
      </c>
      <c r="AN14" s="31"/>
      <c r="AO14" s="13">
        <v>0</v>
      </c>
      <c r="AP14" s="18">
        <v>0</v>
      </c>
      <c r="AQ14" s="18"/>
    </row>
    <row r="15" spans="1:43" x14ac:dyDescent="0.25">
      <c r="A15" s="28"/>
      <c r="B15" s="11">
        <v>42563</v>
      </c>
      <c r="C15" s="12">
        <v>105754.5</v>
      </c>
      <c r="D15" s="19" t="s">
        <v>394</v>
      </c>
      <c r="E15" s="20">
        <v>42563</v>
      </c>
      <c r="F15" s="13">
        <v>107854</v>
      </c>
      <c r="G15" s="14"/>
      <c r="H15" s="22">
        <v>42563</v>
      </c>
      <c r="I15" s="15">
        <v>2000</v>
      </c>
      <c r="J15" s="23" t="s">
        <v>225</v>
      </c>
      <c r="K15" s="13">
        <v>0</v>
      </c>
      <c r="L15" s="18">
        <v>0</v>
      </c>
      <c r="M15" s="18"/>
      <c r="P15" s="28"/>
      <c r="Q15" s="11">
        <v>42563</v>
      </c>
      <c r="R15" s="12">
        <v>105754.5</v>
      </c>
      <c r="S15" s="19" t="s">
        <v>394</v>
      </c>
      <c r="T15" s="20">
        <v>42563</v>
      </c>
      <c r="U15" s="13">
        <v>107854</v>
      </c>
      <c r="V15" s="14"/>
      <c r="W15" s="22">
        <v>42563</v>
      </c>
      <c r="X15" s="15">
        <v>2000</v>
      </c>
      <c r="Y15" s="23" t="s">
        <v>225</v>
      </c>
      <c r="Z15" s="13">
        <v>0</v>
      </c>
      <c r="AA15" s="18">
        <v>0</v>
      </c>
      <c r="AB15" s="18"/>
      <c r="AE15" s="28"/>
      <c r="AF15" s="11">
        <v>42563</v>
      </c>
      <c r="AG15" s="12">
        <v>105754.5</v>
      </c>
      <c r="AH15" s="19" t="s">
        <v>394</v>
      </c>
      <c r="AI15" s="20">
        <v>42563</v>
      </c>
      <c r="AJ15" s="230">
        <v>107854</v>
      </c>
      <c r="AK15" s="14"/>
      <c r="AL15" s="22">
        <v>42563</v>
      </c>
      <c r="AM15" s="231">
        <v>2000</v>
      </c>
      <c r="AN15" s="23" t="s">
        <v>225</v>
      </c>
      <c r="AO15" s="13">
        <v>0</v>
      </c>
      <c r="AP15" s="18">
        <v>0</v>
      </c>
      <c r="AQ15" s="18"/>
    </row>
    <row r="16" spans="1:43" x14ac:dyDescent="0.25">
      <c r="A16" s="28"/>
      <c r="B16" s="11">
        <v>42564</v>
      </c>
      <c r="C16" s="12">
        <v>99567</v>
      </c>
      <c r="D16" s="19" t="s">
        <v>395</v>
      </c>
      <c r="E16" s="20">
        <v>42564</v>
      </c>
      <c r="F16" s="13">
        <v>99566.9</v>
      </c>
      <c r="G16" s="14"/>
      <c r="H16" s="22">
        <v>42564</v>
      </c>
      <c r="I16" s="15">
        <v>0</v>
      </c>
      <c r="J16" s="34"/>
      <c r="K16" s="13">
        <v>0</v>
      </c>
      <c r="L16" s="18">
        <v>0</v>
      </c>
      <c r="M16" s="18"/>
      <c r="P16" s="28"/>
      <c r="Q16" s="11">
        <v>42564</v>
      </c>
      <c r="R16" s="12">
        <v>99567</v>
      </c>
      <c r="S16" s="19" t="s">
        <v>395</v>
      </c>
      <c r="T16" s="20">
        <v>42564</v>
      </c>
      <c r="U16" s="13">
        <v>99566.9</v>
      </c>
      <c r="V16" s="14"/>
      <c r="W16" s="22">
        <v>42564</v>
      </c>
      <c r="X16" s="15">
        <v>0</v>
      </c>
      <c r="Y16" s="34"/>
      <c r="Z16" s="13">
        <v>0</v>
      </c>
      <c r="AA16" s="18">
        <v>0</v>
      </c>
      <c r="AB16" s="18"/>
      <c r="AC16" s="216"/>
      <c r="AE16" s="28"/>
      <c r="AF16" s="11">
        <v>42564</v>
      </c>
      <c r="AG16" s="12"/>
      <c r="AH16" s="19"/>
      <c r="AI16" s="20">
        <v>42564</v>
      </c>
      <c r="AJ16" s="13"/>
      <c r="AK16" s="14"/>
      <c r="AL16" s="22">
        <v>42564</v>
      </c>
      <c r="AM16" s="15"/>
      <c r="AN16" s="34"/>
      <c r="AO16" s="13">
        <v>0</v>
      </c>
      <c r="AP16" s="18">
        <v>0</v>
      </c>
      <c r="AQ16" s="18"/>
    </row>
    <row r="17" spans="1:44" x14ac:dyDescent="0.25">
      <c r="A17" s="28"/>
      <c r="B17" s="11">
        <v>42565</v>
      </c>
      <c r="C17" s="12">
        <v>131362</v>
      </c>
      <c r="D17" s="19" t="s">
        <v>396</v>
      </c>
      <c r="E17" s="20">
        <v>42565</v>
      </c>
      <c r="F17" s="13">
        <v>132228</v>
      </c>
      <c r="G17" s="14"/>
      <c r="H17" s="22">
        <v>42565</v>
      </c>
      <c r="I17" s="15">
        <v>66</v>
      </c>
      <c r="J17" s="35" t="s">
        <v>374</v>
      </c>
      <c r="K17" s="13">
        <v>800</v>
      </c>
      <c r="L17" s="18">
        <v>0</v>
      </c>
      <c r="M17" s="18"/>
      <c r="P17" s="28"/>
      <c r="Q17" s="11">
        <v>42565</v>
      </c>
      <c r="R17" s="12">
        <v>131362</v>
      </c>
      <c r="S17" s="19" t="s">
        <v>396</v>
      </c>
      <c r="T17" s="20">
        <v>42565</v>
      </c>
      <c r="U17" s="13">
        <v>132228</v>
      </c>
      <c r="V17" s="14"/>
      <c r="W17" s="22">
        <v>42565</v>
      </c>
      <c r="X17" s="15">
        <v>66</v>
      </c>
      <c r="Y17" s="35" t="s">
        <v>374</v>
      </c>
      <c r="Z17" s="13">
        <v>800</v>
      </c>
      <c r="AA17" s="18">
        <v>0</v>
      </c>
      <c r="AB17" s="18"/>
      <c r="AC17" s="216"/>
      <c r="AE17" s="28"/>
      <c r="AF17" s="11">
        <v>42565</v>
      </c>
      <c r="AG17" s="12"/>
      <c r="AH17" s="19"/>
      <c r="AI17" s="20">
        <v>42565</v>
      </c>
      <c r="AJ17" s="13"/>
      <c r="AK17" s="14"/>
      <c r="AL17" s="22">
        <v>42565</v>
      </c>
      <c r="AM17" s="15"/>
      <c r="AN17" s="35" t="s">
        <v>374</v>
      </c>
      <c r="AO17" s="13">
        <v>0</v>
      </c>
      <c r="AP17" s="18">
        <v>0</v>
      </c>
      <c r="AQ17" s="18"/>
    </row>
    <row r="18" spans="1:44" x14ac:dyDescent="0.25">
      <c r="B18" s="11">
        <v>42566</v>
      </c>
      <c r="C18" s="12">
        <v>98654</v>
      </c>
      <c r="D18" s="19" t="s">
        <v>401</v>
      </c>
      <c r="E18" s="20">
        <v>42566</v>
      </c>
      <c r="F18" s="13">
        <v>98654</v>
      </c>
      <c r="G18" s="14"/>
      <c r="H18" s="22">
        <v>42566</v>
      </c>
      <c r="I18" s="15">
        <v>0</v>
      </c>
      <c r="J18" s="36">
        <v>42565</v>
      </c>
      <c r="K18" s="24">
        <v>0</v>
      </c>
      <c r="L18" s="18">
        <v>0</v>
      </c>
      <c r="M18" s="18"/>
      <c r="Q18" s="11">
        <v>42566</v>
      </c>
      <c r="R18" s="12">
        <v>98654</v>
      </c>
      <c r="S18" s="19" t="s">
        <v>401</v>
      </c>
      <c r="T18" s="20">
        <v>42566</v>
      </c>
      <c r="U18" s="13">
        <v>98654</v>
      </c>
      <c r="V18" s="14"/>
      <c r="W18" s="22">
        <v>42566</v>
      </c>
      <c r="X18" s="15">
        <v>0</v>
      </c>
      <c r="Y18" s="36">
        <v>42565</v>
      </c>
      <c r="Z18" s="24">
        <v>0</v>
      </c>
      <c r="AA18" s="18">
        <v>0</v>
      </c>
      <c r="AB18" s="18"/>
      <c r="AC18" s="216"/>
      <c r="AF18" s="11">
        <v>42566</v>
      </c>
      <c r="AG18" s="12"/>
      <c r="AH18" s="19"/>
      <c r="AI18" s="20">
        <v>42566</v>
      </c>
      <c r="AJ18" s="13"/>
      <c r="AK18" s="14"/>
      <c r="AL18" s="22">
        <v>42566</v>
      </c>
      <c r="AM18" s="15"/>
      <c r="AN18" s="36"/>
      <c r="AO18" s="24">
        <v>0</v>
      </c>
      <c r="AP18" s="18">
        <v>0</v>
      </c>
      <c r="AQ18" s="18"/>
    </row>
    <row r="19" spans="1:44" x14ac:dyDescent="0.25">
      <c r="A19" s="28"/>
      <c r="B19" s="11">
        <v>42567</v>
      </c>
      <c r="C19" s="12">
        <v>114139</v>
      </c>
      <c r="D19" s="19" t="s">
        <v>401</v>
      </c>
      <c r="E19" s="20">
        <v>42567</v>
      </c>
      <c r="F19" s="13">
        <v>114139</v>
      </c>
      <c r="G19" s="14"/>
      <c r="H19" s="22">
        <v>42567</v>
      </c>
      <c r="I19" s="15">
        <v>0</v>
      </c>
      <c r="J19" s="37"/>
      <c r="K19" s="13">
        <v>0</v>
      </c>
      <c r="L19" s="18">
        <v>0</v>
      </c>
      <c r="M19" s="18"/>
      <c r="P19" s="28"/>
      <c r="Q19" s="11">
        <v>42567</v>
      </c>
      <c r="R19" s="12">
        <v>114139</v>
      </c>
      <c r="S19" s="19" t="s">
        <v>401</v>
      </c>
      <c r="T19" s="20">
        <v>42567</v>
      </c>
      <c r="U19" s="13">
        <v>114139</v>
      </c>
      <c r="V19" s="14"/>
      <c r="W19" s="22">
        <v>42567</v>
      </c>
      <c r="X19" s="15">
        <v>0</v>
      </c>
      <c r="Y19" s="37"/>
      <c r="Z19" s="13">
        <v>0</v>
      </c>
      <c r="AA19" s="18">
        <v>0</v>
      </c>
      <c r="AB19" s="18"/>
      <c r="AC19" s="216"/>
      <c r="AE19" s="28"/>
      <c r="AF19" s="11">
        <v>42567</v>
      </c>
      <c r="AG19" s="12"/>
      <c r="AH19" s="19"/>
      <c r="AI19" s="20">
        <v>42567</v>
      </c>
      <c r="AJ19" s="13"/>
      <c r="AK19" s="14"/>
      <c r="AL19" s="22">
        <v>42567</v>
      </c>
      <c r="AM19" s="15"/>
      <c r="AN19" s="37"/>
      <c r="AO19" s="13">
        <v>0</v>
      </c>
      <c r="AP19" s="18">
        <v>0</v>
      </c>
      <c r="AQ19" s="18"/>
      <c r="AR19" s="67"/>
    </row>
    <row r="20" spans="1:44" x14ac:dyDescent="0.25">
      <c r="B20" s="11">
        <v>42568</v>
      </c>
      <c r="C20" s="12">
        <v>100336</v>
      </c>
      <c r="D20" s="19" t="s">
        <v>402</v>
      </c>
      <c r="E20" s="20">
        <v>42568</v>
      </c>
      <c r="F20" s="13">
        <v>100336</v>
      </c>
      <c r="G20" s="14"/>
      <c r="H20" s="22">
        <v>42568</v>
      </c>
      <c r="I20" s="38">
        <v>0</v>
      </c>
      <c r="J20" s="340"/>
      <c r="K20" s="39">
        <v>0</v>
      </c>
      <c r="L20" s="18">
        <v>0</v>
      </c>
      <c r="M20" s="18"/>
      <c r="Q20" s="11">
        <v>42568</v>
      </c>
      <c r="R20" s="12">
        <v>100336</v>
      </c>
      <c r="S20" s="19" t="s">
        <v>402</v>
      </c>
      <c r="T20" s="20">
        <v>42568</v>
      </c>
      <c r="U20" s="13">
        <v>100336</v>
      </c>
      <c r="V20" s="14"/>
      <c r="W20" s="22">
        <v>42568</v>
      </c>
      <c r="X20" s="38">
        <v>0</v>
      </c>
      <c r="Y20" s="340"/>
      <c r="Z20" s="39">
        <v>0</v>
      </c>
      <c r="AA20" s="18">
        <v>0</v>
      </c>
      <c r="AB20" s="18"/>
      <c r="AC20" s="216"/>
      <c r="AF20" s="11">
        <v>42568</v>
      </c>
      <c r="AG20" s="12"/>
      <c r="AH20" s="19"/>
      <c r="AI20" s="20">
        <v>42568</v>
      </c>
      <c r="AJ20" s="13"/>
      <c r="AK20" s="14"/>
      <c r="AL20" s="22">
        <v>42568</v>
      </c>
      <c r="AM20" s="38"/>
      <c r="AN20" s="340"/>
      <c r="AO20" s="39">
        <v>0</v>
      </c>
      <c r="AP20" s="18">
        <v>0</v>
      </c>
      <c r="AQ20" s="18"/>
      <c r="AR20" s="216"/>
    </row>
    <row r="21" spans="1:44" x14ac:dyDescent="0.25">
      <c r="B21" s="11">
        <v>42569</v>
      </c>
      <c r="C21" s="12">
        <v>109477.5</v>
      </c>
      <c r="D21" s="40" t="s">
        <v>411</v>
      </c>
      <c r="E21" s="20">
        <v>42569</v>
      </c>
      <c r="F21" s="13">
        <v>109477.5</v>
      </c>
      <c r="G21" s="14"/>
      <c r="H21" s="22">
        <v>42569</v>
      </c>
      <c r="I21" s="38">
        <v>0</v>
      </c>
      <c r="J21" s="341"/>
      <c r="K21" s="24">
        <v>0</v>
      </c>
      <c r="L21" s="18">
        <v>0</v>
      </c>
      <c r="M21" s="18"/>
      <c r="Q21" s="11">
        <v>42569</v>
      </c>
      <c r="R21" s="12">
        <v>109477.5</v>
      </c>
      <c r="S21" s="40" t="s">
        <v>411</v>
      </c>
      <c r="T21" s="20">
        <v>42569</v>
      </c>
      <c r="U21" s="13">
        <v>109477.5</v>
      </c>
      <c r="V21" s="14"/>
      <c r="W21" s="22">
        <v>42569</v>
      </c>
      <c r="X21" s="38">
        <v>0</v>
      </c>
      <c r="Y21" s="341"/>
      <c r="Z21" s="24">
        <v>0</v>
      </c>
      <c r="AA21" s="18">
        <v>0</v>
      </c>
      <c r="AB21" s="18"/>
      <c r="AC21" s="18"/>
      <c r="AF21" s="11">
        <v>42569</v>
      </c>
      <c r="AG21" s="12"/>
      <c r="AH21" s="40"/>
      <c r="AI21" s="20">
        <v>42569</v>
      </c>
      <c r="AJ21" s="13"/>
      <c r="AK21" s="14"/>
      <c r="AL21" s="22">
        <v>42569</v>
      </c>
      <c r="AM21" s="38"/>
      <c r="AN21" s="341"/>
      <c r="AO21" s="24">
        <v>0</v>
      </c>
      <c r="AP21" s="18">
        <v>0</v>
      </c>
      <c r="AQ21" s="18"/>
      <c r="AR21" s="216"/>
    </row>
    <row r="22" spans="1:44" x14ac:dyDescent="0.25">
      <c r="B22" s="11">
        <v>42570</v>
      </c>
      <c r="C22" s="12">
        <v>107498.6</v>
      </c>
      <c r="D22" s="40" t="s">
        <v>412</v>
      </c>
      <c r="E22" s="20">
        <v>42570</v>
      </c>
      <c r="F22" s="13">
        <v>107498.6</v>
      </c>
      <c r="G22" s="21"/>
      <c r="H22" s="22">
        <v>42570</v>
      </c>
      <c r="I22" s="15">
        <v>0</v>
      </c>
      <c r="J22" s="23"/>
      <c r="K22" s="24">
        <v>0</v>
      </c>
      <c r="L22" s="18">
        <v>0</v>
      </c>
      <c r="M22" s="18"/>
      <c r="Q22" s="11">
        <v>42570</v>
      </c>
      <c r="R22" s="12">
        <v>107498.6</v>
      </c>
      <c r="S22" s="40" t="s">
        <v>412</v>
      </c>
      <c r="T22" s="20">
        <v>42570</v>
      </c>
      <c r="U22" s="230">
        <v>107498.6</v>
      </c>
      <c r="V22" s="21"/>
      <c r="W22" s="22">
        <v>42570</v>
      </c>
      <c r="X22" s="231">
        <v>0</v>
      </c>
      <c r="Y22" s="23"/>
      <c r="Z22" s="24">
        <v>0</v>
      </c>
      <c r="AA22" s="18">
        <v>0</v>
      </c>
      <c r="AB22" s="18"/>
      <c r="AC22" s="216"/>
      <c r="AF22" s="11">
        <v>42570</v>
      </c>
      <c r="AG22" s="12"/>
      <c r="AH22" s="40"/>
      <c r="AI22" s="20">
        <v>42570</v>
      </c>
      <c r="AJ22" s="13"/>
      <c r="AK22" s="21"/>
      <c r="AL22" s="22">
        <v>42570</v>
      </c>
      <c r="AM22" s="15"/>
      <c r="AN22" s="23"/>
      <c r="AO22" s="24">
        <v>0</v>
      </c>
      <c r="AP22" s="18">
        <v>0</v>
      </c>
      <c r="AQ22" s="18"/>
      <c r="AR22" s="216"/>
    </row>
    <row r="23" spans="1:44" x14ac:dyDescent="0.25">
      <c r="A23" s="28"/>
      <c r="B23" s="11">
        <v>42571</v>
      </c>
      <c r="C23" s="12">
        <v>69125</v>
      </c>
      <c r="D23" s="40" t="s">
        <v>415</v>
      </c>
      <c r="E23" s="20">
        <v>42571</v>
      </c>
      <c r="F23" s="13">
        <v>70259</v>
      </c>
      <c r="G23" s="14"/>
      <c r="H23" s="22">
        <v>42571</v>
      </c>
      <c r="I23" s="15">
        <v>90</v>
      </c>
      <c r="J23" s="23" t="s">
        <v>414</v>
      </c>
      <c r="K23" s="13">
        <v>1044</v>
      </c>
      <c r="L23" s="18">
        <v>0</v>
      </c>
      <c r="M23" s="18"/>
      <c r="P23" s="28"/>
      <c r="Q23" s="11">
        <v>42571</v>
      </c>
      <c r="R23" s="12"/>
      <c r="S23" s="40"/>
      <c r="T23" s="20">
        <v>42571</v>
      </c>
      <c r="U23" s="13"/>
      <c r="V23" s="14"/>
      <c r="W23" s="22">
        <v>42571</v>
      </c>
      <c r="X23" s="15"/>
      <c r="Y23" s="32"/>
      <c r="Z23" s="13">
        <v>0</v>
      </c>
      <c r="AA23" s="18">
        <v>0</v>
      </c>
      <c r="AB23" s="18"/>
      <c r="AC23" s="216"/>
      <c r="AE23" s="28"/>
      <c r="AF23" s="11">
        <v>42571</v>
      </c>
      <c r="AG23" s="12"/>
      <c r="AH23" s="40"/>
      <c r="AI23" s="20">
        <v>42571</v>
      </c>
      <c r="AJ23" s="13"/>
      <c r="AK23" s="14"/>
      <c r="AL23" s="22">
        <v>42571</v>
      </c>
      <c r="AM23" s="15"/>
      <c r="AN23" s="32"/>
      <c r="AO23" s="13">
        <v>0</v>
      </c>
      <c r="AP23" s="18">
        <v>0</v>
      </c>
      <c r="AQ23" s="18"/>
      <c r="AR23" s="216"/>
    </row>
    <row r="24" spans="1:44" x14ac:dyDescent="0.25">
      <c r="A24" s="28"/>
      <c r="B24" s="11">
        <v>42572</v>
      </c>
      <c r="C24" s="12">
        <v>194707.3</v>
      </c>
      <c r="D24" s="40" t="s">
        <v>416</v>
      </c>
      <c r="E24" s="20">
        <v>42572</v>
      </c>
      <c r="F24" s="13">
        <v>194707.3</v>
      </c>
      <c r="G24" s="14"/>
      <c r="H24" s="22">
        <v>42572</v>
      </c>
      <c r="I24" s="15">
        <v>0</v>
      </c>
      <c r="J24" s="34"/>
      <c r="K24" s="24"/>
      <c r="L24" s="18">
        <v>0</v>
      </c>
      <c r="M24" s="18"/>
      <c r="P24" s="28"/>
      <c r="Q24" s="11">
        <v>42572</v>
      </c>
      <c r="R24" s="12"/>
      <c r="S24" s="40"/>
      <c r="T24" s="20">
        <v>42572</v>
      </c>
      <c r="U24" s="13"/>
      <c r="V24" s="14"/>
      <c r="W24" s="22">
        <v>42572</v>
      </c>
      <c r="X24" s="15"/>
      <c r="Y24" s="34"/>
      <c r="Z24" s="24"/>
      <c r="AA24" s="18">
        <v>0</v>
      </c>
      <c r="AB24" s="18"/>
      <c r="AC24" s="216"/>
      <c r="AE24" s="28"/>
      <c r="AF24" s="11">
        <v>42572</v>
      </c>
      <c r="AG24" s="12"/>
      <c r="AH24" s="40"/>
      <c r="AI24" s="20">
        <v>42572</v>
      </c>
      <c r="AJ24" s="13"/>
      <c r="AK24" s="14"/>
      <c r="AL24" s="22">
        <v>42572</v>
      </c>
      <c r="AM24" s="15"/>
      <c r="AN24" s="34"/>
      <c r="AO24" s="24"/>
      <c r="AP24" s="18">
        <v>0</v>
      </c>
      <c r="AQ24" s="18"/>
      <c r="AR24" s="216"/>
    </row>
    <row r="25" spans="1:44" x14ac:dyDescent="0.25">
      <c r="B25" s="11">
        <v>42573</v>
      </c>
      <c r="C25" s="12">
        <v>75523</v>
      </c>
      <c r="D25" s="19" t="s">
        <v>418</v>
      </c>
      <c r="E25" s="20">
        <v>42573</v>
      </c>
      <c r="F25" s="13">
        <v>75523</v>
      </c>
      <c r="G25" s="14"/>
      <c r="H25" s="22">
        <v>42573</v>
      </c>
      <c r="I25" s="15">
        <v>0</v>
      </c>
      <c r="J25" s="23"/>
      <c r="K25" s="24"/>
      <c r="L25" s="18">
        <v>0</v>
      </c>
      <c r="M25" s="18"/>
      <c r="Q25" s="11">
        <v>42573</v>
      </c>
      <c r="R25" s="12"/>
      <c r="S25" s="19"/>
      <c r="T25" s="20">
        <v>42573</v>
      </c>
      <c r="U25" s="13"/>
      <c r="V25" s="14"/>
      <c r="W25" s="22">
        <v>42573</v>
      </c>
      <c r="X25" s="15"/>
      <c r="Y25" s="23"/>
      <c r="Z25" s="24"/>
      <c r="AA25" s="18">
        <v>0</v>
      </c>
      <c r="AB25" s="18"/>
      <c r="AC25" s="216"/>
      <c r="AF25" s="11">
        <v>42573</v>
      </c>
      <c r="AG25" s="12"/>
      <c r="AH25" s="19"/>
      <c r="AI25" s="20">
        <v>42573</v>
      </c>
      <c r="AJ25" s="13"/>
      <c r="AK25" s="14"/>
      <c r="AL25" s="22">
        <v>42573</v>
      </c>
      <c r="AM25" s="15"/>
      <c r="AN25" s="23"/>
      <c r="AO25" s="24"/>
      <c r="AP25" s="18">
        <v>0</v>
      </c>
      <c r="AQ25" s="18"/>
      <c r="AR25" s="18"/>
    </row>
    <row r="26" spans="1:44" x14ac:dyDescent="0.25">
      <c r="B26" s="11">
        <v>42574</v>
      </c>
      <c r="C26" s="12">
        <v>33494</v>
      </c>
      <c r="D26" s="19" t="s">
        <v>419</v>
      </c>
      <c r="E26" s="20">
        <v>42574</v>
      </c>
      <c r="F26" s="13">
        <v>33494</v>
      </c>
      <c r="G26" s="14"/>
      <c r="H26" s="22">
        <v>42574</v>
      </c>
      <c r="I26" s="15">
        <v>0</v>
      </c>
      <c r="J26" s="23"/>
      <c r="K26" s="24"/>
      <c r="L26" s="18">
        <v>0</v>
      </c>
      <c r="M26" s="18"/>
      <c r="Q26" s="11">
        <v>42574</v>
      </c>
      <c r="R26" s="12"/>
      <c r="S26" s="19"/>
      <c r="T26" s="20">
        <v>42574</v>
      </c>
      <c r="U26" s="13"/>
      <c r="V26" s="14"/>
      <c r="W26" s="22">
        <v>42574</v>
      </c>
      <c r="X26" s="15"/>
      <c r="Y26" s="23"/>
      <c r="Z26" s="24"/>
      <c r="AA26" s="18">
        <v>0</v>
      </c>
      <c r="AB26" s="18"/>
      <c r="AC26" s="216"/>
      <c r="AF26" s="11">
        <v>42574</v>
      </c>
      <c r="AG26" s="12"/>
      <c r="AH26" s="19"/>
      <c r="AI26" s="20">
        <v>42574</v>
      </c>
      <c r="AJ26" s="13"/>
      <c r="AK26" s="14"/>
      <c r="AL26" s="22">
        <v>42574</v>
      </c>
      <c r="AM26" s="15"/>
      <c r="AN26" s="23"/>
      <c r="AO26" s="24"/>
      <c r="AP26" s="18">
        <v>0</v>
      </c>
      <c r="AQ26" s="18"/>
      <c r="AR26" s="216"/>
    </row>
    <row r="27" spans="1:44" x14ac:dyDescent="0.25">
      <c r="B27" s="11">
        <v>42575</v>
      </c>
      <c r="C27" s="12"/>
      <c r="D27" s="19"/>
      <c r="E27" s="20">
        <v>42575</v>
      </c>
      <c r="F27" s="13"/>
      <c r="G27" s="14"/>
      <c r="H27" s="22">
        <v>42575</v>
      </c>
      <c r="I27" s="15"/>
      <c r="J27" s="23"/>
      <c r="K27" s="24"/>
      <c r="L27" s="18">
        <v>0</v>
      </c>
      <c r="M27" s="18"/>
      <c r="Q27" s="11">
        <v>42575</v>
      </c>
      <c r="R27" s="12"/>
      <c r="S27" s="19"/>
      <c r="T27" s="20">
        <v>42575</v>
      </c>
      <c r="U27" s="13"/>
      <c r="V27" s="14"/>
      <c r="W27" s="22">
        <v>42575</v>
      </c>
      <c r="X27" s="15"/>
      <c r="Y27" s="23"/>
      <c r="Z27" s="24"/>
      <c r="AA27" s="18">
        <v>0</v>
      </c>
      <c r="AB27" s="18"/>
      <c r="AC27" s="216"/>
      <c r="AF27" s="11">
        <v>42575</v>
      </c>
      <c r="AG27" s="12"/>
      <c r="AH27" s="19"/>
      <c r="AI27" s="20">
        <v>42575</v>
      </c>
      <c r="AJ27" s="13"/>
      <c r="AK27" s="14"/>
      <c r="AL27" s="22">
        <v>42575</v>
      </c>
      <c r="AM27" s="15"/>
      <c r="AN27" s="23"/>
      <c r="AO27" s="24"/>
      <c r="AP27" s="18">
        <v>0</v>
      </c>
      <c r="AQ27" s="18"/>
      <c r="AR27" s="216"/>
    </row>
    <row r="28" spans="1:44" x14ac:dyDescent="0.25">
      <c r="B28" s="11">
        <v>42576</v>
      </c>
      <c r="C28" s="12"/>
      <c r="D28" s="19"/>
      <c r="E28" s="20">
        <v>42576</v>
      </c>
      <c r="F28" s="13"/>
      <c r="G28" s="14"/>
      <c r="H28" s="22">
        <v>42576</v>
      </c>
      <c r="I28" s="15"/>
      <c r="J28" s="23"/>
      <c r="K28" s="24"/>
      <c r="L28" s="18">
        <v>0</v>
      </c>
      <c r="M28" s="18"/>
      <c r="Q28" s="11">
        <v>42576</v>
      </c>
      <c r="R28" s="12"/>
      <c r="S28" s="19"/>
      <c r="T28" s="20">
        <v>42576</v>
      </c>
      <c r="U28" s="13"/>
      <c r="V28" s="14"/>
      <c r="W28" s="22">
        <v>42576</v>
      </c>
      <c r="X28" s="15"/>
      <c r="Y28" s="23"/>
      <c r="Z28" s="24"/>
      <c r="AA28" s="18">
        <v>0</v>
      </c>
      <c r="AB28" s="18"/>
      <c r="AC28" s="216"/>
      <c r="AF28" s="11">
        <v>42576</v>
      </c>
      <c r="AG28" s="12"/>
      <c r="AH28" s="19"/>
      <c r="AI28" s="20">
        <v>42576</v>
      </c>
      <c r="AJ28" s="13"/>
      <c r="AK28" s="14"/>
      <c r="AL28" s="22">
        <v>42576</v>
      </c>
      <c r="AM28" s="15"/>
      <c r="AN28" s="23"/>
      <c r="AO28" s="24"/>
      <c r="AP28" s="18">
        <v>0</v>
      </c>
      <c r="AQ28" s="18"/>
      <c r="AR28" s="216"/>
    </row>
    <row r="29" spans="1:44" x14ac:dyDescent="0.25">
      <c r="B29" s="11">
        <v>42577</v>
      </c>
      <c r="C29" s="12"/>
      <c r="D29" s="19"/>
      <c r="E29" s="20">
        <v>42577</v>
      </c>
      <c r="F29" s="230"/>
      <c r="G29" s="14"/>
      <c r="H29" s="22">
        <v>42577</v>
      </c>
      <c r="I29" s="231"/>
      <c r="J29" s="23"/>
      <c r="K29" s="24"/>
      <c r="L29" s="18"/>
      <c r="M29" s="18"/>
      <c r="Q29" s="11">
        <v>42577</v>
      </c>
      <c r="R29" s="12"/>
      <c r="S29" s="19"/>
      <c r="T29" s="20">
        <v>42577</v>
      </c>
      <c r="U29" s="13"/>
      <c r="V29" s="14"/>
      <c r="W29" s="22">
        <v>42577</v>
      </c>
      <c r="X29" s="15"/>
      <c r="Y29" s="23"/>
      <c r="Z29" s="24"/>
      <c r="AA29" s="18"/>
      <c r="AB29" s="18"/>
      <c r="AC29" s="216"/>
      <c r="AF29" s="11">
        <v>42577</v>
      </c>
      <c r="AG29" s="12"/>
      <c r="AH29" s="19"/>
      <c r="AI29" s="20">
        <v>42577</v>
      </c>
      <c r="AJ29" s="13"/>
      <c r="AK29" s="14"/>
      <c r="AL29" s="22">
        <v>42577</v>
      </c>
      <c r="AM29" s="15"/>
      <c r="AN29" s="23"/>
      <c r="AO29" s="24"/>
      <c r="AP29" s="18"/>
      <c r="AQ29" s="18"/>
      <c r="AR29" s="216"/>
    </row>
    <row r="30" spans="1:44" x14ac:dyDescent="0.25">
      <c r="B30" s="11">
        <v>42578</v>
      </c>
      <c r="C30" s="12"/>
      <c r="D30" s="19"/>
      <c r="E30" s="20">
        <v>42578</v>
      </c>
      <c r="F30" s="13"/>
      <c r="G30" s="14"/>
      <c r="H30" s="22">
        <v>42578</v>
      </c>
      <c r="I30" s="15"/>
      <c r="J30" s="23"/>
      <c r="K30" s="24"/>
      <c r="L30" s="18"/>
      <c r="M30" s="18"/>
      <c r="Q30" s="11">
        <v>42578</v>
      </c>
      <c r="R30" s="12"/>
      <c r="S30" s="19"/>
      <c r="T30" s="20">
        <v>42578</v>
      </c>
      <c r="U30" s="13"/>
      <c r="V30" s="14"/>
      <c r="W30" s="22">
        <v>42578</v>
      </c>
      <c r="X30" s="15"/>
      <c r="Y30" s="23"/>
      <c r="Z30" s="24"/>
      <c r="AA30" s="18"/>
      <c r="AB30" s="18"/>
      <c r="AC30" s="216"/>
      <c r="AF30" s="11">
        <v>42578</v>
      </c>
      <c r="AG30" s="12"/>
      <c r="AH30" s="19"/>
      <c r="AI30" s="20">
        <v>42578</v>
      </c>
      <c r="AJ30" s="13"/>
      <c r="AK30" s="14"/>
      <c r="AL30" s="22">
        <v>42578</v>
      </c>
      <c r="AM30" s="15"/>
      <c r="AN30" s="23"/>
      <c r="AO30" s="24"/>
      <c r="AP30" s="18"/>
      <c r="AQ30" s="18"/>
      <c r="AR30" s="216"/>
    </row>
    <row r="31" spans="1:44" x14ac:dyDescent="0.25">
      <c r="B31" s="11">
        <v>42579</v>
      </c>
      <c r="C31" s="12"/>
      <c r="D31" s="19"/>
      <c r="E31" s="20">
        <v>42579</v>
      </c>
      <c r="F31" s="13"/>
      <c r="G31" s="14"/>
      <c r="H31" s="22">
        <v>42579</v>
      </c>
      <c r="I31" s="15"/>
      <c r="J31" s="23"/>
      <c r="K31" s="24"/>
      <c r="L31" s="18"/>
      <c r="M31" s="18"/>
      <c r="Q31" s="11">
        <v>42579</v>
      </c>
      <c r="R31" s="12"/>
      <c r="S31" s="19"/>
      <c r="T31" s="20">
        <v>42579</v>
      </c>
      <c r="U31" s="13"/>
      <c r="V31" s="14"/>
      <c r="W31" s="22">
        <v>42579</v>
      </c>
      <c r="X31" s="15"/>
      <c r="Y31" s="23"/>
      <c r="Z31" s="24"/>
      <c r="AA31" s="18"/>
      <c r="AB31" s="18"/>
      <c r="AC31" s="216"/>
      <c r="AF31" s="11">
        <v>42579</v>
      </c>
      <c r="AG31" s="12"/>
      <c r="AH31" s="19"/>
      <c r="AI31" s="20">
        <v>42579</v>
      </c>
      <c r="AJ31" s="13"/>
      <c r="AK31" s="14"/>
      <c r="AL31" s="22">
        <v>42579</v>
      </c>
      <c r="AM31" s="15"/>
      <c r="AN31" s="23"/>
      <c r="AO31" s="24"/>
      <c r="AP31" s="18"/>
      <c r="AQ31" s="18"/>
      <c r="AR31" s="216"/>
    </row>
    <row r="32" spans="1:44" x14ac:dyDescent="0.25">
      <c r="B32" s="11">
        <v>42580</v>
      </c>
      <c r="C32" s="12"/>
      <c r="D32" s="42"/>
      <c r="E32" s="20">
        <v>42580</v>
      </c>
      <c r="F32" s="13"/>
      <c r="G32" s="14"/>
      <c r="H32" s="22">
        <v>42580</v>
      </c>
      <c r="I32" s="15"/>
      <c r="J32" s="23"/>
      <c r="K32" s="24"/>
      <c r="L32" s="18"/>
      <c r="M32" s="18"/>
      <c r="Q32" s="11">
        <v>42580</v>
      </c>
      <c r="R32" s="12"/>
      <c r="S32" s="42"/>
      <c r="T32" s="20">
        <v>42580</v>
      </c>
      <c r="U32" s="13"/>
      <c r="V32" s="14"/>
      <c r="W32" s="22">
        <v>42580</v>
      </c>
      <c r="X32" s="15"/>
      <c r="Y32" s="23"/>
      <c r="Z32" s="24"/>
      <c r="AA32" s="18"/>
      <c r="AB32" s="18"/>
      <c r="AC32" s="216"/>
      <c r="AF32" s="11">
        <v>42580</v>
      </c>
      <c r="AG32" s="12"/>
      <c r="AH32" s="42"/>
      <c r="AI32" s="20">
        <v>42580</v>
      </c>
      <c r="AJ32" s="13"/>
      <c r="AK32" s="14"/>
      <c r="AL32" s="22">
        <v>42580</v>
      </c>
      <c r="AM32" s="15"/>
      <c r="AN32" s="23"/>
      <c r="AO32" s="24"/>
      <c r="AP32" s="18"/>
      <c r="AQ32" s="18"/>
      <c r="AR32" s="216"/>
    </row>
    <row r="33" spans="1:44" x14ac:dyDescent="0.25">
      <c r="B33" s="11">
        <v>42581</v>
      </c>
      <c r="C33" s="12"/>
      <c r="D33" s="19"/>
      <c r="E33" s="20">
        <v>42581</v>
      </c>
      <c r="F33" s="13"/>
      <c r="G33" s="14"/>
      <c r="H33" s="22">
        <v>42581</v>
      </c>
      <c r="I33" s="15"/>
      <c r="J33" s="23"/>
      <c r="K33" s="24"/>
      <c r="L33" s="18"/>
      <c r="M33" s="18"/>
      <c r="Q33" s="11">
        <v>42581</v>
      </c>
      <c r="R33" s="12"/>
      <c r="S33" s="19"/>
      <c r="T33" s="20">
        <v>42581</v>
      </c>
      <c r="U33" s="13"/>
      <c r="V33" s="14"/>
      <c r="W33" s="22">
        <v>42581</v>
      </c>
      <c r="X33" s="15"/>
      <c r="Y33" s="23"/>
      <c r="Z33" s="24"/>
      <c r="AA33" s="18"/>
      <c r="AB33" s="18"/>
      <c r="AC33" s="216"/>
      <c r="AF33" s="11">
        <v>42581</v>
      </c>
      <c r="AG33" s="12"/>
      <c r="AH33" s="19"/>
      <c r="AI33" s="20">
        <v>42581</v>
      </c>
      <c r="AJ33" s="13"/>
      <c r="AK33" s="14"/>
      <c r="AL33" s="22">
        <v>42581</v>
      </c>
      <c r="AM33" s="15"/>
      <c r="AN33" s="23"/>
      <c r="AO33" s="24"/>
      <c r="AP33" s="18"/>
      <c r="AQ33" s="18"/>
      <c r="AR33" s="216"/>
    </row>
    <row r="34" spans="1:44" ht="15.75" thickBot="1" x14ac:dyDescent="0.3">
      <c r="A34" s="28"/>
      <c r="B34" s="11">
        <v>42582</v>
      </c>
      <c r="C34" s="12"/>
      <c r="D34" s="19"/>
      <c r="E34" s="20">
        <v>42582</v>
      </c>
      <c r="F34" s="13"/>
      <c r="G34" s="14"/>
      <c r="H34" s="22">
        <v>42582</v>
      </c>
      <c r="I34" s="15"/>
      <c r="J34" s="23"/>
      <c r="K34" s="24"/>
      <c r="L34" s="18"/>
      <c r="M34" s="18"/>
      <c r="P34" s="28"/>
      <c r="Q34" s="11">
        <v>42582</v>
      </c>
      <c r="R34" s="12"/>
      <c r="S34" s="19"/>
      <c r="T34" s="20">
        <v>42582</v>
      </c>
      <c r="U34" s="13"/>
      <c r="V34" s="14"/>
      <c r="W34" s="22">
        <v>42582</v>
      </c>
      <c r="X34" s="15"/>
      <c r="Y34" s="23"/>
      <c r="Z34" s="24"/>
      <c r="AA34" s="18"/>
      <c r="AB34" s="18"/>
      <c r="AC34" s="216"/>
      <c r="AE34" s="28"/>
      <c r="AF34" s="11">
        <v>42582</v>
      </c>
      <c r="AG34" s="12"/>
      <c r="AH34" s="19"/>
      <c r="AI34" s="20">
        <v>42582</v>
      </c>
      <c r="AJ34" s="13"/>
      <c r="AK34" s="14"/>
      <c r="AL34" s="22">
        <v>42582</v>
      </c>
      <c r="AM34" s="15"/>
      <c r="AN34" s="23"/>
      <c r="AO34" s="24"/>
      <c r="AP34" s="18"/>
      <c r="AQ34" s="18"/>
      <c r="AR34" s="216"/>
    </row>
    <row r="35" spans="1:44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M35" s="50"/>
      <c r="P35" s="43"/>
      <c r="Q35" s="44"/>
      <c r="R35" s="45">
        <v>0</v>
      </c>
      <c r="S35" s="46"/>
      <c r="T35" s="47"/>
      <c r="U35" s="24">
        <v>0</v>
      </c>
      <c r="W35" s="48"/>
      <c r="X35" s="49"/>
      <c r="Y35" s="23"/>
      <c r="Z35" s="24"/>
      <c r="AA35" s="50">
        <v>0</v>
      </c>
      <c r="AB35" s="50"/>
      <c r="AC35" s="216"/>
      <c r="AE35" s="43"/>
      <c r="AF35" s="44"/>
      <c r="AG35" s="45">
        <v>0</v>
      </c>
      <c r="AH35" s="46"/>
      <c r="AI35" s="47"/>
      <c r="AJ35" s="24">
        <v>0</v>
      </c>
      <c r="AL35" s="48"/>
      <c r="AM35" s="49"/>
      <c r="AN35" s="23"/>
      <c r="AO35" s="24"/>
      <c r="AP35" s="50">
        <v>0</v>
      </c>
      <c r="AQ35" s="50"/>
      <c r="AR35" s="216"/>
    </row>
    <row r="36" spans="1:44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M36" s="50"/>
      <c r="P36" s="51"/>
      <c r="Q36" s="52" t="s">
        <v>0</v>
      </c>
      <c r="R36" s="53">
        <v>0</v>
      </c>
      <c r="S36" s="46"/>
      <c r="T36" s="54"/>
      <c r="U36" s="55">
        <v>0</v>
      </c>
      <c r="W36" s="56"/>
      <c r="X36" s="57">
        <v>0</v>
      </c>
      <c r="Y36" s="58"/>
      <c r="Z36" s="55"/>
      <c r="AA36" s="59">
        <v>0</v>
      </c>
      <c r="AB36" s="50"/>
      <c r="AC36" s="216"/>
      <c r="AE36" s="51"/>
      <c r="AF36" s="52" t="s">
        <v>0</v>
      </c>
      <c r="AG36" s="53">
        <v>0</v>
      </c>
      <c r="AH36" s="46"/>
      <c r="AI36" s="54"/>
      <c r="AJ36" s="55">
        <v>0</v>
      </c>
      <c r="AL36" s="56"/>
      <c r="AM36" s="57">
        <v>0</v>
      </c>
      <c r="AN36" s="58"/>
      <c r="AO36" s="55"/>
      <c r="AP36" s="59">
        <v>0</v>
      </c>
      <c r="AQ36" s="50"/>
      <c r="AR36" s="216"/>
    </row>
    <row r="37" spans="1:44" x14ac:dyDescent="0.25">
      <c r="B37" s="60" t="s">
        <v>11</v>
      </c>
      <c r="C37" s="61">
        <f>SUM(C4:C36)</f>
        <v>2554974.56</v>
      </c>
      <c r="D37" s="46"/>
      <c r="E37" s="62" t="s">
        <v>11</v>
      </c>
      <c r="F37" s="63">
        <f>SUM(F4:F36)</f>
        <v>2588872.6</v>
      </c>
      <c r="H37" s="1" t="s">
        <v>11</v>
      </c>
      <c r="I37" s="64">
        <f>SUM(I4:I36)</f>
        <v>2802</v>
      </c>
      <c r="J37" s="64"/>
      <c r="K37" s="64">
        <f t="shared" ref="K37" si="0">SUM(K4:K36)</f>
        <v>78650.259999999995</v>
      </c>
      <c r="L37" s="2">
        <f>SUM(L4:L36)</f>
        <v>31.5</v>
      </c>
      <c r="M37" s="2"/>
      <c r="Q37" s="60" t="s">
        <v>11</v>
      </c>
      <c r="R37" s="61">
        <f>SUM(R4:R36)</f>
        <v>2182125.2600000002</v>
      </c>
      <c r="S37" s="46"/>
      <c r="T37" s="62" t="s">
        <v>11</v>
      </c>
      <c r="U37" s="63">
        <f>SUM(U4:U36)</f>
        <v>2214889.3000000003</v>
      </c>
      <c r="W37" s="1" t="s">
        <v>11</v>
      </c>
      <c r="X37" s="64">
        <f>SUM(X4:X36)</f>
        <v>2712</v>
      </c>
      <c r="Y37" s="64"/>
      <c r="Z37" s="64">
        <f t="shared" ref="Z37" si="1">SUM(Z4:Z36)</f>
        <v>63868.649999999994</v>
      </c>
      <c r="AA37" s="2">
        <f>SUM(AA4:AA36)</f>
        <v>31.5</v>
      </c>
      <c r="AB37" s="2"/>
      <c r="AC37" s="272"/>
      <c r="AF37" s="60" t="s">
        <v>11</v>
      </c>
      <c r="AG37" s="61">
        <f>SUM(AG4:AG36)</f>
        <v>1421091.1600000001</v>
      </c>
      <c r="AH37" s="46"/>
      <c r="AI37" s="62" t="s">
        <v>11</v>
      </c>
      <c r="AJ37" s="63">
        <f>SUM(AJ4:AJ36)</f>
        <v>1452989.3</v>
      </c>
      <c r="AL37" s="1" t="s">
        <v>11</v>
      </c>
      <c r="AM37" s="64">
        <f>SUM(AM4:AM36)</f>
        <v>2646</v>
      </c>
      <c r="AN37" s="64"/>
      <c r="AO37" s="64">
        <f t="shared" ref="AO37" si="2">SUM(AO4:AO36)</f>
        <v>50335.549999999996</v>
      </c>
      <c r="AP37" s="2">
        <f>SUM(AP4:AP36)</f>
        <v>31.5</v>
      </c>
      <c r="AQ37" s="2"/>
      <c r="AR37" s="272"/>
    </row>
    <row r="38" spans="1:44" x14ac:dyDescent="0.25">
      <c r="A38" s="342"/>
      <c r="B38" s="342"/>
      <c r="C38" s="50"/>
      <c r="E38" s="1"/>
      <c r="F38" s="1"/>
      <c r="H38" s="1"/>
      <c r="I38" s="64"/>
      <c r="J38" s="1"/>
      <c r="K38" s="64"/>
      <c r="L38" s="2"/>
      <c r="M38" s="2"/>
      <c r="P38" s="342"/>
      <c r="Q38" s="342"/>
      <c r="R38" s="50"/>
      <c r="T38" s="1"/>
      <c r="U38" s="1"/>
      <c r="W38" s="1"/>
      <c r="X38" s="64"/>
      <c r="Y38" s="1"/>
      <c r="Z38" s="64"/>
      <c r="AA38" s="2"/>
      <c r="AB38" s="2"/>
      <c r="AE38" s="342"/>
      <c r="AF38" s="342"/>
      <c r="AG38" s="50"/>
      <c r="AI38" s="1"/>
      <c r="AJ38" s="1"/>
      <c r="AL38" s="1"/>
      <c r="AM38" s="64"/>
      <c r="AN38" s="1"/>
      <c r="AO38" s="64"/>
      <c r="AP38" s="2"/>
      <c r="AQ38" s="2"/>
    </row>
    <row r="39" spans="1:44" ht="15.75" customHeight="1" x14ac:dyDescent="0.25">
      <c r="A39" s="65"/>
      <c r="B39" s="66"/>
      <c r="C39" s="50"/>
      <c r="D39" s="67"/>
      <c r="E39" s="66"/>
      <c r="F39" s="66"/>
      <c r="H39" s="326" t="s">
        <v>12</v>
      </c>
      <c r="I39" s="327"/>
      <c r="J39" s="328">
        <f>I37+K37</f>
        <v>81452.259999999995</v>
      </c>
      <c r="K39" s="329"/>
      <c r="L39" s="68"/>
      <c r="M39" s="68"/>
      <c r="P39" s="65"/>
      <c r="Q39" s="66"/>
      <c r="R39" s="50"/>
      <c r="S39" s="67"/>
      <c r="T39" s="66"/>
      <c r="U39" s="66"/>
      <c r="W39" s="326" t="s">
        <v>12</v>
      </c>
      <c r="X39" s="327"/>
      <c r="Y39" s="328">
        <f>X37+Z37</f>
        <v>66580.649999999994</v>
      </c>
      <c r="Z39" s="329"/>
      <c r="AA39" s="68"/>
      <c r="AB39" s="68"/>
      <c r="AE39" s="65"/>
      <c r="AF39" s="66"/>
      <c r="AG39" s="50"/>
      <c r="AH39" s="67"/>
      <c r="AI39" s="66"/>
      <c r="AJ39" s="66"/>
      <c r="AL39" s="326" t="s">
        <v>12</v>
      </c>
      <c r="AM39" s="327"/>
      <c r="AN39" s="328">
        <f>AM37+AO37</f>
        <v>52981.549999999996</v>
      </c>
      <c r="AO39" s="329"/>
      <c r="AP39" s="68"/>
      <c r="AQ39" s="68"/>
    </row>
    <row r="40" spans="1:44" ht="15.75" customHeight="1" x14ac:dyDescent="0.25">
      <c r="A40" s="330"/>
      <c r="B40" s="330"/>
      <c r="C40" s="50"/>
      <c r="D40" s="331" t="s">
        <v>13</v>
      </c>
      <c r="E40" s="331"/>
      <c r="F40" s="69">
        <f>F37-J39</f>
        <v>2507420.3400000003</v>
      </c>
      <c r="H40" s="1"/>
      <c r="I40" s="70"/>
      <c r="J40" s="1"/>
      <c r="K40" s="1"/>
      <c r="L40" s="2"/>
      <c r="M40" s="2"/>
      <c r="P40" s="330"/>
      <c r="Q40" s="330"/>
      <c r="R40" s="50"/>
      <c r="S40" s="331" t="s">
        <v>13</v>
      </c>
      <c r="T40" s="331"/>
      <c r="U40" s="69">
        <f>U37-Y39</f>
        <v>2148308.6500000004</v>
      </c>
      <c r="W40" s="1"/>
      <c r="X40" s="70"/>
      <c r="Y40" s="1"/>
      <c r="Z40" s="1"/>
      <c r="AA40" s="2"/>
      <c r="AB40" s="2"/>
      <c r="AE40" s="330"/>
      <c r="AF40" s="330"/>
      <c r="AG40" s="50"/>
      <c r="AH40" s="331" t="s">
        <v>13</v>
      </c>
      <c r="AI40" s="331"/>
      <c r="AJ40" s="69">
        <f>AJ37-AN39</f>
        <v>1400007.75</v>
      </c>
      <c r="AL40" s="1"/>
      <c r="AM40" s="70"/>
      <c r="AN40" s="1"/>
      <c r="AO40" s="1"/>
      <c r="AP40" s="2"/>
      <c r="AQ40" s="2"/>
    </row>
    <row r="41" spans="1:44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M41" s="2"/>
      <c r="P41" s="67"/>
      <c r="Q41" s="66"/>
      <c r="R41" s="50"/>
      <c r="S41" s="67"/>
      <c r="T41" s="66"/>
      <c r="U41" s="69">
        <v>0</v>
      </c>
      <c r="W41" s="1"/>
      <c r="X41" s="1"/>
      <c r="Y41" s="1"/>
      <c r="Z41" s="1"/>
      <c r="AA41" s="2"/>
      <c r="AB41" s="2"/>
      <c r="AE41" s="67"/>
      <c r="AF41" s="66"/>
      <c r="AG41" s="50"/>
      <c r="AH41" s="67"/>
      <c r="AI41" s="66"/>
      <c r="AJ41" s="69">
        <v>0</v>
      </c>
      <c r="AL41" s="1"/>
      <c r="AM41" s="1"/>
      <c r="AN41" s="1"/>
      <c r="AO41" s="1"/>
      <c r="AP41" s="2"/>
      <c r="AQ41" s="2"/>
    </row>
    <row r="42" spans="1:44" ht="15.75" thickBot="1" x14ac:dyDescent="0.3">
      <c r="B42" s="1"/>
      <c r="C42" s="2"/>
      <c r="E42" s="71" t="s">
        <v>14</v>
      </c>
      <c r="F42" s="50">
        <v>0</v>
      </c>
      <c r="H42" s="1"/>
      <c r="I42" s="72" t="s">
        <v>15</v>
      </c>
      <c r="J42" s="275"/>
      <c r="K42" s="276">
        <v>189223.09</v>
      </c>
      <c r="L42" s="2"/>
      <c r="M42" s="2"/>
      <c r="Q42" s="1"/>
      <c r="R42" s="2"/>
      <c r="T42" s="71" t="s">
        <v>14</v>
      </c>
      <c r="U42" s="50">
        <v>-2318219.09</v>
      </c>
      <c r="W42" s="1"/>
      <c r="X42" s="72" t="s">
        <v>15</v>
      </c>
      <c r="Y42" s="275"/>
      <c r="Z42" s="276">
        <v>343663.6</v>
      </c>
      <c r="AA42" s="2"/>
      <c r="AB42" s="2"/>
      <c r="AF42" s="1"/>
      <c r="AG42" s="2"/>
      <c r="AI42" s="71" t="s">
        <v>14</v>
      </c>
      <c r="AJ42" s="50">
        <v>0</v>
      </c>
      <c r="AL42" s="1"/>
      <c r="AM42" s="72" t="s">
        <v>15</v>
      </c>
      <c r="AN42" s="275"/>
      <c r="AO42" s="276">
        <v>206623.06</v>
      </c>
      <c r="AP42" s="2"/>
      <c r="AQ42" s="2"/>
    </row>
    <row r="43" spans="1:44" ht="15.75" thickTop="1" x14ac:dyDescent="0.25">
      <c r="B43" s="1"/>
      <c r="C43" s="2"/>
      <c r="E43" s="1" t="s">
        <v>16</v>
      </c>
      <c r="F43" s="64">
        <f>SUM(F40:F42)</f>
        <v>2507420.3400000003</v>
      </c>
      <c r="H43" s="1"/>
      <c r="I43" s="1"/>
      <c r="J43" s="1"/>
      <c r="K43" s="64">
        <f>F45+K42</f>
        <v>2696643.43</v>
      </c>
      <c r="L43" s="2"/>
      <c r="M43" s="2"/>
      <c r="Q43" s="1"/>
      <c r="R43" s="2"/>
      <c r="T43" s="1" t="s">
        <v>16</v>
      </c>
      <c r="U43" s="64">
        <f>SUM(U40:U42)</f>
        <v>-169910.43999999948</v>
      </c>
      <c r="W43" s="1"/>
      <c r="X43" s="1"/>
      <c r="Y43" s="1"/>
      <c r="Z43" s="64">
        <f>U45+Z42</f>
        <v>173753.1600000005</v>
      </c>
      <c r="AA43" s="2"/>
      <c r="AB43" s="2"/>
      <c r="AF43" s="1"/>
      <c r="AG43" s="2"/>
      <c r="AI43" s="1" t="s">
        <v>16</v>
      </c>
      <c r="AJ43" s="64">
        <f>SUM(AJ40:AJ42)</f>
        <v>1400007.75</v>
      </c>
      <c r="AL43" s="1"/>
      <c r="AM43" s="1"/>
      <c r="AN43" s="1"/>
      <c r="AO43" s="64">
        <f>AJ45+AO42</f>
        <v>1606630.81</v>
      </c>
      <c r="AP43" s="2"/>
      <c r="AQ43" s="2"/>
    </row>
    <row r="44" spans="1:44" ht="15.75" thickBot="1" x14ac:dyDescent="0.3">
      <c r="B44" s="1"/>
      <c r="C44" s="2"/>
      <c r="D44" s="62" t="s">
        <v>17</v>
      </c>
      <c r="E44" s="62"/>
      <c r="F44" s="75">
        <v>0</v>
      </c>
      <c r="H44" s="1"/>
      <c r="I44" s="1" t="s">
        <v>1</v>
      </c>
      <c r="J44" s="76"/>
      <c r="K44" s="77">
        <f>-C3</f>
        <v>-276782.38</v>
      </c>
      <c r="L44" s="2"/>
      <c r="M44" s="2"/>
      <c r="Q44" s="1"/>
      <c r="R44" s="2"/>
      <c r="S44" s="62" t="s">
        <v>17</v>
      </c>
      <c r="T44" s="62"/>
      <c r="U44" s="75">
        <v>0</v>
      </c>
      <c r="W44" s="1"/>
      <c r="X44" s="1" t="s">
        <v>1</v>
      </c>
      <c r="Y44" s="76"/>
      <c r="Z44" s="77">
        <f>-R3</f>
        <v>-276782.38</v>
      </c>
      <c r="AA44" s="2"/>
      <c r="AB44" s="2"/>
      <c r="AF44" s="1"/>
      <c r="AG44" s="2"/>
      <c r="AH44" s="62" t="s">
        <v>17</v>
      </c>
      <c r="AI44" s="62"/>
      <c r="AJ44" s="75">
        <v>0</v>
      </c>
      <c r="AL44" s="1"/>
      <c r="AM44" s="1" t="s">
        <v>1</v>
      </c>
      <c r="AN44" s="76"/>
      <c r="AO44" s="77">
        <f>-AG3</f>
        <v>-276782.38</v>
      </c>
      <c r="AP44" s="2"/>
      <c r="AQ44" s="2"/>
    </row>
    <row r="45" spans="1:44" ht="20.25" thickTop="1" thickBot="1" x14ac:dyDescent="0.35">
      <c r="B45" s="1"/>
      <c r="C45" s="2"/>
      <c r="E45" s="60" t="s">
        <v>18</v>
      </c>
      <c r="F45" s="78">
        <f>F44+F43</f>
        <v>2507420.3400000003</v>
      </c>
      <c r="H45" s="1"/>
      <c r="I45" s="332" t="s">
        <v>175</v>
      </c>
      <c r="J45" s="333"/>
      <c r="K45" s="79">
        <f>K43+K44</f>
        <v>2419861.0500000003</v>
      </c>
      <c r="L45" s="2"/>
      <c r="M45" s="2"/>
      <c r="Q45" s="1"/>
      <c r="R45" s="2"/>
      <c r="T45" s="60" t="s">
        <v>18</v>
      </c>
      <c r="U45" s="78">
        <f>U44+U43</f>
        <v>-169910.43999999948</v>
      </c>
      <c r="W45" s="1"/>
      <c r="X45" s="332" t="s">
        <v>175</v>
      </c>
      <c r="Y45" s="333"/>
      <c r="Z45" s="79">
        <f>Z43+Z44</f>
        <v>-103029.21999999951</v>
      </c>
      <c r="AA45" s="2"/>
      <c r="AB45" s="2"/>
      <c r="AF45" s="1"/>
      <c r="AG45" s="2"/>
      <c r="AI45" s="60" t="s">
        <v>18</v>
      </c>
      <c r="AJ45" s="78">
        <f>AJ44+AJ43</f>
        <v>1400007.75</v>
      </c>
      <c r="AL45" s="1"/>
      <c r="AM45" s="332" t="s">
        <v>175</v>
      </c>
      <c r="AN45" s="333"/>
      <c r="AO45" s="79">
        <f>AO43+AO44</f>
        <v>1329848.4300000002</v>
      </c>
      <c r="AP45" s="2"/>
      <c r="AQ45" s="2"/>
    </row>
    <row r="46" spans="1:44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M46" s="2"/>
      <c r="Q46" s="1"/>
      <c r="R46" s="2"/>
      <c r="T46" s="1"/>
      <c r="U46" s="1"/>
      <c r="W46" s="1"/>
      <c r="X46" s="1"/>
      <c r="Y46" s="1"/>
      <c r="Z46" s="1"/>
      <c r="AA46" s="2"/>
      <c r="AB46" s="2"/>
      <c r="AF46" s="1"/>
      <c r="AG46" s="2"/>
      <c r="AI46" s="1"/>
      <c r="AJ46" s="1"/>
      <c r="AL46" s="1"/>
      <c r="AM46" s="1"/>
      <c r="AN46" s="1"/>
      <c r="AO46" s="1"/>
      <c r="AP46" s="2"/>
      <c r="AQ46" s="2"/>
    </row>
  </sheetData>
  <mergeCells count="33">
    <mergeCell ref="I45:J45"/>
    <mergeCell ref="A38:B38"/>
    <mergeCell ref="H39:I39"/>
    <mergeCell ref="J39:K39"/>
    <mergeCell ref="A40:B40"/>
    <mergeCell ref="D40:E40"/>
    <mergeCell ref="C1:J1"/>
    <mergeCell ref="E3:F3"/>
    <mergeCell ref="I3:K3"/>
    <mergeCell ref="J5:J6"/>
    <mergeCell ref="J20:J21"/>
    <mergeCell ref="AN20:AN21"/>
    <mergeCell ref="AE38:AF38"/>
    <mergeCell ref="AG1:AN1"/>
    <mergeCell ref="AI3:AJ3"/>
    <mergeCell ref="AM3:AO3"/>
    <mergeCell ref="AN5:AN6"/>
    <mergeCell ref="AM45:AN45"/>
    <mergeCell ref="AE40:AF40"/>
    <mergeCell ref="AH40:AI40"/>
    <mergeCell ref="AL39:AM39"/>
    <mergeCell ref="AN39:AO39"/>
    <mergeCell ref="R1:Y1"/>
    <mergeCell ref="T3:U3"/>
    <mergeCell ref="X3:Z3"/>
    <mergeCell ref="Y5:Y6"/>
    <mergeCell ref="Y20:Y21"/>
    <mergeCell ref="X45:Y45"/>
    <mergeCell ref="P38:Q38"/>
    <mergeCell ref="W39:X39"/>
    <mergeCell ref="Y39:Z39"/>
    <mergeCell ref="P40:Q40"/>
    <mergeCell ref="S40:T40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B106"/>
  <sheetViews>
    <sheetView tabSelected="1" topLeftCell="A13" workbookViewId="0">
      <selection activeCell="D33" sqref="D33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6.140625" customWidth="1"/>
    <col min="17" max="17" width="20.140625" bestFit="1" customWidth="1"/>
    <col min="22" max="22" width="14.140625" bestFit="1" customWidth="1"/>
    <col min="24" max="24" width="17.140625" customWidth="1"/>
    <col min="27" max="27" width="20.140625" bestFit="1" customWidth="1"/>
  </cols>
  <sheetData>
    <row r="1" spans="1:28" ht="19.5" customHeight="1" thickBot="1" x14ac:dyDescent="0.35">
      <c r="L1" s="33"/>
      <c r="M1" s="343">
        <v>1</v>
      </c>
      <c r="N1" s="86" t="s">
        <v>28</v>
      </c>
      <c r="O1" s="86"/>
      <c r="P1" s="110"/>
      <c r="Q1" s="197">
        <v>42566</v>
      </c>
      <c r="R1" s="112"/>
      <c r="V1" s="33"/>
      <c r="W1" s="343">
        <v>1</v>
      </c>
      <c r="X1" s="86" t="s">
        <v>28</v>
      </c>
      <c r="Y1" s="86"/>
      <c r="Z1" s="110"/>
      <c r="AA1" s="191">
        <v>42578</v>
      </c>
      <c r="AB1" s="112"/>
    </row>
    <row r="2" spans="1:28" ht="19.5" customHeight="1" thickBot="1" x14ac:dyDescent="0.35">
      <c r="B2" s="176"/>
      <c r="C2" s="177"/>
      <c r="D2" s="260" t="s">
        <v>21</v>
      </c>
      <c r="E2" s="179"/>
      <c r="F2" s="180"/>
      <c r="G2" s="181"/>
      <c r="L2" s="33"/>
      <c r="M2" s="344"/>
      <c r="N2" s="113"/>
      <c r="O2" s="113"/>
      <c r="P2" s="114"/>
      <c r="Q2" s="115"/>
      <c r="R2" s="112"/>
      <c r="V2" s="33"/>
      <c r="W2" s="344"/>
      <c r="X2" s="113"/>
      <c r="Y2" s="113"/>
      <c r="Z2" s="114"/>
      <c r="AA2" s="115"/>
      <c r="AB2" s="112"/>
    </row>
    <row r="3" spans="1:28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"/>
      <c r="M3" s="116" t="s">
        <v>23</v>
      </c>
      <c r="N3" s="116" t="s">
        <v>24</v>
      </c>
      <c r="O3" s="116"/>
      <c r="P3" s="117" t="s">
        <v>29</v>
      </c>
      <c r="Q3" s="118" t="s">
        <v>30</v>
      </c>
      <c r="R3" s="119"/>
      <c r="V3" s="3"/>
      <c r="W3" s="116" t="s">
        <v>23</v>
      </c>
      <c r="X3" s="116" t="s">
        <v>24</v>
      </c>
      <c r="Y3" s="116"/>
      <c r="Z3" s="117" t="s">
        <v>29</v>
      </c>
      <c r="AA3" s="118" t="s">
        <v>30</v>
      </c>
      <c r="AB3" s="119"/>
    </row>
    <row r="4" spans="1:28" x14ac:dyDescent="0.25">
      <c r="A4" s="14"/>
      <c r="B4" s="92">
        <v>42553</v>
      </c>
      <c r="C4" s="93" t="s">
        <v>352</v>
      </c>
      <c r="D4" s="132">
        <v>38787.72</v>
      </c>
      <c r="E4" s="95">
        <v>42566</v>
      </c>
      <c r="F4" s="94">
        <v>38787.72</v>
      </c>
      <c r="G4" s="158">
        <f t="shared" ref="G4:G43" si="0">D4-F4</f>
        <v>0</v>
      </c>
      <c r="H4" s="146"/>
      <c r="L4" s="3">
        <f>120100.4+27619+69755+35474.5+3277.73</f>
        <v>256226.63</v>
      </c>
      <c r="M4" s="93" t="s">
        <v>342</v>
      </c>
      <c r="N4" s="132">
        <v>256226.63</v>
      </c>
      <c r="O4" s="120"/>
      <c r="P4" s="289">
        <v>3273291</v>
      </c>
      <c r="Q4" s="296">
        <v>65000</v>
      </c>
      <c r="R4" s="297">
        <v>42548</v>
      </c>
      <c r="V4" s="33"/>
      <c r="W4" s="93"/>
      <c r="X4" s="132"/>
      <c r="Y4" s="120"/>
      <c r="Z4" s="289" t="s">
        <v>31</v>
      </c>
      <c r="AA4" s="296">
        <v>7089</v>
      </c>
      <c r="AB4" s="297">
        <v>42570</v>
      </c>
    </row>
    <row r="5" spans="1:28" x14ac:dyDescent="0.25">
      <c r="A5" s="14"/>
      <c r="B5" s="96">
        <v>42553</v>
      </c>
      <c r="C5" s="93" t="s">
        <v>353</v>
      </c>
      <c r="D5" s="132">
        <v>38319.879999999997</v>
      </c>
      <c r="E5" s="95">
        <v>42566</v>
      </c>
      <c r="F5" s="94">
        <v>38319.879999999997</v>
      </c>
      <c r="G5" s="97">
        <f t="shared" si="0"/>
        <v>0</v>
      </c>
      <c r="H5" s="146"/>
      <c r="L5" s="3">
        <v>16034.98</v>
      </c>
      <c r="M5" s="93" t="s">
        <v>343</v>
      </c>
      <c r="N5" s="313">
        <v>16033.72</v>
      </c>
      <c r="O5" s="124" t="s">
        <v>96</v>
      </c>
      <c r="P5" s="241">
        <v>3273281</v>
      </c>
      <c r="Q5" s="242">
        <v>45000</v>
      </c>
      <c r="R5" s="290">
        <v>42548</v>
      </c>
      <c r="V5" s="33">
        <f>56574.2</f>
        <v>56574.2</v>
      </c>
      <c r="W5" s="93" t="s">
        <v>397</v>
      </c>
      <c r="X5" s="132">
        <v>56572.97</v>
      </c>
      <c r="Y5" s="124" t="s">
        <v>36</v>
      </c>
      <c r="Z5" s="241">
        <v>2730800</v>
      </c>
      <c r="AA5" s="242">
        <v>23000</v>
      </c>
      <c r="AB5" s="290">
        <v>42569</v>
      </c>
    </row>
    <row r="6" spans="1:28" x14ac:dyDescent="0.25">
      <c r="A6" s="14"/>
      <c r="B6" s="96">
        <v>42553</v>
      </c>
      <c r="C6" s="98" t="s">
        <v>354</v>
      </c>
      <c r="D6" s="132">
        <v>54062.080000000002</v>
      </c>
      <c r="E6" s="95">
        <v>42566</v>
      </c>
      <c r="F6" s="94">
        <v>54062.080000000002</v>
      </c>
      <c r="G6" s="97">
        <f t="shared" si="0"/>
        <v>0</v>
      </c>
      <c r="H6" s="38"/>
      <c r="L6" s="3">
        <v>38173.870000000003</v>
      </c>
      <c r="M6" s="93" t="s">
        <v>344</v>
      </c>
      <c r="N6" s="132">
        <v>38173.870000000003</v>
      </c>
      <c r="O6" s="124"/>
      <c r="P6" s="241">
        <v>3273280</v>
      </c>
      <c r="Q6" s="242">
        <v>26135.5</v>
      </c>
      <c r="R6" s="290">
        <v>42548</v>
      </c>
      <c r="V6" s="33">
        <f>52903.3+97843.1</f>
        <v>150746.40000000002</v>
      </c>
      <c r="W6" s="93" t="s">
        <v>398</v>
      </c>
      <c r="X6" s="132">
        <v>150746.4</v>
      </c>
      <c r="Y6" s="124"/>
      <c r="Z6" s="241">
        <v>2849907</v>
      </c>
      <c r="AA6" s="242">
        <v>50000</v>
      </c>
      <c r="AB6" s="290">
        <v>42569</v>
      </c>
    </row>
    <row r="7" spans="1:28" x14ac:dyDescent="0.25">
      <c r="A7" s="14"/>
      <c r="B7" s="96">
        <v>42553</v>
      </c>
      <c r="C7" s="93" t="s">
        <v>355</v>
      </c>
      <c r="D7" s="132">
        <v>39899.269999999997</v>
      </c>
      <c r="E7" s="95">
        <v>42566</v>
      </c>
      <c r="F7" s="94">
        <v>39899.269999999997</v>
      </c>
      <c r="G7" s="99">
        <f t="shared" si="0"/>
        <v>0</v>
      </c>
      <c r="H7" s="38"/>
      <c r="L7" s="3">
        <f>5567+32662.63</f>
        <v>38229.630000000005</v>
      </c>
      <c r="M7" s="93" t="s">
        <v>345</v>
      </c>
      <c r="N7" s="132">
        <v>38229.629999999997</v>
      </c>
      <c r="O7" s="124"/>
      <c r="P7" s="241">
        <v>3273292</v>
      </c>
      <c r="Q7" s="242">
        <v>16700</v>
      </c>
      <c r="R7" s="290">
        <v>42549</v>
      </c>
      <c r="V7" s="33">
        <f>9655.5+29740.5</f>
        <v>39396</v>
      </c>
      <c r="W7" s="93" t="s">
        <v>399</v>
      </c>
      <c r="X7" s="132">
        <v>39396</v>
      </c>
      <c r="Y7" s="124"/>
      <c r="Z7" s="241">
        <v>2849908</v>
      </c>
      <c r="AA7" s="242">
        <v>29388</v>
      </c>
      <c r="AB7" s="290">
        <v>42569</v>
      </c>
    </row>
    <row r="8" spans="1:28" x14ac:dyDescent="0.25">
      <c r="A8" s="14"/>
      <c r="B8" s="96">
        <v>42554</v>
      </c>
      <c r="C8" s="93" t="s">
        <v>356</v>
      </c>
      <c r="D8" s="132">
        <v>123926</v>
      </c>
      <c r="E8" s="95">
        <v>42566</v>
      </c>
      <c r="F8" s="100">
        <v>123926</v>
      </c>
      <c r="G8" s="97">
        <f t="shared" si="0"/>
        <v>0</v>
      </c>
      <c r="H8" s="38"/>
      <c r="L8" s="3">
        <v>38508.43</v>
      </c>
      <c r="M8" s="93" t="s">
        <v>349</v>
      </c>
      <c r="N8" s="132">
        <v>38508.43</v>
      </c>
      <c r="O8" s="124"/>
      <c r="P8" s="241">
        <v>3273282</v>
      </c>
      <c r="Q8" s="242">
        <v>10919</v>
      </c>
      <c r="R8" s="290">
        <v>42549</v>
      </c>
      <c r="V8" s="33">
        <v>38749.199999999997</v>
      </c>
      <c r="W8" s="93" t="s">
        <v>400</v>
      </c>
      <c r="X8" s="132">
        <v>38749.199999999997</v>
      </c>
      <c r="Y8" s="124"/>
      <c r="Z8" s="241">
        <v>2849909</v>
      </c>
      <c r="AA8" s="242">
        <v>40000</v>
      </c>
      <c r="AB8" s="290">
        <v>42570</v>
      </c>
    </row>
    <row r="9" spans="1:28" x14ac:dyDescent="0.25">
      <c r="A9" s="286"/>
      <c r="B9" s="96">
        <v>42554</v>
      </c>
      <c r="C9" s="93" t="s">
        <v>357</v>
      </c>
      <c r="D9" s="235">
        <v>86774</v>
      </c>
      <c r="E9" s="95">
        <v>42566</v>
      </c>
      <c r="F9" s="94">
        <v>86774</v>
      </c>
      <c r="G9" s="99">
        <f t="shared" si="0"/>
        <v>0</v>
      </c>
      <c r="H9" s="38"/>
      <c r="L9" s="3">
        <v>41956.4</v>
      </c>
      <c r="M9" s="93" t="s">
        <v>346</v>
      </c>
      <c r="N9" s="132">
        <v>41956.4</v>
      </c>
      <c r="O9" s="128"/>
      <c r="P9" s="241">
        <v>3273279</v>
      </c>
      <c r="Q9" s="242">
        <v>33000</v>
      </c>
      <c r="R9" s="290">
        <v>42550</v>
      </c>
      <c r="V9" s="33">
        <f>635.3+48966.9</f>
        <v>49602.200000000004</v>
      </c>
      <c r="W9" s="93" t="s">
        <v>404</v>
      </c>
      <c r="X9" s="132">
        <v>49602.2</v>
      </c>
      <c r="Y9" s="128"/>
      <c r="Z9" s="241">
        <v>2849910</v>
      </c>
      <c r="AA9" s="242">
        <v>29056</v>
      </c>
      <c r="AB9" s="290">
        <v>42570</v>
      </c>
    </row>
    <row r="10" spans="1:28" x14ac:dyDescent="0.25">
      <c r="A10" s="14"/>
      <c r="B10" s="96">
        <v>42555</v>
      </c>
      <c r="C10" s="93" t="s">
        <v>358</v>
      </c>
      <c r="D10" s="132">
        <v>41986.06</v>
      </c>
      <c r="E10" s="95">
        <v>42566</v>
      </c>
      <c r="F10" s="94">
        <v>41986.06</v>
      </c>
      <c r="G10" s="99">
        <f t="shared" si="0"/>
        <v>0</v>
      </c>
      <c r="H10" s="38"/>
      <c r="L10" s="3">
        <v>647.70000000000005</v>
      </c>
      <c r="M10" s="93" t="s">
        <v>350</v>
      </c>
      <c r="N10" s="132">
        <v>647.70000000000005</v>
      </c>
      <c r="O10" s="129"/>
      <c r="P10" s="241">
        <v>3273276</v>
      </c>
      <c r="Q10" s="242">
        <v>31005</v>
      </c>
      <c r="R10" s="290">
        <v>42550</v>
      </c>
      <c r="V10" s="33">
        <v>112249.8</v>
      </c>
      <c r="W10" s="93" t="s">
        <v>405</v>
      </c>
      <c r="X10" s="132">
        <v>112249.8</v>
      </c>
      <c r="Y10" s="129"/>
      <c r="Z10" s="241" t="s">
        <v>31</v>
      </c>
      <c r="AA10" s="242">
        <v>38442.5</v>
      </c>
      <c r="AB10" s="290">
        <v>42569</v>
      </c>
    </row>
    <row r="11" spans="1:28" ht="15" x14ac:dyDescent="0.25">
      <c r="A11" s="14"/>
      <c r="B11" s="96">
        <v>42558</v>
      </c>
      <c r="C11" s="93" t="s">
        <v>359</v>
      </c>
      <c r="D11" s="132">
        <v>165984</v>
      </c>
      <c r="E11" s="95">
        <v>42566</v>
      </c>
      <c r="F11" s="94">
        <v>165984</v>
      </c>
      <c r="G11" s="99">
        <f t="shared" si="0"/>
        <v>0</v>
      </c>
      <c r="H11" s="38"/>
      <c r="L11" s="3">
        <f>22619.6+16168.12</f>
        <v>38787.72</v>
      </c>
      <c r="M11" s="189" t="s">
        <v>352</v>
      </c>
      <c r="N11" s="316">
        <v>38787.72</v>
      </c>
      <c r="O11" s="124"/>
      <c r="P11" s="291" t="s">
        <v>31</v>
      </c>
      <c r="Q11" s="292">
        <v>5750</v>
      </c>
      <c r="R11" s="290">
        <v>42552</v>
      </c>
      <c r="V11" s="33">
        <f>33238.6+75523+5644.8</f>
        <v>114406.40000000001</v>
      </c>
      <c r="W11" s="93" t="s">
        <v>406</v>
      </c>
      <c r="X11" s="132">
        <v>114406.39999999999</v>
      </c>
      <c r="Y11" s="124"/>
      <c r="Z11" s="291" t="s">
        <v>31</v>
      </c>
      <c r="AA11" s="292">
        <v>16291</v>
      </c>
      <c r="AB11" s="290">
        <v>42572</v>
      </c>
    </row>
    <row r="12" spans="1:28" ht="15" x14ac:dyDescent="0.25">
      <c r="A12" s="14"/>
      <c r="B12" s="96">
        <v>42558</v>
      </c>
      <c r="C12" s="93" t="s">
        <v>360</v>
      </c>
      <c r="D12" s="132">
        <v>159261.35999999999</v>
      </c>
      <c r="E12" s="95">
        <v>42566</v>
      </c>
      <c r="F12" s="132">
        <v>159261.35999999999</v>
      </c>
      <c r="G12" s="99">
        <f t="shared" si="0"/>
        <v>0</v>
      </c>
      <c r="H12" s="38"/>
      <c r="L12" s="3">
        <v>38319.879999999997</v>
      </c>
      <c r="M12" s="93" t="s">
        <v>353</v>
      </c>
      <c r="N12" s="132">
        <v>38319.879999999997</v>
      </c>
      <c r="O12" s="124"/>
      <c r="P12" s="291">
        <v>3273277</v>
      </c>
      <c r="Q12" s="292">
        <v>35474.5</v>
      </c>
      <c r="R12" s="290">
        <v>42551</v>
      </c>
      <c r="V12" s="33">
        <v>27849.200000000001</v>
      </c>
      <c r="W12" s="93" t="s">
        <v>407</v>
      </c>
      <c r="X12" s="132">
        <v>27849.53</v>
      </c>
      <c r="Y12" s="124" t="s">
        <v>420</v>
      </c>
      <c r="Z12" s="291" t="s">
        <v>31</v>
      </c>
      <c r="AA12" s="292">
        <v>3318</v>
      </c>
      <c r="AB12" s="290">
        <v>42571</v>
      </c>
    </row>
    <row r="13" spans="1:28" ht="15" x14ac:dyDescent="0.25">
      <c r="A13" s="14"/>
      <c r="B13" s="96">
        <v>42560</v>
      </c>
      <c r="C13" s="93" t="s">
        <v>361</v>
      </c>
      <c r="D13" s="132">
        <v>387189.6</v>
      </c>
      <c r="E13" s="95">
        <v>42574</v>
      </c>
      <c r="F13" s="132">
        <v>387189.6</v>
      </c>
      <c r="G13" s="99">
        <f t="shared" si="0"/>
        <v>0</v>
      </c>
      <c r="H13" s="38"/>
      <c r="L13" s="3">
        <v>54062.080000000002</v>
      </c>
      <c r="M13" s="98" t="s">
        <v>354</v>
      </c>
      <c r="N13" s="132">
        <v>54062.080000000002</v>
      </c>
      <c r="O13" s="124"/>
      <c r="P13" s="291">
        <v>3273289</v>
      </c>
      <c r="Q13" s="292">
        <v>47018.5</v>
      </c>
      <c r="R13" s="290">
        <v>42552</v>
      </c>
      <c r="V13" s="33">
        <v>0</v>
      </c>
      <c r="W13" s="93"/>
      <c r="X13" s="132"/>
      <c r="Y13" s="124"/>
      <c r="Z13" s="291">
        <v>2849911</v>
      </c>
      <c r="AA13" s="292">
        <v>30951</v>
      </c>
      <c r="AB13" s="290">
        <v>42571</v>
      </c>
    </row>
    <row r="14" spans="1:28" ht="15" x14ac:dyDescent="0.25">
      <c r="A14" s="264"/>
      <c r="B14" s="96">
        <v>42561</v>
      </c>
      <c r="C14" s="93" t="s">
        <v>362</v>
      </c>
      <c r="D14" s="132">
        <v>117331.2</v>
      </c>
      <c r="E14" s="95" t="s">
        <v>403</v>
      </c>
      <c r="F14" s="94">
        <f>42764.25+74566.95</f>
        <v>117331.2</v>
      </c>
      <c r="G14" s="99">
        <f t="shared" si="0"/>
        <v>0</v>
      </c>
      <c r="H14" s="38"/>
      <c r="L14" s="3">
        <f>2835.52+37063.75</f>
        <v>39899.269999999997</v>
      </c>
      <c r="M14" s="93" t="s">
        <v>355</v>
      </c>
      <c r="N14" s="132">
        <v>39899.269999999997</v>
      </c>
      <c r="O14" s="124"/>
      <c r="P14" s="291">
        <v>3273278</v>
      </c>
      <c r="Q14" s="292">
        <v>50000</v>
      </c>
      <c r="R14" s="290">
        <v>42553</v>
      </c>
      <c r="V14" s="33">
        <v>0</v>
      </c>
      <c r="W14" s="93"/>
      <c r="X14" s="132"/>
      <c r="Y14" s="124"/>
      <c r="Z14" s="291">
        <v>2849778</v>
      </c>
      <c r="AA14" s="292">
        <v>18565</v>
      </c>
      <c r="AB14" s="290">
        <v>42575</v>
      </c>
    </row>
    <row r="15" spans="1:28" ht="15" x14ac:dyDescent="0.25">
      <c r="A15" s="14"/>
      <c r="B15" s="96">
        <v>42562</v>
      </c>
      <c r="C15" s="93" t="s">
        <v>363</v>
      </c>
      <c r="D15" s="132">
        <v>191419.2</v>
      </c>
      <c r="E15" s="95">
        <v>42574</v>
      </c>
      <c r="F15" s="132">
        <v>191419.2</v>
      </c>
      <c r="G15" s="99">
        <f t="shared" si="0"/>
        <v>0</v>
      </c>
      <c r="H15" s="38"/>
      <c r="L15" s="3">
        <v>123926</v>
      </c>
      <c r="M15" s="93" t="s">
        <v>356</v>
      </c>
      <c r="N15" s="132">
        <v>123926</v>
      </c>
      <c r="O15" s="124"/>
      <c r="P15" s="291">
        <v>3273290</v>
      </c>
      <c r="Q15" s="292">
        <v>30000</v>
      </c>
      <c r="R15" s="290">
        <v>42553</v>
      </c>
      <c r="V15" s="33">
        <v>0</v>
      </c>
      <c r="W15" s="93"/>
      <c r="X15" s="132"/>
      <c r="Y15" s="124"/>
      <c r="Z15" s="291" t="s">
        <v>31</v>
      </c>
      <c r="AA15" s="292">
        <v>116500</v>
      </c>
      <c r="AB15" s="290">
        <v>42576</v>
      </c>
    </row>
    <row r="16" spans="1:28" ht="15" x14ac:dyDescent="0.25">
      <c r="A16" s="14"/>
      <c r="B16" s="96">
        <v>42564</v>
      </c>
      <c r="C16" s="93" t="s">
        <v>364</v>
      </c>
      <c r="D16" s="132">
        <v>389882.52</v>
      </c>
      <c r="E16" s="95">
        <v>42574</v>
      </c>
      <c r="F16" s="322">
        <v>323336.52</v>
      </c>
      <c r="G16" s="317">
        <f t="shared" si="0"/>
        <v>66546</v>
      </c>
      <c r="H16" s="38"/>
      <c r="L16" s="3">
        <f>24592.35+62181.65</f>
        <v>86774</v>
      </c>
      <c r="M16" s="93" t="s">
        <v>357</v>
      </c>
      <c r="N16" s="235">
        <v>86774</v>
      </c>
      <c r="O16" s="124"/>
      <c r="P16" s="291">
        <v>3273285</v>
      </c>
      <c r="Q16" s="292">
        <v>35000</v>
      </c>
      <c r="R16" s="290">
        <v>42553</v>
      </c>
      <c r="V16" s="33">
        <v>0</v>
      </c>
      <c r="W16" s="93"/>
      <c r="X16" s="235"/>
      <c r="Y16" s="124"/>
      <c r="Z16" s="291">
        <v>2849776</v>
      </c>
      <c r="AA16" s="292">
        <v>77955</v>
      </c>
      <c r="AB16" s="290">
        <v>42575</v>
      </c>
    </row>
    <row r="17" spans="1:28" ht="15" x14ac:dyDescent="0.25">
      <c r="A17" s="14"/>
      <c r="B17" s="96">
        <v>42567</v>
      </c>
      <c r="C17" s="93" t="s">
        <v>397</v>
      </c>
      <c r="D17" s="132">
        <v>77515.199999999997</v>
      </c>
      <c r="E17" s="95" t="s">
        <v>421</v>
      </c>
      <c r="F17" s="132">
        <f>20942.23+56572.97</f>
        <v>77515.199999999997</v>
      </c>
      <c r="G17" s="99">
        <f t="shared" si="0"/>
        <v>0</v>
      </c>
      <c r="H17" s="38"/>
      <c r="L17" s="3">
        <f>8086.85+33899.21</f>
        <v>41986.06</v>
      </c>
      <c r="M17" s="93" t="s">
        <v>358</v>
      </c>
      <c r="N17" s="132">
        <v>41986.06</v>
      </c>
      <c r="O17" s="124"/>
      <c r="P17" s="291">
        <v>3273284</v>
      </c>
      <c r="Q17" s="292">
        <v>21395</v>
      </c>
      <c r="R17" s="290">
        <v>42553</v>
      </c>
      <c r="V17" s="33">
        <v>0</v>
      </c>
      <c r="W17" s="93"/>
      <c r="X17" s="132"/>
      <c r="Y17" s="124"/>
      <c r="Z17" s="291">
        <v>2849913</v>
      </c>
      <c r="AA17" s="292">
        <v>31895.5</v>
      </c>
      <c r="AB17" s="290">
        <v>42573</v>
      </c>
    </row>
    <row r="18" spans="1:28" ht="15" x14ac:dyDescent="0.25">
      <c r="A18" s="14"/>
      <c r="B18" s="96">
        <v>42567</v>
      </c>
      <c r="C18" s="93" t="s">
        <v>398</v>
      </c>
      <c r="D18" s="132">
        <v>150746.4</v>
      </c>
      <c r="E18" s="95">
        <v>42578</v>
      </c>
      <c r="F18" s="132">
        <v>150746.4</v>
      </c>
      <c r="G18" s="99">
        <f t="shared" si="0"/>
        <v>0</v>
      </c>
      <c r="H18" s="38"/>
      <c r="L18" s="3">
        <f>62999.29+89951.5+13033.21</f>
        <v>165984</v>
      </c>
      <c r="M18" s="93" t="s">
        <v>359</v>
      </c>
      <c r="N18" s="132">
        <v>165984</v>
      </c>
      <c r="O18" s="124"/>
      <c r="P18" s="291">
        <v>3273283</v>
      </c>
      <c r="Q18" s="292">
        <v>62000</v>
      </c>
      <c r="R18" s="290">
        <v>42554</v>
      </c>
      <c r="V18" s="33">
        <v>0</v>
      </c>
      <c r="W18" s="93"/>
      <c r="X18" s="132"/>
      <c r="Y18" s="124"/>
      <c r="Z18" s="291">
        <v>2849912</v>
      </c>
      <c r="AA18" s="292">
        <v>30000</v>
      </c>
      <c r="AB18" s="290">
        <v>42573</v>
      </c>
    </row>
    <row r="19" spans="1:28" ht="15" x14ac:dyDescent="0.25">
      <c r="A19" s="14"/>
      <c r="B19" s="96">
        <v>42568</v>
      </c>
      <c r="C19" s="93" t="s">
        <v>399</v>
      </c>
      <c r="D19" s="132">
        <v>39396</v>
      </c>
      <c r="E19" s="95">
        <v>42578</v>
      </c>
      <c r="F19" s="94">
        <v>39396</v>
      </c>
      <c r="G19" s="99">
        <f t="shared" si="0"/>
        <v>0</v>
      </c>
      <c r="H19" s="38"/>
      <c r="L19" s="3">
        <f>55520.29+103741.07</f>
        <v>159261.36000000002</v>
      </c>
      <c r="M19" s="93" t="s">
        <v>360</v>
      </c>
      <c r="N19" s="132">
        <v>159261.35999999999</v>
      </c>
      <c r="O19" s="124"/>
      <c r="P19" s="291">
        <v>3273269</v>
      </c>
      <c r="Q19" s="292">
        <v>14502.5</v>
      </c>
      <c r="R19" s="290">
        <v>42554</v>
      </c>
      <c r="V19" s="33">
        <v>0</v>
      </c>
      <c r="W19" s="93"/>
      <c r="X19" s="132"/>
      <c r="Y19" s="124"/>
      <c r="Z19" s="291">
        <v>2849777</v>
      </c>
      <c r="AA19" s="292">
        <v>13627.5</v>
      </c>
      <c r="AB19" s="290">
        <v>42575</v>
      </c>
    </row>
    <row r="20" spans="1:28" ht="15" x14ac:dyDescent="0.25">
      <c r="A20" s="14"/>
      <c r="B20" s="96">
        <v>42568</v>
      </c>
      <c r="C20" s="93" t="s">
        <v>400</v>
      </c>
      <c r="D20" s="132">
        <v>38749.199999999997</v>
      </c>
      <c r="E20" s="95">
        <v>42578</v>
      </c>
      <c r="F20" s="94">
        <v>38749.199999999997</v>
      </c>
      <c r="G20" s="99">
        <f t="shared" si="0"/>
        <v>0</v>
      </c>
      <c r="H20" s="38"/>
      <c r="L20" s="3">
        <v>42763.43</v>
      </c>
      <c r="M20" s="93" t="s">
        <v>362</v>
      </c>
      <c r="N20" s="132">
        <v>42764.25</v>
      </c>
      <c r="O20" s="124" t="s">
        <v>88</v>
      </c>
      <c r="P20" s="291" t="s">
        <v>31</v>
      </c>
      <c r="Q20" s="292">
        <v>26012</v>
      </c>
      <c r="R20" s="290">
        <v>42557</v>
      </c>
      <c r="V20" s="33">
        <v>0</v>
      </c>
      <c r="W20" s="93"/>
      <c r="X20" s="132"/>
      <c r="Y20" s="124"/>
      <c r="Z20" s="291" t="s">
        <v>31</v>
      </c>
      <c r="AA20" s="292">
        <v>27782.5</v>
      </c>
      <c r="AB20" s="290">
        <v>42576</v>
      </c>
    </row>
    <row r="21" spans="1:28" ht="15" x14ac:dyDescent="0.25">
      <c r="A21" s="14"/>
      <c r="B21" s="96">
        <v>42569</v>
      </c>
      <c r="C21" s="93" t="s">
        <v>404</v>
      </c>
      <c r="D21" s="132">
        <v>49602.2</v>
      </c>
      <c r="E21" s="95">
        <v>42578</v>
      </c>
      <c r="F21" s="94">
        <v>49602.2</v>
      </c>
      <c r="G21" s="99">
        <f t="shared" si="0"/>
        <v>0</v>
      </c>
      <c r="H21" s="38"/>
      <c r="L21" s="3"/>
      <c r="M21" s="93"/>
      <c r="N21" s="132"/>
      <c r="O21" s="124"/>
      <c r="P21" s="291" t="s">
        <v>31</v>
      </c>
      <c r="Q21" s="292">
        <v>8871</v>
      </c>
      <c r="R21" s="290">
        <v>42557</v>
      </c>
      <c r="V21" s="3">
        <v>0</v>
      </c>
      <c r="W21" s="93"/>
      <c r="X21" s="132"/>
      <c r="Y21" s="124"/>
      <c r="Z21" s="291">
        <v>2849914</v>
      </c>
      <c r="AA21" s="292">
        <v>5711.5</v>
      </c>
      <c r="AB21" s="290">
        <v>42574</v>
      </c>
    </row>
    <row r="22" spans="1:28" ht="15" x14ac:dyDescent="0.25">
      <c r="A22" s="14"/>
      <c r="B22" s="96">
        <v>42570</v>
      </c>
      <c r="C22" s="93" t="s">
        <v>405</v>
      </c>
      <c r="D22" s="132">
        <v>112249.8</v>
      </c>
      <c r="E22" s="95">
        <v>42578</v>
      </c>
      <c r="F22" s="94">
        <v>112249.8</v>
      </c>
      <c r="G22" s="99">
        <f t="shared" si="0"/>
        <v>0</v>
      </c>
      <c r="H22" s="38"/>
      <c r="L22" s="3"/>
      <c r="M22" s="93"/>
      <c r="N22" s="100"/>
      <c r="O22" s="124"/>
      <c r="P22" s="291" t="s">
        <v>31</v>
      </c>
      <c r="Q22" s="292">
        <v>115000</v>
      </c>
      <c r="R22" s="290">
        <v>42558</v>
      </c>
      <c r="V22" s="3">
        <v>0</v>
      </c>
      <c r="W22" s="93"/>
      <c r="X22" s="100"/>
      <c r="Y22" s="124"/>
      <c r="Z22" s="291"/>
      <c r="AA22" s="292">
        <v>0</v>
      </c>
      <c r="AB22" s="290"/>
    </row>
    <row r="23" spans="1:28" thickBot="1" x14ac:dyDescent="0.3">
      <c r="A23" s="14"/>
      <c r="B23" s="96">
        <v>42571</v>
      </c>
      <c r="C23" s="93" t="s">
        <v>406</v>
      </c>
      <c r="D23" s="132">
        <v>114406.39999999999</v>
      </c>
      <c r="E23" s="95">
        <v>42578</v>
      </c>
      <c r="F23" s="94">
        <v>114406.39999999999</v>
      </c>
      <c r="G23" s="99">
        <f t="shared" si="0"/>
        <v>0</v>
      </c>
      <c r="H23" s="38"/>
      <c r="L23" s="3"/>
      <c r="M23" s="93"/>
      <c r="N23" s="100"/>
      <c r="O23" s="124"/>
      <c r="P23" s="291">
        <v>3273270</v>
      </c>
      <c r="Q23" s="292">
        <v>30000</v>
      </c>
      <c r="R23" s="290">
        <v>42554</v>
      </c>
      <c r="V23" s="3">
        <v>0</v>
      </c>
      <c r="W23" s="172"/>
      <c r="X23" s="324"/>
      <c r="Y23" s="219"/>
      <c r="Z23" s="293"/>
      <c r="AA23" s="294">
        <v>0</v>
      </c>
      <c r="AB23" s="295"/>
    </row>
    <row r="24" spans="1:28" thickTop="1" x14ac:dyDescent="0.25">
      <c r="A24" s="14"/>
      <c r="B24" s="96">
        <v>42572</v>
      </c>
      <c r="C24" s="93" t="s">
        <v>407</v>
      </c>
      <c r="D24" s="132">
        <v>109370.78</v>
      </c>
      <c r="E24" s="95">
        <v>42578</v>
      </c>
      <c r="F24" s="237">
        <v>27849.53</v>
      </c>
      <c r="G24" s="317">
        <f t="shared" si="0"/>
        <v>81521.25</v>
      </c>
      <c r="H24" s="38"/>
      <c r="L24" s="3"/>
      <c r="M24" s="93"/>
      <c r="N24" s="100"/>
      <c r="O24" s="124"/>
      <c r="P24" s="291" t="s">
        <v>31</v>
      </c>
      <c r="Q24" s="292">
        <v>40582</v>
      </c>
      <c r="R24" s="290">
        <v>42558</v>
      </c>
      <c r="V24" s="18">
        <f t="shared" ref="V24:X24" si="1">SUM(V4:V23)</f>
        <v>589573.4</v>
      </c>
      <c r="W24" s="18"/>
      <c r="X24" s="18">
        <f t="shared" si="1"/>
        <v>589572.5</v>
      </c>
      <c r="Y24" s="18"/>
      <c r="Z24" s="18"/>
      <c r="AA24" s="18">
        <f>SUM(AA4:AA23)</f>
        <v>589572.5</v>
      </c>
      <c r="AB24" s="95"/>
    </row>
    <row r="25" spans="1:28" ht="15" x14ac:dyDescent="0.25">
      <c r="A25" s="14"/>
      <c r="B25" s="96">
        <v>42574</v>
      </c>
      <c r="C25" s="93" t="s">
        <v>408</v>
      </c>
      <c r="D25" s="132">
        <v>71401.2</v>
      </c>
      <c r="E25" s="95"/>
      <c r="F25" s="94"/>
      <c r="G25" s="99">
        <f t="shared" si="0"/>
        <v>71401.2</v>
      </c>
      <c r="H25" s="38"/>
      <c r="L25" s="3"/>
      <c r="M25" s="93"/>
      <c r="N25" s="100"/>
      <c r="O25" s="124"/>
      <c r="P25" s="291">
        <v>3273271</v>
      </c>
      <c r="Q25" s="318">
        <v>47468.5</v>
      </c>
      <c r="R25" s="290">
        <v>42556</v>
      </c>
      <c r="V25" s="3"/>
      <c r="W25" s="161"/>
      <c r="X25" s="38"/>
      <c r="Y25" s="213"/>
      <c r="Z25" s="323"/>
      <c r="AA25" s="18"/>
      <c r="AB25" s="95"/>
    </row>
    <row r="26" spans="1:28" ht="15" x14ac:dyDescent="0.25">
      <c r="A26" s="14"/>
      <c r="B26" s="96">
        <v>42574</v>
      </c>
      <c r="C26" s="93" t="s">
        <v>409</v>
      </c>
      <c r="D26" s="132">
        <v>142893.6</v>
      </c>
      <c r="E26" s="95"/>
      <c r="F26" s="94"/>
      <c r="G26" s="99">
        <f t="shared" si="0"/>
        <v>142893.6</v>
      </c>
      <c r="H26" s="38"/>
      <c r="L26" s="3"/>
      <c r="M26" s="93"/>
      <c r="N26" s="100"/>
      <c r="O26" s="124"/>
      <c r="P26" s="291">
        <v>3273275</v>
      </c>
      <c r="Q26" s="318">
        <v>22800</v>
      </c>
      <c r="R26" s="290">
        <v>42556</v>
      </c>
      <c r="V26" s="3"/>
      <c r="W26" s="161"/>
      <c r="X26" s="38"/>
      <c r="Y26" s="213"/>
      <c r="Z26" s="323"/>
      <c r="AA26" s="18"/>
      <c r="AB26" s="95"/>
    </row>
    <row r="27" spans="1:28" ht="15" x14ac:dyDescent="0.25">
      <c r="A27" s="14"/>
      <c r="B27" s="96">
        <v>42578</v>
      </c>
      <c r="C27" s="93" t="s">
        <v>410</v>
      </c>
      <c r="D27" s="132">
        <v>101735.2</v>
      </c>
      <c r="E27" s="95"/>
      <c r="F27" s="94"/>
      <c r="G27" s="99">
        <f t="shared" si="0"/>
        <v>101735.2</v>
      </c>
      <c r="H27" s="38"/>
      <c r="L27" s="3"/>
      <c r="M27" s="93"/>
      <c r="N27" s="100"/>
      <c r="O27" s="124"/>
      <c r="P27" s="291" t="s">
        <v>31</v>
      </c>
      <c r="Q27" s="292">
        <v>49089.5</v>
      </c>
      <c r="R27" s="290">
        <v>42558</v>
      </c>
      <c r="V27" s="3"/>
      <c r="W27" s="161"/>
      <c r="X27" s="38"/>
      <c r="Y27" s="213"/>
      <c r="Z27" s="323"/>
      <c r="AA27" s="18"/>
      <c r="AB27" s="95"/>
    </row>
    <row r="28" spans="1:28" ht="15" x14ac:dyDescent="0.25">
      <c r="A28" s="14"/>
      <c r="B28" s="96">
        <v>42579</v>
      </c>
      <c r="C28" s="93" t="s">
        <v>423</v>
      </c>
      <c r="D28" s="132">
        <v>7800</v>
      </c>
      <c r="E28" s="95"/>
      <c r="F28" s="94"/>
      <c r="G28" s="99">
        <f t="shared" si="0"/>
        <v>7800</v>
      </c>
      <c r="H28" s="38"/>
      <c r="L28" s="3"/>
      <c r="M28" s="93"/>
      <c r="N28" s="100"/>
      <c r="O28" s="124"/>
      <c r="P28" s="291" t="s">
        <v>31</v>
      </c>
      <c r="Q28" s="292">
        <v>989</v>
      </c>
      <c r="R28" s="290">
        <v>42556</v>
      </c>
      <c r="V28" s="3"/>
      <c r="W28" s="161"/>
      <c r="X28" s="38"/>
      <c r="Y28" s="213"/>
      <c r="Z28" s="323"/>
      <c r="AA28" s="18"/>
      <c r="AB28" s="95"/>
    </row>
    <row r="29" spans="1:28" ht="15" x14ac:dyDescent="0.25">
      <c r="A29" s="14"/>
      <c r="B29" s="96">
        <v>42579</v>
      </c>
      <c r="C29" s="93" t="s">
        <v>422</v>
      </c>
      <c r="D29" s="132">
        <v>204480.5</v>
      </c>
      <c r="E29" s="95"/>
      <c r="F29" s="94"/>
      <c r="G29" s="99">
        <f t="shared" si="0"/>
        <v>204480.5</v>
      </c>
      <c r="H29" s="38"/>
      <c r="L29" s="3"/>
      <c r="M29" s="93"/>
      <c r="N29" s="100"/>
      <c r="O29" s="124"/>
      <c r="P29" s="291">
        <v>3273272</v>
      </c>
      <c r="Q29" s="292">
        <v>38272</v>
      </c>
      <c r="R29" s="290">
        <v>42557</v>
      </c>
      <c r="V29" s="3"/>
      <c r="W29" s="161"/>
      <c r="X29" s="38"/>
      <c r="Y29" s="213"/>
      <c r="Z29" s="323"/>
      <c r="AA29" s="18"/>
      <c r="AB29" s="95"/>
    </row>
    <row r="30" spans="1:28" ht="15" x14ac:dyDescent="0.25">
      <c r="A30" s="14"/>
      <c r="B30" s="96">
        <v>42581</v>
      </c>
      <c r="C30" s="93" t="s">
        <v>424</v>
      </c>
      <c r="D30" s="132">
        <v>16318.7</v>
      </c>
      <c r="E30" s="95"/>
      <c r="F30" s="94"/>
      <c r="G30" s="99">
        <f t="shared" si="0"/>
        <v>16318.7</v>
      </c>
      <c r="H30" s="38"/>
      <c r="L30" s="3"/>
      <c r="M30" s="93"/>
      <c r="N30" s="100"/>
      <c r="O30" s="124"/>
      <c r="P30" s="291" t="s">
        <v>31</v>
      </c>
      <c r="Q30" s="292">
        <v>8548</v>
      </c>
      <c r="R30" s="290">
        <v>42558</v>
      </c>
      <c r="V30" s="3"/>
      <c r="W30" s="161"/>
      <c r="X30" s="38"/>
      <c r="Y30" s="213"/>
      <c r="Z30" s="323"/>
      <c r="AA30" s="18"/>
      <c r="AB30" s="95"/>
    </row>
    <row r="31" spans="1:28" ht="15" x14ac:dyDescent="0.25">
      <c r="A31" s="14"/>
      <c r="B31" s="96">
        <v>42581</v>
      </c>
      <c r="C31" s="93" t="s">
        <v>425</v>
      </c>
      <c r="D31" s="132">
        <v>329</v>
      </c>
      <c r="E31" s="95"/>
      <c r="F31" s="94"/>
      <c r="G31" s="99">
        <f t="shared" si="0"/>
        <v>329</v>
      </c>
      <c r="H31" s="38"/>
      <c r="L31" s="3"/>
      <c r="M31" s="93"/>
      <c r="N31" s="100"/>
      <c r="O31" s="124"/>
      <c r="P31" s="291">
        <v>3273273</v>
      </c>
      <c r="Q31" s="292">
        <v>30000</v>
      </c>
      <c r="R31" s="290">
        <v>42558</v>
      </c>
      <c r="V31" s="3"/>
      <c r="W31" s="161"/>
      <c r="X31" s="38"/>
      <c r="Y31" s="213"/>
      <c r="Z31" s="323"/>
      <c r="AA31" s="18"/>
      <c r="AB31" s="95"/>
    </row>
    <row r="32" spans="1:28" ht="15" x14ac:dyDescent="0.25">
      <c r="A32" s="14"/>
      <c r="B32" s="96">
        <v>42582</v>
      </c>
      <c r="C32" s="93" t="s">
        <v>426</v>
      </c>
      <c r="D32" s="132">
        <v>68742.3</v>
      </c>
      <c r="E32" s="95"/>
      <c r="F32" s="94"/>
      <c r="G32" s="99">
        <f t="shared" si="0"/>
        <v>68742.3</v>
      </c>
      <c r="H32" s="38"/>
      <c r="L32" s="3"/>
      <c r="M32" s="93"/>
      <c r="N32" s="100"/>
      <c r="O32" s="124"/>
      <c r="P32" s="291">
        <v>3266586</v>
      </c>
      <c r="Q32" s="292">
        <v>30000</v>
      </c>
      <c r="R32" s="290">
        <v>42558</v>
      </c>
      <c r="V32" s="3"/>
      <c r="W32" s="161"/>
      <c r="X32" s="38"/>
      <c r="Y32" s="213"/>
      <c r="Z32" s="323"/>
      <c r="AA32" s="18"/>
      <c r="AB32" s="95"/>
    </row>
    <row r="33" spans="1:28" ht="15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/>
      <c r="M33" s="93"/>
      <c r="N33" s="100"/>
      <c r="O33" s="124"/>
      <c r="P33" s="291">
        <v>3266585</v>
      </c>
      <c r="Q33" s="292">
        <v>29951.5</v>
      </c>
      <c r="R33" s="290">
        <v>42558</v>
      </c>
      <c r="V33" s="3"/>
      <c r="W33" s="161"/>
      <c r="X33" s="38"/>
      <c r="Y33" s="213"/>
      <c r="Z33" s="323"/>
      <c r="AA33" s="18"/>
      <c r="AB33" s="95"/>
    </row>
    <row r="34" spans="1:28" ht="15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/>
      <c r="M34" s="93"/>
      <c r="N34" s="132"/>
      <c r="O34" s="124"/>
      <c r="P34" s="291">
        <v>3266584</v>
      </c>
      <c r="Q34" s="292">
        <v>40000</v>
      </c>
      <c r="R34" s="290">
        <v>42559</v>
      </c>
      <c r="V34" s="3"/>
      <c r="W34" s="161"/>
      <c r="X34" s="216"/>
      <c r="Y34" s="213"/>
      <c r="Z34" s="323"/>
      <c r="AA34" s="18"/>
      <c r="AB34" s="95"/>
    </row>
    <row r="35" spans="1:2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/>
      <c r="M35" s="233"/>
      <c r="N35" s="234"/>
      <c r="O35" s="124"/>
      <c r="P35" s="291">
        <v>3266583</v>
      </c>
      <c r="Q35" s="292">
        <v>28553.5</v>
      </c>
      <c r="R35" s="290">
        <v>42559</v>
      </c>
      <c r="V35" s="3"/>
      <c r="W35" s="161"/>
      <c r="X35" s="216"/>
      <c r="Y35" s="213"/>
      <c r="Z35" s="215"/>
      <c r="AA35" s="165"/>
      <c r="AB35" s="206"/>
    </row>
    <row r="36" spans="1:28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/>
      <c r="M36" s="233"/>
      <c r="N36" s="234"/>
      <c r="O36" s="124"/>
      <c r="P36" s="291" t="s">
        <v>31</v>
      </c>
      <c r="Q36" s="292">
        <v>76534</v>
      </c>
      <c r="R36" s="290">
        <v>42562</v>
      </c>
      <c r="V36" s="33">
        <f>SUM(V4:V35)</f>
        <v>1179146.8</v>
      </c>
      <c r="W36" s="147"/>
      <c r="X36" s="236"/>
      <c r="Y36" s="210"/>
      <c r="Z36" s="211"/>
      <c r="AA36" s="200"/>
      <c r="AB36" s="202"/>
    </row>
    <row r="37" spans="1:28" ht="15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/>
      <c r="M37" s="233"/>
      <c r="N37" s="234"/>
      <c r="O37" s="124"/>
      <c r="P37" s="291">
        <v>3266582</v>
      </c>
      <c r="Q37" s="292">
        <v>40000</v>
      </c>
      <c r="R37" s="290">
        <v>42560</v>
      </c>
      <c r="W37" s="67"/>
      <c r="X37" s="67"/>
      <c r="Y37" s="67"/>
      <c r="Z37" s="67"/>
      <c r="AA37" s="67"/>
      <c r="AB37" s="67"/>
    </row>
    <row r="38" spans="1:2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233"/>
      <c r="N38" s="234"/>
      <c r="O38" s="124"/>
      <c r="P38" s="291">
        <v>3266581</v>
      </c>
      <c r="Q38" s="292">
        <v>29970</v>
      </c>
      <c r="R38" s="290">
        <v>42560</v>
      </c>
      <c r="W38" s="67"/>
      <c r="X38" s="67"/>
      <c r="Y38" s="67"/>
      <c r="Z38" s="67"/>
      <c r="AA38" s="67"/>
      <c r="AB38" s="67"/>
    </row>
    <row r="39" spans="1:2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233"/>
      <c r="N39" s="234"/>
      <c r="O39" s="124"/>
      <c r="P39" s="291"/>
      <c r="Q39" s="292"/>
      <c r="R39" s="290"/>
    </row>
    <row r="40" spans="1:2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/>
      <c r="M40" s="233"/>
      <c r="N40" s="234"/>
      <c r="O40" s="124"/>
      <c r="P40" s="291"/>
      <c r="Q40" s="292"/>
      <c r="R40" s="290"/>
    </row>
    <row r="41" spans="1:28" thickBot="1" x14ac:dyDescent="0.3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"/>
      <c r="M41" s="281"/>
      <c r="N41" s="282"/>
      <c r="O41" s="219"/>
      <c r="P41" s="198"/>
      <c r="Q41" s="199">
        <v>0</v>
      </c>
      <c r="R41" s="220"/>
    </row>
    <row r="42" spans="1:28" ht="16.5" thickTop="1" x14ac:dyDescent="0.25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3">
        <f>SUM(L4:L41)</f>
        <v>1221541.44</v>
      </c>
      <c r="M42" s="147"/>
      <c r="N42" s="236">
        <f>SUM(N4:N41)</f>
        <v>1221541</v>
      </c>
      <c r="O42" s="210"/>
      <c r="P42" s="211"/>
      <c r="Q42" s="200">
        <f>SUM(Q4:Q41)</f>
        <v>1221541</v>
      </c>
      <c r="R42" s="202"/>
    </row>
    <row r="43" spans="1:28" ht="16.5" customHeight="1" thickBot="1" x14ac:dyDescent="0.3">
      <c r="B43" s="14"/>
      <c r="C43" s="104"/>
      <c r="D43" s="262"/>
      <c r="E43" s="104"/>
      <c r="F43" s="106"/>
      <c r="G43" s="107">
        <f t="shared" si="0"/>
        <v>0</v>
      </c>
    </row>
    <row r="44" spans="1:28" ht="17.25" thickTop="1" thickBot="1" x14ac:dyDescent="0.3">
      <c r="B44"/>
      <c r="C44"/>
      <c r="D44" s="263">
        <f>SUM(D4:D43)</f>
        <v>3140559.37</v>
      </c>
      <c r="E44" s="108"/>
      <c r="F44" s="109">
        <f>SUM(F4:F43)</f>
        <v>2378791.6199999992</v>
      </c>
      <c r="G44" s="109">
        <f>SUM(G4:G43)</f>
        <v>761767.75</v>
      </c>
    </row>
    <row r="45" spans="1:28" ht="19.5" customHeight="1" thickBot="1" x14ac:dyDescent="0.35">
      <c r="L45" s="33"/>
      <c r="M45" s="343">
        <v>1</v>
      </c>
      <c r="N45" s="86" t="s">
        <v>28</v>
      </c>
      <c r="O45" s="86"/>
      <c r="P45" s="110"/>
      <c r="Q45" s="197">
        <v>42574</v>
      </c>
      <c r="R45" s="112"/>
    </row>
    <row r="46" spans="1:28" ht="16.5" customHeight="1" thickBot="1" x14ac:dyDescent="0.3">
      <c r="L46" s="33"/>
      <c r="M46" s="344"/>
      <c r="N46" s="113"/>
      <c r="O46" s="113"/>
      <c r="P46" s="114"/>
      <c r="Q46" s="115"/>
      <c r="R46" s="112"/>
    </row>
    <row r="47" spans="1:28" ht="16.5" thickBot="1" x14ac:dyDescent="0.3">
      <c r="L47" s="3"/>
      <c r="M47" s="116" t="s">
        <v>23</v>
      </c>
      <c r="N47" s="116" t="s">
        <v>24</v>
      </c>
      <c r="O47" s="116"/>
      <c r="P47" s="117" t="s">
        <v>29</v>
      </c>
      <c r="Q47" s="118" t="s">
        <v>30</v>
      </c>
      <c r="R47" s="119"/>
    </row>
    <row r="48" spans="1:28" ht="16.5" thickTop="1" x14ac:dyDescent="0.25">
      <c r="B48"/>
      <c r="C48" s="159">
        <v>42553</v>
      </c>
      <c r="D48" s="3">
        <v>2204</v>
      </c>
      <c r="E48" t="s">
        <v>377</v>
      </c>
      <c r="F48"/>
      <c r="G48"/>
      <c r="H48"/>
      <c r="L48" s="33">
        <f>86998.73+105754.5+94223+100213.37</f>
        <v>387189.6</v>
      </c>
      <c r="M48" s="93" t="s">
        <v>361</v>
      </c>
      <c r="N48" s="132">
        <v>387189.6</v>
      </c>
      <c r="O48" s="120"/>
      <c r="P48" s="289" t="s">
        <v>31</v>
      </c>
      <c r="Q48" s="296">
        <v>6579</v>
      </c>
      <c r="R48" s="297">
        <v>42563</v>
      </c>
    </row>
    <row r="49" spans="2:18" x14ac:dyDescent="0.25">
      <c r="B49"/>
      <c r="C49" s="159">
        <v>42556</v>
      </c>
      <c r="D49" s="3">
        <v>1799</v>
      </c>
      <c r="E49" t="s">
        <v>386</v>
      </c>
      <c r="F49"/>
      <c r="G49"/>
      <c r="H49"/>
      <c r="L49" s="33">
        <v>74568.17</v>
      </c>
      <c r="M49" s="93" t="s">
        <v>362</v>
      </c>
      <c r="N49" s="132">
        <v>74566.95</v>
      </c>
      <c r="O49" s="124" t="s">
        <v>36</v>
      </c>
      <c r="P49" s="241" t="s">
        <v>31</v>
      </c>
      <c r="Q49" s="242">
        <v>5255</v>
      </c>
      <c r="R49" s="290">
        <v>42563</v>
      </c>
    </row>
    <row r="50" spans="2:18" x14ac:dyDescent="0.25">
      <c r="B50"/>
      <c r="C50" s="159">
        <v>42557</v>
      </c>
      <c r="D50" s="3">
        <v>4636</v>
      </c>
      <c r="E50" t="s">
        <v>170</v>
      </c>
      <c r="F50"/>
      <c r="G50"/>
      <c r="H50"/>
      <c r="L50" s="33">
        <f>44249.33+147169.87</f>
        <v>191419.2</v>
      </c>
      <c r="M50" s="93" t="s">
        <v>363</v>
      </c>
      <c r="N50" s="132">
        <v>191419.2</v>
      </c>
      <c r="O50" s="124"/>
      <c r="P50" s="241">
        <v>3266580</v>
      </c>
      <c r="Q50" s="242">
        <v>24500</v>
      </c>
      <c r="R50" s="290">
        <v>42561</v>
      </c>
    </row>
    <row r="51" spans="2:18" x14ac:dyDescent="0.25">
      <c r="B51"/>
      <c r="C51" s="159">
        <v>42560</v>
      </c>
      <c r="D51" s="3">
        <v>1154.4000000000001</v>
      </c>
      <c r="E51" t="s">
        <v>413</v>
      </c>
      <c r="F51"/>
      <c r="G51"/>
      <c r="H51"/>
      <c r="L51" s="33">
        <f>31148.63+98654+114139+79394.89</f>
        <v>323336.52</v>
      </c>
      <c r="M51" s="93" t="s">
        <v>364</v>
      </c>
      <c r="N51" s="132">
        <v>323336.52</v>
      </c>
      <c r="O51" s="124" t="s">
        <v>88</v>
      </c>
      <c r="P51" s="241">
        <v>3266579</v>
      </c>
      <c r="Q51" s="242">
        <v>50000</v>
      </c>
      <c r="R51" s="290">
        <v>42562</v>
      </c>
    </row>
    <row r="52" spans="2:18" x14ac:dyDescent="0.25">
      <c r="B52"/>
      <c r="C52" s="159">
        <v>42564</v>
      </c>
      <c r="D52" s="3">
        <v>5344</v>
      </c>
      <c r="E52" t="s">
        <v>170</v>
      </c>
      <c r="F52"/>
      <c r="G52"/>
      <c r="H52"/>
      <c r="L52" s="33">
        <v>20941</v>
      </c>
      <c r="M52" s="93" t="s">
        <v>397</v>
      </c>
      <c r="N52" s="132">
        <v>20942.23</v>
      </c>
      <c r="O52" s="124" t="s">
        <v>88</v>
      </c>
      <c r="P52" s="241">
        <v>3266575</v>
      </c>
      <c r="Q52" s="242">
        <v>32483.5</v>
      </c>
      <c r="R52" s="290">
        <v>42561</v>
      </c>
    </row>
    <row r="53" spans="2:18" x14ac:dyDescent="0.25">
      <c r="B53"/>
      <c r="C53" s="159">
        <v>42572</v>
      </c>
      <c r="D53" s="3">
        <v>252</v>
      </c>
      <c r="E53" t="s">
        <v>417</v>
      </c>
      <c r="F53"/>
      <c r="G53"/>
      <c r="H53"/>
      <c r="L53" s="33"/>
      <c r="M53" s="93"/>
      <c r="N53" s="132"/>
      <c r="O53" s="128"/>
      <c r="P53" s="241" t="s">
        <v>31</v>
      </c>
      <c r="Q53" s="242">
        <v>116000</v>
      </c>
      <c r="R53" s="290">
        <v>42567</v>
      </c>
    </row>
    <row r="54" spans="2:18" x14ac:dyDescent="0.25">
      <c r="B54"/>
      <c r="C54"/>
      <c r="D54" s="3">
        <v>0</v>
      </c>
      <c r="E54"/>
      <c r="F54"/>
      <c r="G54"/>
      <c r="H54"/>
      <c r="L54" s="33"/>
      <c r="M54" s="93"/>
      <c r="N54" s="132"/>
      <c r="O54" s="129"/>
      <c r="P54" s="241">
        <v>3266573</v>
      </c>
      <c r="Q54" s="242">
        <v>28168.5</v>
      </c>
      <c r="R54" s="290">
        <v>42562</v>
      </c>
    </row>
    <row r="55" spans="2:18" ht="15" x14ac:dyDescent="0.25">
      <c r="B55"/>
      <c r="C55"/>
      <c r="D55" s="3">
        <v>0</v>
      </c>
      <c r="E55"/>
      <c r="F55"/>
      <c r="G55"/>
      <c r="H55"/>
      <c r="L55" s="33"/>
      <c r="M55" s="93"/>
      <c r="N55" s="132"/>
      <c r="O55" s="124"/>
      <c r="P55" s="291">
        <v>3266572</v>
      </c>
      <c r="Q55" s="292">
        <v>40000</v>
      </c>
      <c r="R55" s="290">
        <v>42562</v>
      </c>
    </row>
    <row r="56" spans="2:18" ht="15" x14ac:dyDescent="0.25">
      <c r="B56"/>
      <c r="C56"/>
      <c r="D56" s="3">
        <f>SUM(D48:D55)</f>
        <v>15389.4</v>
      </c>
      <c r="E56"/>
      <c r="F56"/>
      <c r="G56"/>
      <c r="H56"/>
      <c r="L56" s="33"/>
      <c r="M56" s="93"/>
      <c r="N56" s="132"/>
      <c r="O56" s="124"/>
      <c r="P56" s="291">
        <v>3266576</v>
      </c>
      <c r="Q56" s="292">
        <v>50000</v>
      </c>
      <c r="R56" s="290">
        <v>42561</v>
      </c>
    </row>
    <row r="57" spans="2:18" ht="15" x14ac:dyDescent="0.25">
      <c r="B57"/>
      <c r="C57"/>
      <c r="E57"/>
      <c r="F57"/>
      <c r="G57"/>
      <c r="H57"/>
      <c r="L57" s="33"/>
      <c r="M57" s="98"/>
      <c r="N57" s="132"/>
      <c r="O57" s="124"/>
      <c r="P57" s="291">
        <v>3266571</v>
      </c>
      <c r="Q57" s="292">
        <v>15754.5</v>
      </c>
      <c r="R57" s="290">
        <v>42563</v>
      </c>
    </row>
    <row r="58" spans="2:18" ht="15" x14ac:dyDescent="0.25">
      <c r="B58"/>
      <c r="C58"/>
      <c r="E58"/>
      <c r="F58" s="14"/>
      <c r="G58"/>
      <c r="H58"/>
      <c r="L58" s="33"/>
      <c r="M58" s="93"/>
      <c r="N58" s="132"/>
      <c r="O58" s="124"/>
      <c r="P58" s="291">
        <v>3266577</v>
      </c>
      <c r="Q58" s="292">
        <v>50000</v>
      </c>
      <c r="R58" s="290">
        <v>42563</v>
      </c>
    </row>
    <row r="59" spans="2:18" ht="15" x14ac:dyDescent="0.25">
      <c r="B59"/>
      <c r="C59"/>
      <c r="E59"/>
      <c r="F59" s="14"/>
      <c r="G59"/>
      <c r="H59"/>
      <c r="L59" s="33"/>
      <c r="M59" s="93"/>
      <c r="N59" s="132"/>
      <c r="O59" s="124"/>
      <c r="P59" s="291">
        <v>3266578</v>
      </c>
      <c r="Q59" s="292">
        <v>40000</v>
      </c>
      <c r="R59" s="290">
        <v>42563</v>
      </c>
    </row>
    <row r="60" spans="2:18" ht="15" x14ac:dyDescent="0.25">
      <c r="B60"/>
      <c r="C60"/>
      <c r="E60"/>
      <c r="F60" s="14"/>
      <c r="G60"/>
      <c r="H60"/>
      <c r="L60" s="33"/>
      <c r="M60" s="93"/>
      <c r="N60" s="235"/>
      <c r="O60" s="124"/>
      <c r="P60" s="291" t="s">
        <v>31</v>
      </c>
      <c r="Q60" s="292">
        <v>24125</v>
      </c>
      <c r="R60" s="290">
        <v>42566</v>
      </c>
    </row>
    <row r="61" spans="2:18" ht="15" x14ac:dyDescent="0.25">
      <c r="B61"/>
      <c r="C61"/>
      <c r="E61"/>
      <c r="F61" s="14"/>
      <c r="G61"/>
      <c r="H61"/>
      <c r="L61" s="33"/>
      <c r="M61" s="93"/>
      <c r="N61" s="132"/>
      <c r="O61" s="124"/>
      <c r="P61" s="291">
        <v>3266569</v>
      </c>
      <c r="Q61" s="292">
        <v>20098</v>
      </c>
      <c r="R61" s="290">
        <v>42564</v>
      </c>
    </row>
    <row r="62" spans="2:18" ht="15" x14ac:dyDescent="0.25">
      <c r="B62"/>
      <c r="C62"/>
      <c r="E62"/>
      <c r="F62" s="14"/>
      <c r="G62"/>
      <c r="H62"/>
      <c r="L62" s="33"/>
      <c r="M62" s="93"/>
      <c r="N62" s="132"/>
      <c r="O62" s="124"/>
      <c r="P62" s="291">
        <v>3266570</v>
      </c>
      <c r="Q62" s="292">
        <v>50000</v>
      </c>
      <c r="R62" s="290">
        <v>42564</v>
      </c>
    </row>
    <row r="63" spans="2:18" ht="15" x14ac:dyDescent="0.25">
      <c r="B63"/>
      <c r="C63"/>
      <c r="E63"/>
      <c r="F63" s="14"/>
      <c r="G63"/>
      <c r="H63"/>
      <c r="L63" s="33"/>
      <c r="M63" s="93"/>
      <c r="N63" s="132"/>
      <c r="O63" s="124"/>
      <c r="P63" s="291" t="s">
        <v>31</v>
      </c>
      <c r="Q63" s="292">
        <v>40070</v>
      </c>
      <c r="R63" s="290">
        <v>42564</v>
      </c>
    </row>
    <row r="64" spans="2:18" ht="15" x14ac:dyDescent="0.25">
      <c r="B64"/>
      <c r="C64"/>
      <c r="E64"/>
      <c r="F64" s="14"/>
      <c r="G64"/>
      <c r="H64"/>
      <c r="L64" s="33"/>
      <c r="M64" s="93"/>
      <c r="N64" s="132"/>
      <c r="O64" s="124"/>
      <c r="P64" s="291" t="s">
        <v>31</v>
      </c>
      <c r="Q64" s="292">
        <v>10330</v>
      </c>
      <c r="R64" s="290">
        <v>42569</v>
      </c>
    </row>
    <row r="65" spans="2:18" ht="15" x14ac:dyDescent="0.25">
      <c r="B65"/>
      <c r="C65"/>
      <c r="E65"/>
      <c r="F65" s="14"/>
      <c r="G65"/>
      <c r="H65"/>
      <c r="L65" s="3"/>
      <c r="M65" s="93"/>
      <c r="N65" s="132"/>
      <c r="O65" s="124"/>
      <c r="P65" s="291" t="s">
        <v>31</v>
      </c>
      <c r="Q65" s="292">
        <v>10178</v>
      </c>
      <c r="R65" s="290">
        <v>42566</v>
      </c>
    </row>
    <row r="66" spans="2:18" ht="15" x14ac:dyDescent="0.25">
      <c r="B66"/>
      <c r="C66"/>
      <c r="E66"/>
      <c r="F66" s="14"/>
      <c r="G66"/>
      <c r="H66"/>
      <c r="L66" s="3"/>
      <c r="M66" s="93"/>
      <c r="N66" s="100"/>
      <c r="O66" s="124"/>
      <c r="P66" s="291">
        <v>3266567</v>
      </c>
      <c r="Q66" s="292">
        <v>50000</v>
      </c>
      <c r="R66" s="290">
        <v>42565</v>
      </c>
    </row>
    <row r="67" spans="2:18" ht="15" x14ac:dyDescent="0.25">
      <c r="B67"/>
      <c r="C67"/>
      <c r="E67"/>
      <c r="F67" s="14"/>
      <c r="G67"/>
      <c r="H67"/>
      <c r="L67" s="3"/>
      <c r="M67" s="93"/>
      <c r="N67" s="100"/>
      <c r="O67" s="124"/>
      <c r="P67" s="291">
        <v>3266568</v>
      </c>
      <c r="Q67" s="292">
        <v>20784</v>
      </c>
      <c r="R67" s="290">
        <v>42565</v>
      </c>
    </row>
    <row r="68" spans="2:18" ht="15" x14ac:dyDescent="0.25">
      <c r="B68"/>
      <c r="C68"/>
      <c r="E68"/>
      <c r="F68" s="14"/>
      <c r="G68"/>
      <c r="H68"/>
      <c r="L68" s="3"/>
      <c r="M68" s="93"/>
      <c r="N68" s="100"/>
      <c r="O68" s="124"/>
      <c r="P68" s="291">
        <v>2730793</v>
      </c>
      <c r="Q68" s="292">
        <v>23654</v>
      </c>
      <c r="R68" s="290">
        <v>42566</v>
      </c>
    </row>
    <row r="69" spans="2:18" ht="15" x14ac:dyDescent="0.25">
      <c r="B69"/>
      <c r="C69"/>
      <c r="E69"/>
      <c r="F69" s="14"/>
      <c r="G69"/>
      <c r="H69"/>
      <c r="L69" s="3"/>
      <c r="M69" s="93"/>
      <c r="N69" s="100"/>
      <c r="O69" s="124"/>
      <c r="P69" s="291">
        <v>2730792</v>
      </c>
      <c r="Q69" s="292">
        <v>40000</v>
      </c>
      <c r="R69" s="290">
        <v>42566</v>
      </c>
    </row>
    <row r="70" spans="2:18" ht="15" x14ac:dyDescent="0.25">
      <c r="B70"/>
      <c r="C70"/>
      <c r="E70"/>
      <c r="F70" s="14"/>
      <c r="G70"/>
      <c r="H70"/>
      <c r="L70" s="3"/>
      <c r="M70" s="93"/>
      <c r="N70" s="100"/>
      <c r="O70" s="124"/>
      <c r="P70" s="291">
        <v>2730791</v>
      </c>
      <c r="Q70" s="292">
        <v>35000</v>
      </c>
      <c r="R70" s="290">
        <v>42566</v>
      </c>
    </row>
    <row r="71" spans="2:18" ht="15" x14ac:dyDescent="0.25">
      <c r="B71"/>
      <c r="C71"/>
      <c r="E71"/>
      <c r="F71" s="14"/>
      <c r="G71"/>
      <c r="H71"/>
      <c r="L71" s="3"/>
      <c r="M71" s="93"/>
      <c r="N71" s="100"/>
      <c r="O71" s="124"/>
      <c r="P71" s="291">
        <v>3266562</v>
      </c>
      <c r="Q71" s="292">
        <v>34139</v>
      </c>
      <c r="R71" s="290">
        <v>42567</v>
      </c>
    </row>
    <row r="72" spans="2:18" ht="15" x14ac:dyDescent="0.25">
      <c r="B72"/>
      <c r="C72"/>
      <c r="E72"/>
      <c r="F72" s="14"/>
      <c r="G72"/>
      <c r="H72"/>
      <c r="L72" s="3"/>
      <c r="M72" s="93"/>
      <c r="N72" s="100"/>
      <c r="O72" s="124"/>
      <c r="P72" s="291">
        <v>3266563</v>
      </c>
      <c r="Q72" s="292">
        <v>30000</v>
      </c>
      <c r="R72" s="290">
        <v>42567</v>
      </c>
    </row>
    <row r="73" spans="2:18" ht="15" x14ac:dyDescent="0.25">
      <c r="B73"/>
      <c r="C73"/>
      <c r="E73"/>
      <c r="F73" s="14"/>
      <c r="G73"/>
      <c r="H73"/>
      <c r="L73" s="3"/>
      <c r="M73" s="93"/>
      <c r="N73" s="100"/>
      <c r="O73" s="124"/>
      <c r="P73" s="291">
        <v>3266574</v>
      </c>
      <c r="Q73" s="292">
        <v>50000</v>
      </c>
      <c r="R73" s="290">
        <v>42567</v>
      </c>
    </row>
    <row r="74" spans="2:18" ht="15" x14ac:dyDescent="0.25">
      <c r="B74"/>
      <c r="C74"/>
      <c r="E74"/>
      <c r="F74" s="14"/>
      <c r="G74"/>
      <c r="H74"/>
      <c r="L74" s="3"/>
      <c r="M74" s="93"/>
      <c r="N74" s="100"/>
      <c r="O74" s="124"/>
      <c r="P74" s="291" t="s">
        <v>31</v>
      </c>
      <c r="Q74" s="292">
        <v>2040</v>
      </c>
      <c r="R74" s="290">
        <v>42565</v>
      </c>
    </row>
    <row r="75" spans="2:18" ht="15" x14ac:dyDescent="0.25">
      <c r="B75"/>
      <c r="C75"/>
      <c r="E75"/>
      <c r="F75" s="14"/>
      <c r="G75"/>
      <c r="H75"/>
      <c r="L75" s="3"/>
      <c r="M75" s="93"/>
      <c r="N75" s="100"/>
      <c r="O75" s="124"/>
      <c r="P75" s="291">
        <v>3266561</v>
      </c>
      <c r="Q75" s="292">
        <v>40000</v>
      </c>
      <c r="R75" s="290">
        <v>42568</v>
      </c>
    </row>
    <row r="76" spans="2:18" ht="15" x14ac:dyDescent="0.25">
      <c r="B76"/>
      <c r="C76"/>
      <c r="E76"/>
      <c r="F76" s="14"/>
      <c r="G76"/>
      <c r="H76"/>
      <c r="L76" s="3"/>
      <c r="M76" s="93"/>
      <c r="N76" s="100"/>
      <c r="O76" s="124"/>
      <c r="P76" s="291">
        <v>3266560</v>
      </c>
      <c r="Q76" s="292">
        <v>30000</v>
      </c>
      <c r="R76" s="290">
        <v>42567</v>
      </c>
    </row>
    <row r="77" spans="2:18" ht="16.5" customHeight="1" x14ac:dyDescent="0.25">
      <c r="B77"/>
      <c r="C77"/>
      <c r="E77"/>
      <c r="F77" s="14"/>
      <c r="G77"/>
      <c r="H77"/>
      <c r="L77" s="3"/>
      <c r="M77" s="93"/>
      <c r="N77" s="100"/>
      <c r="O77" s="124"/>
      <c r="P77" s="291">
        <v>3266558</v>
      </c>
      <c r="Q77" s="292">
        <v>28296</v>
      </c>
      <c r="R77" s="290">
        <v>42568</v>
      </c>
    </row>
    <row r="78" spans="2:18" x14ac:dyDescent="0.25">
      <c r="L78" s="3"/>
      <c r="M78" s="93"/>
      <c r="N78" s="132"/>
      <c r="O78" s="124"/>
      <c r="P78" s="291"/>
      <c r="Q78" s="292"/>
      <c r="R78" s="290"/>
    </row>
    <row r="79" spans="2:18" ht="16.5" thickBot="1" x14ac:dyDescent="0.3">
      <c r="L79" s="3"/>
      <c r="M79" s="281"/>
      <c r="N79" s="282"/>
      <c r="O79" s="219"/>
      <c r="P79" s="198"/>
      <c r="Q79" s="199">
        <v>0</v>
      </c>
      <c r="R79" s="220"/>
    </row>
    <row r="80" spans="2:18" ht="16.5" thickTop="1" x14ac:dyDescent="0.25">
      <c r="L80" s="33">
        <f>SUM(L48:L79)</f>
        <v>997454.49</v>
      </c>
      <c r="M80" s="147"/>
      <c r="N80" s="236">
        <f>SUM(N48:N79)</f>
        <v>997454.5</v>
      </c>
      <c r="O80" s="210"/>
      <c r="P80" s="211"/>
      <c r="Q80" s="200">
        <f>SUM(Q48:Q79)</f>
        <v>997454.5</v>
      </c>
      <c r="R80" s="202"/>
    </row>
    <row r="83" spans="2:8" ht="15" x14ac:dyDescent="0.25">
      <c r="B83"/>
      <c r="C83"/>
      <c r="D83"/>
      <c r="E83"/>
      <c r="F83"/>
      <c r="G83"/>
      <c r="H83"/>
    </row>
    <row r="84" spans="2:8" ht="15" x14ac:dyDescent="0.25">
      <c r="B84"/>
      <c r="C84"/>
      <c r="D84"/>
      <c r="E84"/>
      <c r="F84"/>
      <c r="G84"/>
      <c r="H84"/>
    </row>
    <row r="85" spans="2:8" ht="15" x14ac:dyDescent="0.25">
      <c r="B85"/>
      <c r="C85"/>
      <c r="D85"/>
      <c r="E85"/>
      <c r="F85"/>
      <c r="G85"/>
      <c r="H85"/>
    </row>
    <row r="86" spans="2:8" ht="15" x14ac:dyDescent="0.25">
      <c r="B86"/>
      <c r="C86"/>
      <c r="D86"/>
      <c r="E86"/>
      <c r="F86"/>
      <c r="G86"/>
      <c r="H86"/>
    </row>
    <row r="87" spans="2:8" ht="15" x14ac:dyDescent="0.25">
      <c r="B87"/>
      <c r="C87"/>
      <c r="D87"/>
      <c r="E87"/>
      <c r="F87"/>
      <c r="G87"/>
      <c r="H87"/>
    </row>
    <row r="88" spans="2:8" ht="15" x14ac:dyDescent="0.25">
      <c r="B88"/>
      <c r="C88"/>
      <c r="D88"/>
      <c r="E88"/>
      <c r="F88"/>
      <c r="G88"/>
      <c r="H88"/>
    </row>
    <row r="89" spans="2:8" ht="15" x14ac:dyDescent="0.25">
      <c r="B89"/>
      <c r="C89"/>
      <c r="D89"/>
      <c r="E89"/>
      <c r="F89"/>
      <c r="G89"/>
      <c r="H89"/>
    </row>
    <row r="90" spans="2:8" ht="15" x14ac:dyDescent="0.25">
      <c r="B90"/>
      <c r="C90"/>
      <c r="D90"/>
      <c r="E90"/>
      <c r="F90"/>
      <c r="G90"/>
      <c r="H90"/>
    </row>
    <row r="91" spans="2:8" ht="15" x14ac:dyDescent="0.25">
      <c r="B91"/>
      <c r="C91"/>
      <c r="D91"/>
      <c r="E91"/>
      <c r="F91"/>
      <c r="G91"/>
      <c r="H91"/>
    </row>
    <row r="92" spans="2:8" ht="15" x14ac:dyDescent="0.25">
      <c r="B92"/>
      <c r="C92"/>
      <c r="D92"/>
      <c r="E92"/>
      <c r="F92"/>
      <c r="G92"/>
      <c r="H92"/>
    </row>
    <row r="93" spans="2:8" ht="15" x14ac:dyDescent="0.25">
      <c r="B93"/>
      <c r="C93"/>
      <c r="D93"/>
      <c r="E93"/>
      <c r="F93"/>
      <c r="G93"/>
      <c r="H93"/>
    </row>
    <row r="94" spans="2:8" ht="15" x14ac:dyDescent="0.25">
      <c r="B94"/>
      <c r="C94"/>
      <c r="D94"/>
      <c r="E94"/>
      <c r="F94"/>
      <c r="G94"/>
      <c r="H94"/>
    </row>
    <row r="95" spans="2:8" ht="15" x14ac:dyDescent="0.25">
      <c r="B95"/>
      <c r="C95"/>
      <c r="D95"/>
      <c r="E95"/>
      <c r="F95"/>
      <c r="G95"/>
      <c r="H95"/>
    </row>
    <row r="96" spans="2:8" ht="15" x14ac:dyDescent="0.25">
      <c r="B96"/>
      <c r="C96"/>
      <c r="D96"/>
      <c r="E96"/>
      <c r="F96"/>
      <c r="G96"/>
      <c r="H96"/>
    </row>
    <row r="97" spans="2:8" ht="15" x14ac:dyDescent="0.25">
      <c r="B97"/>
      <c r="C97"/>
      <c r="D97"/>
      <c r="E97"/>
      <c r="F97"/>
      <c r="G97"/>
      <c r="H97"/>
    </row>
    <row r="98" spans="2:8" ht="15" x14ac:dyDescent="0.25">
      <c r="B98"/>
      <c r="C98"/>
      <c r="D98"/>
      <c r="E98"/>
      <c r="F98"/>
      <c r="G98"/>
      <c r="H98"/>
    </row>
    <row r="99" spans="2:8" ht="15" x14ac:dyDescent="0.25">
      <c r="B99"/>
      <c r="C99"/>
      <c r="D99"/>
      <c r="E99"/>
      <c r="F99"/>
      <c r="G99"/>
      <c r="H99"/>
    </row>
    <row r="100" spans="2:8" ht="15" x14ac:dyDescent="0.25">
      <c r="B100"/>
      <c r="C100"/>
      <c r="D100"/>
      <c r="E100"/>
      <c r="F100"/>
      <c r="G100"/>
      <c r="H100"/>
    </row>
    <row r="101" spans="2:8" ht="15" x14ac:dyDescent="0.25">
      <c r="B101"/>
      <c r="C101"/>
      <c r="D101"/>
      <c r="E101"/>
      <c r="F101"/>
      <c r="G101"/>
      <c r="H101"/>
    </row>
    <row r="102" spans="2:8" ht="15" x14ac:dyDescent="0.25">
      <c r="B102"/>
      <c r="C102"/>
      <c r="D102"/>
      <c r="E102"/>
      <c r="F102"/>
      <c r="G102"/>
      <c r="H102"/>
    </row>
    <row r="103" spans="2:8" ht="15" x14ac:dyDescent="0.25">
      <c r="B103"/>
      <c r="C103"/>
      <c r="D103"/>
      <c r="E103"/>
      <c r="F103"/>
      <c r="G103"/>
      <c r="H103"/>
    </row>
    <row r="104" spans="2:8" ht="15" x14ac:dyDescent="0.25">
      <c r="B104"/>
      <c r="C104"/>
      <c r="D104"/>
      <c r="E104"/>
      <c r="F104"/>
      <c r="G104"/>
      <c r="H104"/>
    </row>
    <row r="105" spans="2:8" ht="15" x14ac:dyDescent="0.25">
      <c r="B105"/>
      <c r="C105"/>
      <c r="D105"/>
      <c r="E105"/>
      <c r="F105"/>
      <c r="G105"/>
      <c r="H105"/>
    </row>
    <row r="106" spans="2:8" ht="15" x14ac:dyDescent="0.25">
      <c r="B106"/>
      <c r="C106"/>
      <c r="D106"/>
      <c r="E106"/>
      <c r="F106"/>
      <c r="G106"/>
      <c r="H106"/>
    </row>
  </sheetData>
  <sortState ref="B27:D29">
    <sortCondition ref="C27:C29"/>
  </sortState>
  <mergeCells count="3">
    <mergeCell ref="M1:M2"/>
    <mergeCell ref="M45:M46"/>
    <mergeCell ref="W1:W2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141"/>
  <sheetViews>
    <sheetView workbookViewId="0">
      <selection activeCell="D23" sqref="D23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2" max="12" width="15.42578125" customWidth="1"/>
    <col min="15" max="15" width="20.140625" bestFit="1" customWidth="1"/>
  </cols>
  <sheetData>
    <row r="1" spans="1:16" ht="19.5" customHeight="1" thickBot="1" x14ac:dyDescent="0.35">
      <c r="K1" s="343">
        <v>1</v>
      </c>
      <c r="L1" s="86" t="s">
        <v>28</v>
      </c>
      <c r="M1" s="86"/>
      <c r="N1" s="110"/>
      <c r="O1" s="111">
        <v>42375</v>
      </c>
      <c r="P1" s="112"/>
    </row>
    <row r="2" spans="1:16" ht="19.5" customHeight="1" thickBot="1" x14ac:dyDescent="0.35">
      <c r="B2" s="176"/>
      <c r="C2" s="177"/>
      <c r="D2" s="178" t="s">
        <v>21</v>
      </c>
      <c r="E2" s="179"/>
      <c r="F2" s="180"/>
      <c r="G2" s="181"/>
      <c r="K2" s="344"/>
      <c r="L2" s="113"/>
      <c r="M2" s="113"/>
      <c r="N2" s="114"/>
      <c r="O2" s="115"/>
      <c r="P2" s="112"/>
    </row>
    <row r="3" spans="1:16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K3" s="116" t="s">
        <v>23</v>
      </c>
      <c r="L3" s="116" t="s">
        <v>24</v>
      </c>
      <c r="M3" s="116"/>
      <c r="N3" s="117" t="s">
        <v>29</v>
      </c>
      <c r="O3" s="118" t="s">
        <v>30</v>
      </c>
      <c r="P3" s="119"/>
    </row>
    <row r="4" spans="1:16" x14ac:dyDescent="0.25">
      <c r="A4" s="14"/>
      <c r="B4" s="92">
        <v>42372</v>
      </c>
      <c r="C4" s="189" t="s">
        <v>27</v>
      </c>
      <c r="D4" s="190">
        <v>64808.800000000003</v>
      </c>
      <c r="E4" s="95" t="s">
        <v>60</v>
      </c>
      <c r="F4" s="94">
        <f>53359.27+11449.53</f>
        <v>64808.799999999996</v>
      </c>
      <c r="G4" s="158">
        <f t="shared" ref="G4:G21" si="0">D4-F4</f>
        <v>0</v>
      </c>
      <c r="H4" s="146"/>
      <c r="I4" s="147"/>
      <c r="K4" s="93" t="s">
        <v>32</v>
      </c>
      <c r="L4" s="94">
        <v>282286.43</v>
      </c>
      <c r="M4" s="120" t="s">
        <v>36</v>
      </c>
      <c r="N4" s="121">
        <v>3358503</v>
      </c>
      <c r="O4" s="122">
        <v>50000</v>
      </c>
      <c r="P4" s="123">
        <v>42350</v>
      </c>
    </row>
    <row r="5" spans="1:16" x14ac:dyDescent="0.25">
      <c r="A5" s="14"/>
      <c r="B5" s="96">
        <v>42375</v>
      </c>
      <c r="C5" s="189" t="s">
        <v>38</v>
      </c>
      <c r="D5" s="94">
        <v>46406.8</v>
      </c>
      <c r="E5" s="95">
        <v>42378</v>
      </c>
      <c r="F5" s="94">
        <v>46406.8</v>
      </c>
      <c r="G5" s="97">
        <f t="shared" si="0"/>
        <v>0</v>
      </c>
      <c r="H5" s="146"/>
      <c r="I5" s="147"/>
      <c r="K5" s="93" t="s">
        <v>33</v>
      </c>
      <c r="L5" s="94">
        <v>343984.8</v>
      </c>
      <c r="M5" s="124"/>
      <c r="N5" s="125">
        <v>3358502</v>
      </c>
      <c r="O5" s="126">
        <v>30000</v>
      </c>
      <c r="P5" s="127">
        <v>42350</v>
      </c>
    </row>
    <row r="6" spans="1:16" x14ac:dyDescent="0.25">
      <c r="A6" s="14"/>
      <c r="B6" s="96">
        <v>42371</v>
      </c>
      <c r="C6" s="188" t="s">
        <v>39</v>
      </c>
      <c r="D6" s="94">
        <v>256564</v>
      </c>
      <c r="E6" s="95">
        <v>42378</v>
      </c>
      <c r="F6" s="94">
        <v>256564</v>
      </c>
      <c r="G6" s="97">
        <f t="shared" si="0"/>
        <v>0</v>
      </c>
      <c r="H6" s="38"/>
      <c r="I6" s="147"/>
      <c r="K6" s="93" t="s">
        <v>34</v>
      </c>
      <c r="L6" s="94">
        <v>313225</v>
      </c>
      <c r="M6" s="124"/>
      <c r="N6" s="125">
        <v>3358501</v>
      </c>
      <c r="O6" s="126">
        <v>40000</v>
      </c>
      <c r="P6" s="127">
        <v>42350</v>
      </c>
    </row>
    <row r="7" spans="1:16" x14ac:dyDescent="0.25">
      <c r="A7" s="14"/>
      <c r="B7" s="96">
        <v>42376</v>
      </c>
      <c r="C7" s="189" t="s">
        <v>40</v>
      </c>
      <c r="D7" s="94">
        <v>227579.35</v>
      </c>
      <c r="E7" s="95" t="s">
        <v>63</v>
      </c>
      <c r="F7" s="94">
        <f>214497.17+13082.18</f>
        <v>227579.35</v>
      </c>
      <c r="G7" s="99">
        <f>D7-F7</f>
        <v>0</v>
      </c>
      <c r="H7" s="38"/>
      <c r="I7" s="147"/>
      <c r="K7" s="93" t="s">
        <v>35</v>
      </c>
      <c r="L7" s="94">
        <v>303639</v>
      </c>
      <c r="M7" s="124"/>
      <c r="N7" s="125">
        <v>3358500</v>
      </c>
      <c r="O7" s="126">
        <v>19545.5</v>
      </c>
      <c r="P7" s="127">
        <v>42350</v>
      </c>
    </row>
    <row r="8" spans="1:16" x14ac:dyDescent="0.25">
      <c r="A8" s="14"/>
      <c r="B8" s="96">
        <v>42379</v>
      </c>
      <c r="C8" s="189" t="s">
        <v>44</v>
      </c>
      <c r="D8" s="94">
        <v>268326</v>
      </c>
      <c r="E8" s="95">
        <v>42396</v>
      </c>
      <c r="F8" s="94">
        <v>268326</v>
      </c>
      <c r="G8" s="97">
        <f>D8-F8</f>
        <v>0</v>
      </c>
      <c r="H8" s="38"/>
      <c r="I8" s="147"/>
      <c r="K8" s="93" t="s">
        <v>27</v>
      </c>
      <c r="L8" s="94">
        <v>53359.27</v>
      </c>
      <c r="M8" s="124" t="s">
        <v>37</v>
      </c>
      <c r="N8" s="125">
        <v>3358499</v>
      </c>
      <c r="O8" s="126">
        <v>44712</v>
      </c>
      <c r="P8" s="127">
        <v>42351</v>
      </c>
    </row>
    <row r="9" spans="1:16" x14ac:dyDescent="0.25">
      <c r="A9" s="82"/>
      <c r="B9" s="96" t="s">
        <v>48</v>
      </c>
      <c r="C9" s="189" t="s">
        <v>45</v>
      </c>
      <c r="D9" s="94">
        <v>231464.75</v>
      </c>
      <c r="E9" s="95">
        <v>42396</v>
      </c>
      <c r="F9" s="94">
        <v>231464.75</v>
      </c>
      <c r="G9" s="99">
        <f>D9-F9</f>
        <v>0</v>
      </c>
      <c r="H9" s="38"/>
      <c r="I9" s="147"/>
      <c r="K9" s="93"/>
      <c r="L9" s="94"/>
      <c r="M9" s="128"/>
      <c r="N9" s="125">
        <v>3358497</v>
      </c>
      <c r="O9" s="126">
        <v>66045</v>
      </c>
      <c r="P9" s="127">
        <v>42352</v>
      </c>
    </row>
    <row r="10" spans="1:16" x14ac:dyDescent="0.25">
      <c r="A10" s="14"/>
      <c r="B10" s="96">
        <v>42384</v>
      </c>
      <c r="C10" s="189" t="s">
        <v>46</v>
      </c>
      <c r="D10" s="100">
        <v>105831.6</v>
      </c>
      <c r="E10" s="95">
        <v>42396</v>
      </c>
      <c r="F10" s="100">
        <v>105831.6</v>
      </c>
      <c r="G10" s="99">
        <f>D10-F10</f>
        <v>0</v>
      </c>
      <c r="H10" s="38"/>
      <c r="I10" s="147"/>
      <c r="K10" s="93"/>
      <c r="L10" s="94"/>
      <c r="M10" s="129"/>
      <c r="N10" s="125">
        <v>3358496</v>
      </c>
      <c r="O10" s="126">
        <v>55000</v>
      </c>
      <c r="P10" s="127">
        <v>42353</v>
      </c>
    </row>
    <row r="11" spans="1:16" ht="15" x14ac:dyDescent="0.25">
      <c r="A11" s="14"/>
      <c r="B11" s="96">
        <v>42388</v>
      </c>
      <c r="C11" s="189" t="s">
        <v>47</v>
      </c>
      <c r="D11" s="94">
        <v>30131</v>
      </c>
      <c r="E11" s="95">
        <v>42396</v>
      </c>
      <c r="F11" s="94">
        <v>30131</v>
      </c>
      <c r="G11" s="99">
        <f>D11-F11</f>
        <v>0</v>
      </c>
      <c r="H11" s="38"/>
      <c r="I11" s="147"/>
      <c r="K11" s="93"/>
      <c r="L11" s="94"/>
      <c r="M11" s="124"/>
      <c r="N11" s="130">
        <v>3358495</v>
      </c>
      <c r="O11" s="131">
        <v>22365</v>
      </c>
      <c r="P11" s="127">
        <v>42353</v>
      </c>
    </row>
    <row r="12" spans="1:16" ht="15" x14ac:dyDescent="0.25">
      <c r="A12" s="14"/>
      <c r="B12" s="96">
        <v>42389</v>
      </c>
      <c r="C12" s="189" t="s">
        <v>62</v>
      </c>
      <c r="D12" s="94">
        <v>341765</v>
      </c>
      <c r="E12" s="95">
        <v>42396</v>
      </c>
      <c r="F12" s="94">
        <v>341765</v>
      </c>
      <c r="G12" s="99">
        <f t="shared" si="0"/>
        <v>0</v>
      </c>
      <c r="H12" s="38"/>
      <c r="I12" s="147"/>
      <c r="K12" s="93"/>
      <c r="L12" s="94"/>
      <c r="M12" s="124"/>
      <c r="N12" s="130">
        <v>3358494</v>
      </c>
      <c r="O12" s="131">
        <v>75000</v>
      </c>
      <c r="P12" s="127">
        <v>42354</v>
      </c>
    </row>
    <row r="13" spans="1:16" ht="15" x14ac:dyDescent="0.25">
      <c r="A13" s="14"/>
      <c r="B13" s="96">
        <v>42389</v>
      </c>
      <c r="C13" s="189" t="s">
        <v>61</v>
      </c>
      <c r="D13" s="94">
        <v>198766</v>
      </c>
      <c r="E13" s="182" t="s">
        <v>73</v>
      </c>
      <c r="F13" s="101">
        <f>196047.96+2718.04</f>
        <v>198766</v>
      </c>
      <c r="G13" s="99">
        <f t="shared" si="0"/>
        <v>0</v>
      </c>
      <c r="H13" s="146"/>
      <c r="I13" s="147"/>
      <c r="K13" s="93"/>
      <c r="L13" s="132"/>
      <c r="M13" s="124"/>
      <c r="N13" s="130">
        <v>3358493</v>
      </c>
      <c r="O13" s="131">
        <v>36616</v>
      </c>
      <c r="P13" s="127">
        <v>42354</v>
      </c>
    </row>
    <row r="14" spans="1:16" ht="15" x14ac:dyDescent="0.25">
      <c r="A14" s="14"/>
      <c r="B14" s="96">
        <v>42390</v>
      </c>
      <c r="C14" s="189" t="s">
        <v>64</v>
      </c>
      <c r="D14" s="94">
        <v>578.20000000000005</v>
      </c>
      <c r="E14" s="102">
        <v>42411</v>
      </c>
      <c r="F14" s="101">
        <v>578.20000000000005</v>
      </c>
      <c r="G14" s="99">
        <f t="shared" si="0"/>
        <v>0</v>
      </c>
      <c r="H14" s="147"/>
      <c r="I14" s="147"/>
      <c r="K14" s="133"/>
      <c r="L14" s="134"/>
      <c r="M14" s="128"/>
      <c r="N14" s="135">
        <v>3358492</v>
      </c>
      <c r="O14" s="136">
        <v>75000</v>
      </c>
      <c r="P14" s="137">
        <v>42355</v>
      </c>
    </row>
    <row r="15" spans="1:16" ht="15" x14ac:dyDescent="0.25">
      <c r="A15" s="14"/>
      <c r="B15" s="96">
        <v>42393</v>
      </c>
      <c r="C15" s="189" t="s">
        <v>65</v>
      </c>
      <c r="D15" s="94">
        <v>16562</v>
      </c>
      <c r="E15" s="102">
        <v>42411</v>
      </c>
      <c r="F15" s="101">
        <v>16562</v>
      </c>
      <c r="G15" s="99">
        <f>D15-F15</f>
        <v>0</v>
      </c>
      <c r="H15" s="147"/>
      <c r="I15" s="147"/>
      <c r="K15" s="133"/>
      <c r="L15" s="134"/>
      <c r="M15" s="128"/>
      <c r="N15" s="135">
        <v>3358490</v>
      </c>
      <c r="O15" s="136">
        <v>40000</v>
      </c>
      <c r="P15" s="137">
        <v>42355</v>
      </c>
    </row>
    <row r="16" spans="1:16" ht="15" x14ac:dyDescent="0.25">
      <c r="A16" s="14"/>
      <c r="B16" s="96">
        <v>42394</v>
      </c>
      <c r="C16" s="189" t="s">
        <v>66</v>
      </c>
      <c r="D16" s="94">
        <v>3629</v>
      </c>
      <c r="E16" s="102">
        <v>42411</v>
      </c>
      <c r="F16" s="101">
        <v>3629</v>
      </c>
      <c r="G16" s="99">
        <f>D16-F16</f>
        <v>0</v>
      </c>
      <c r="K16" s="133"/>
      <c r="L16" s="134"/>
      <c r="M16" s="128"/>
      <c r="N16" s="135">
        <v>3358491</v>
      </c>
      <c r="O16" s="136">
        <v>28206.5</v>
      </c>
      <c r="P16" s="137">
        <v>42355</v>
      </c>
    </row>
    <row r="17" spans="1:17" ht="15" x14ac:dyDescent="0.25">
      <c r="A17" s="14"/>
      <c r="B17" s="96">
        <v>42396</v>
      </c>
      <c r="C17" s="189" t="s">
        <v>67</v>
      </c>
      <c r="D17" s="94">
        <v>112086.45</v>
      </c>
      <c r="E17" s="102">
        <v>42411</v>
      </c>
      <c r="F17" s="101">
        <v>112086.45</v>
      </c>
      <c r="G17" s="97">
        <f>D17-F17</f>
        <v>0</v>
      </c>
      <c r="K17" s="133"/>
      <c r="L17" s="134"/>
      <c r="M17" s="128"/>
      <c r="N17" s="135">
        <v>3358489</v>
      </c>
      <c r="O17" s="136">
        <v>115000</v>
      </c>
      <c r="P17" s="137">
        <v>42356</v>
      </c>
    </row>
    <row r="18" spans="1:17" ht="15" x14ac:dyDescent="0.25">
      <c r="A18" s="14"/>
      <c r="B18" s="96">
        <v>42399</v>
      </c>
      <c r="C18" s="189" t="s">
        <v>69</v>
      </c>
      <c r="D18" s="94">
        <v>19937</v>
      </c>
      <c r="E18" s="102">
        <v>42411</v>
      </c>
      <c r="F18" s="101">
        <v>19937</v>
      </c>
      <c r="G18" s="97">
        <f>D18-F18</f>
        <v>0</v>
      </c>
      <c r="K18" s="133"/>
      <c r="L18" s="134"/>
      <c r="M18" s="128"/>
      <c r="N18" s="135">
        <v>3358488</v>
      </c>
      <c r="O18" s="136">
        <v>60000</v>
      </c>
      <c r="P18" s="137">
        <v>42356</v>
      </c>
    </row>
    <row r="19" spans="1:17" ht="15" x14ac:dyDescent="0.25">
      <c r="A19" s="14"/>
      <c r="B19" s="96">
        <v>42399</v>
      </c>
      <c r="C19" s="189" t="s">
        <v>71</v>
      </c>
      <c r="D19" s="94">
        <v>286045.2</v>
      </c>
      <c r="E19" s="102">
        <v>42411</v>
      </c>
      <c r="F19" s="101">
        <v>286045.2</v>
      </c>
      <c r="G19" s="99">
        <f>D19-F19</f>
        <v>0</v>
      </c>
      <c r="K19" s="133"/>
      <c r="L19" s="134"/>
      <c r="M19" s="128"/>
      <c r="N19" s="135">
        <v>3358486</v>
      </c>
      <c r="O19" s="136">
        <v>20114</v>
      </c>
      <c r="P19" s="137">
        <v>42356</v>
      </c>
    </row>
    <row r="20" spans="1:17" ht="15" x14ac:dyDescent="0.25">
      <c r="A20" s="14"/>
      <c r="B20" s="96"/>
      <c r="C20" s="93"/>
      <c r="D20" s="94">
        <v>0</v>
      </c>
      <c r="E20" s="102"/>
      <c r="F20" s="101"/>
      <c r="G20" s="97">
        <f t="shared" si="0"/>
        <v>0</v>
      </c>
      <c r="K20" s="133"/>
      <c r="L20" s="134"/>
      <c r="M20" s="128"/>
      <c r="N20" s="135">
        <v>33558487</v>
      </c>
      <c r="O20" s="136">
        <v>60000</v>
      </c>
      <c r="P20" s="137">
        <v>42357</v>
      </c>
    </row>
    <row r="21" spans="1:17" thickBot="1" x14ac:dyDescent="0.3">
      <c r="A21" s="14"/>
      <c r="B21" s="171"/>
      <c r="C21" s="172"/>
      <c r="D21" s="173">
        <v>0</v>
      </c>
      <c r="E21" s="174"/>
      <c r="F21" s="173"/>
      <c r="G21" s="175">
        <f t="shared" si="0"/>
        <v>0</v>
      </c>
      <c r="K21" s="133"/>
      <c r="L21" s="134"/>
      <c r="M21" s="128"/>
      <c r="N21" s="135">
        <v>3358485</v>
      </c>
      <c r="O21" s="136">
        <v>20000</v>
      </c>
      <c r="P21" s="137">
        <v>42357</v>
      </c>
    </row>
    <row r="22" spans="1:17" thickTop="1" x14ac:dyDescent="0.25">
      <c r="A22" s="147"/>
      <c r="B22" s="160"/>
      <c r="C22" s="161"/>
      <c r="D22" s="41">
        <f>SUM(D4:D21)</f>
        <v>2210481.15</v>
      </c>
      <c r="E22" s="41"/>
      <c r="F22" s="41">
        <f t="shared" ref="F22:G22" si="1">SUM(F4:F21)</f>
        <v>2210481.15</v>
      </c>
      <c r="G22" s="41">
        <f t="shared" si="1"/>
        <v>0</v>
      </c>
      <c r="K22" s="133"/>
      <c r="L22" s="134"/>
      <c r="M22" s="128"/>
      <c r="N22" s="135">
        <v>3358484</v>
      </c>
      <c r="O22" s="136">
        <v>60000</v>
      </c>
      <c r="P22" s="137">
        <v>42357</v>
      </c>
    </row>
    <row r="23" spans="1:17" ht="15" x14ac:dyDescent="0.25">
      <c r="A23" s="147"/>
      <c r="B23" s="160"/>
      <c r="C23" s="161"/>
      <c r="D23" s="41"/>
      <c r="E23" s="95"/>
      <c r="F23" s="41"/>
      <c r="G23" s="38"/>
      <c r="K23" s="133"/>
      <c r="L23" s="134"/>
      <c r="M23" s="128"/>
      <c r="N23" s="135">
        <v>3358482</v>
      </c>
      <c r="O23" s="136">
        <v>20186</v>
      </c>
      <c r="P23" s="137">
        <v>42357</v>
      </c>
    </row>
    <row r="24" spans="1:17" ht="15" x14ac:dyDescent="0.25">
      <c r="A24" s="147"/>
      <c r="B24" s="160"/>
      <c r="C24" s="161"/>
      <c r="D24" s="41"/>
      <c r="E24" s="95"/>
      <c r="F24" s="41"/>
      <c r="G24" s="38"/>
      <c r="K24" s="133"/>
      <c r="L24" s="134"/>
      <c r="M24" s="128"/>
      <c r="N24" s="135" t="s">
        <v>31</v>
      </c>
      <c r="O24" s="136">
        <v>102000</v>
      </c>
      <c r="P24" s="137">
        <v>42362</v>
      </c>
      <c r="Q24" s="145">
        <v>42358</v>
      </c>
    </row>
    <row r="25" spans="1:17" ht="15" x14ac:dyDescent="0.25">
      <c r="A25" s="147"/>
      <c r="B25" s="160"/>
      <c r="C25" s="161"/>
      <c r="D25" s="41"/>
      <c r="E25" s="95"/>
      <c r="F25" s="41"/>
      <c r="G25" s="38"/>
      <c r="K25" s="133"/>
      <c r="L25" s="134"/>
      <c r="M25" s="128"/>
      <c r="N25" s="135">
        <v>3358480</v>
      </c>
      <c r="O25" s="136">
        <v>60000</v>
      </c>
      <c r="P25" s="137">
        <v>42358</v>
      </c>
    </row>
    <row r="26" spans="1:17" ht="15" x14ac:dyDescent="0.25">
      <c r="A26" s="147"/>
      <c r="B26" s="160"/>
      <c r="C26" s="161"/>
      <c r="D26" s="41"/>
      <c r="E26" s="95"/>
      <c r="F26" s="41"/>
      <c r="G26" s="38"/>
      <c r="K26" s="133"/>
      <c r="L26" s="134"/>
      <c r="M26" s="128"/>
      <c r="N26" s="135">
        <v>3358478</v>
      </c>
      <c r="O26" s="136">
        <v>25000</v>
      </c>
      <c r="P26" s="137">
        <v>42358</v>
      </c>
    </row>
    <row r="27" spans="1:17" ht="15" x14ac:dyDescent="0.25">
      <c r="A27" s="147"/>
      <c r="B27" s="160"/>
      <c r="C27" s="161"/>
      <c r="D27" s="41"/>
      <c r="E27" s="95"/>
      <c r="F27" s="41"/>
      <c r="G27" s="38"/>
      <c r="K27" s="133"/>
      <c r="L27" s="134"/>
      <c r="M27" s="128"/>
      <c r="N27" s="135">
        <v>3358479</v>
      </c>
      <c r="O27" s="136">
        <v>20091</v>
      </c>
      <c r="P27" s="137">
        <v>42358</v>
      </c>
    </row>
    <row r="28" spans="1:17" ht="15" x14ac:dyDescent="0.25">
      <c r="A28" s="147"/>
      <c r="B28" s="160"/>
      <c r="C28" s="161"/>
      <c r="D28" s="41"/>
      <c r="E28" s="95"/>
      <c r="F28" s="41"/>
      <c r="G28" s="38"/>
      <c r="K28" s="133"/>
      <c r="L28" s="134"/>
      <c r="M28" s="128"/>
      <c r="N28" s="135" t="s">
        <v>31</v>
      </c>
      <c r="O28" s="136">
        <v>26910</v>
      </c>
      <c r="P28" s="137">
        <v>42359</v>
      </c>
    </row>
    <row r="29" spans="1:17" ht="15" x14ac:dyDescent="0.25">
      <c r="A29" s="147"/>
      <c r="B29" s="160"/>
      <c r="C29" s="161"/>
      <c r="D29" s="41"/>
      <c r="E29" s="95"/>
      <c r="F29" s="41"/>
      <c r="G29" s="38"/>
      <c r="K29" s="133"/>
      <c r="L29" s="134"/>
      <c r="M29" s="128"/>
      <c r="N29" s="135">
        <v>3358477</v>
      </c>
      <c r="O29" s="136">
        <v>100000</v>
      </c>
      <c r="P29" s="137">
        <v>42359</v>
      </c>
    </row>
    <row r="30" spans="1:17" ht="15" x14ac:dyDescent="0.25">
      <c r="A30" s="147"/>
      <c r="B30" s="160"/>
      <c r="C30" s="161"/>
      <c r="D30" s="41"/>
      <c r="E30" s="95"/>
      <c r="F30" s="41"/>
      <c r="G30" s="38"/>
      <c r="K30" s="133"/>
      <c r="L30" s="134"/>
      <c r="M30" s="128"/>
      <c r="N30" s="135">
        <v>3358476</v>
      </c>
      <c r="O30" s="136">
        <v>24703.5</v>
      </c>
      <c r="P30" s="137">
        <v>42359</v>
      </c>
    </row>
    <row r="31" spans="1:17" thickBot="1" x14ac:dyDescent="0.3">
      <c r="A31" s="147"/>
      <c r="B31" s="160"/>
      <c r="C31" s="161"/>
      <c r="D31" s="41"/>
      <c r="E31" s="95"/>
      <c r="F31" s="41"/>
      <c r="G31" s="38"/>
      <c r="K31" s="138"/>
      <c r="L31" s="138"/>
      <c r="M31" s="138"/>
      <c r="N31" s="139"/>
      <c r="O31" s="140">
        <v>0</v>
      </c>
      <c r="P31" s="141"/>
    </row>
    <row r="32" spans="1:17" ht="19.5" thickTop="1" x14ac:dyDescent="0.3">
      <c r="A32" s="147"/>
      <c r="B32" s="160"/>
      <c r="C32" s="161"/>
      <c r="D32" s="41"/>
      <c r="E32" s="95"/>
      <c r="F32" s="41"/>
      <c r="G32" s="38"/>
      <c r="K32" s="67"/>
      <c r="L32" s="142">
        <f>SUM(L4:L31)</f>
        <v>1296494.5</v>
      </c>
      <c r="M32" s="143"/>
      <c r="N32" s="143"/>
      <c r="O32" s="143">
        <f>SUM(O4:O31)</f>
        <v>1296494.5</v>
      </c>
      <c r="P32" s="144"/>
    </row>
    <row r="33" spans="1:16" ht="15" x14ac:dyDescent="0.25">
      <c r="A33" s="147"/>
      <c r="B33" s="160"/>
      <c r="C33" s="161"/>
      <c r="D33" s="41"/>
      <c r="E33" s="95"/>
      <c r="F33" s="41"/>
      <c r="G33" s="38"/>
      <c r="O33" s="3"/>
    </row>
    <row r="34" spans="1:16" ht="19.5" customHeight="1" thickBot="1" x14ac:dyDescent="0.3">
      <c r="A34" s="147"/>
      <c r="B34" s="160"/>
      <c r="C34" s="161"/>
      <c r="D34" s="41"/>
      <c r="E34" s="95"/>
      <c r="F34" s="41"/>
      <c r="G34" s="38"/>
    </row>
    <row r="35" spans="1:16" ht="19.5" customHeight="1" thickBot="1" x14ac:dyDescent="0.35">
      <c r="A35" s="147"/>
      <c r="B35" s="160"/>
      <c r="C35" s="161"/>
      <c r="D35" s="41"/>
      <c r="E35" s="95"/>
      <c r="F35" s="41"/>
      <c r="G35" s="38"/>
      <c r="K35" s="343">
        <v>1</v>
      </c>
      <c r="L35" s="86" t="s">
        <v>28</v>
      </c>
      <c r="M35" s="86"/>
      <c r="N35" s="110"/>
      <c r="O35" s="148">
        <v>42378</v>
      </c>
      <c r="P35" s="112"/>
    </row>
    <row r="36" spans="1:16" ht="19.5" customHeight="1" thickBot="1" x14ac:dyDescent="0.3">
      <c r="A36" s="147"/>
      <c r="B36" s="160"/>
      <c r="C36" s="161"/>
      <c r="D36" s="41"/>
      <c r="E36" s="95"/>
      <c r="F36" s="41"/>
      <c r="G36" s="38"/>
      <c r="K36" s="344"/>
      <c r="L36" s="113"/>
      <c r="M36" s="113"/>
      <c r="N36" s="114"/>
      <c r="O36" s="115"/>
      <c r="P36" s="112"/>
    </row>
    <row r="37" spans="1:16" ht="19.5" customHeight="1" thickBot="1" x14ac:dyDescent="0.3">
      <c r="A37" s="147"/>
      <c r="B37" s="160"/>
      <c r="C37" s="161"/>
      <c r="D37" s="41"/>
      <c r="E37" s="95"/>
      <c r="F37" s="41"/>
      <c r="G37" s="38"/>
      <c r="K37" s="116" t="s">
        <v>23</v>
      </c>
      <c r="L37" s="116" t="s">
        <v>24</v>
      </c>
      <c r="M37" s="116"/>
      <c r="N37" s="117" t="s">
        <v>29</v>
      </c>
      <c r="O37" s="118" t="s">
        <v>30</v>
      </c>
      <c r="P37" s="119"/>
    </row>
    <row r="38" spans="1:16" ht="19.5" customHeight="1" thickTop="1" x14ac:dyDescent="0.25">
      <c r="A38" s="147"/>
      <c r="B38" s="160"/>
      <c r="C38" s="161"/>
      <c r="D38" s="41"/>
      <c r="E38" s="95"/>
      <c r="F38" s="41"/>
      <c r="G38" s="38"/>
      <c r="K38" s="93" t="s">
        <v>41</v>
      </c>
      <c r="L38" s="94">
        <v>277119</v>
      </c>
      <c r="M38" s="120"/>
      <c r="N38" s="121">
        <v>3358474</v>
      </c>
      <c r="O38" s="122">
        <v>40000</v>
      </c>
      <c r="P38" s="123">
        <v>42360</v>
      </c>
    </row>
    <row r="39" spans="1:16" x14ac:dyDescent="0.25">
      <c r="A39" s="147"/>
      <c r="B39" s="160"/>
      <c r="C39" s="161"/>
      <c r="D39" s="41"/>
      <c r="E39" s="95"/>
      <c r="F39" s="41"/>
      <c r="G39" s="38"/>
      <c r="K39" s="93" t="s">
        <v>42</v>
      </c>
      <c r="L39" s="94">
        <v>118.8</v>
      </c>
      <c r="M39" s="124"/>
      <c r="N39" s="125">
        <v>3358475</v>
      </c>
      <c r="O39" s="126">
        <v>52000</v>
      </c>
      <c r="P39" s="127">
        <v>42360</v>
      </c>
    </row>
    <row r="40" spans="1:16" x14ac:dyDescent="0.25">
      <c r="A40" s="147"/>
      <c r="B40" s="160"/>
      <c r="C40" s="161"/>
      <c r="D40" s="41"/>
      <c r="E40" s="95"/>
      <c r="F40" s="41"/>
      <c r="G40" s="162"/>
      <c r="K40" s="93" t="s">
        <v>43</v>
      </c>
      <c r="L40" s="94">
        <v>284267.2</v>
      </c>
      <c r="M40" s="124"/>
      <c r="N40" s="125">
        <v>3358473</v>
      </c>
      <c r="O40" s="126">
        <v>26643.5</v>
      </c>
      <c r="P40" s="127">
        <v>42360</v>
      </c>
    </row>
    <row r="41" spans="1:16" ht="19.5" customHeight="1" x14ac:dyDescent="0.25">
      <c r="A41" s="147"/>
      <c r="B41" s="160"/>
      <c r="C41" s="161"/>
      <c r="D41" s="41"/>
      <c r="E41" s="95"/>
      <c r="F41" s="41"/>
      <c r="G41" s="162"/>
      <c r="K41" s="93" t="s">
        <v>27</v>
      </c>
      <c r="L41" s="94">
        <v>11449.53</v>
      </c>
      <c r="M41" s="124" t="s">
        <v>36</v>
      </c>
      <c r="N41" s="125">
        <v>3237887</v>
      </c>
      <c r="O41" s="126">
        <v>67323</v>
      </c>
      <c r="P41" s="127">
        <v>42360</v>
      </c>
    </row>
    <row r="42" spans="1:16" ht="16.5" customHeight="1" x14ac:dyDescent="0.25">
      <c r="A42" s="147"/>
      <c r="B42" s="160"/>
      <c r="C42" s="161"/>
      <c r="D42" s="41"/>
      <c r="E42" s="95"/>
      <c r="F42" s="41"/>
      <c r="G42" s="162"/>
      <c r="K42" s="93" t="s">
        <v>38</v>
      </c>
      <c r="L42" s="94">
        <v>46406.8</v>
      </c>
      <c r="M42" s="124"/>
      <c r="N42" s="125">
        <v>3358472</v>
      </c>
      <c r="O42" s="126">
        <v>110000</v>
      </c>
      <c r="P42" s="127">
        <v>42361</v>
      </c>
    </row>
    <row r="43" spans="1:16" x14ac:dyDescent="0.25">
      <c r="A43" s="147"/>
      <c r="B43" s="160"/>
      <c r="C43" s="161"/>
      <c r="D43" s="38"/>
      <c r="E43" s="95"/>
      <c r="F43" s="41"/>
      <c r="G43" s="162"/>
      <c r="K43" s="98" t="s">
        <v>39</v>
      </c>
      <c r="L43" s="94">
        <v>256564</v>
      </c>
      <c r="M43" s="128"/>
      <c r="N43" s="125">
        <v>3358471</v>
      </c>
      <c r="O43" s="126">
        <v>50000</v>
      </c>
      <c r="P43" s="127">
        <v>42361</v>
      </c>
    </row>
    <row r="44" spans="1:16" x14ac:dyDescent="0.25">
      <c r="A44" s="147"/>
      <c r="B44" s="160"/>
      <c r="C44" s="161"/>
      <c r="D44" s="41"/>
      <c r="E44" s="95"/>
      <c r="F44" s="41"/>
      <c r="G44" s="162"/>
      <c r="K44" s="93" t="s">
        <v>40</v>
      </c>
      <c r="L44" s="94">
        <v>214497.17</v>
      </c>
      <c r="M44" s="129" t="s">
        <v>37</v>
      </c>
      <c r="N44" s="125">
        <v>3237970</v>
      </c>
      <c r="O44" s="126">
        <v>27000</v>
      </c>
      <c r="P44" s="127">
        <v>42361</v>
      </c>
    </row>
    <row r="45" spans="1:16" ht="15" x14ac:dyDescent="0.25">
      <c r="A45" s="163"/>
      <c r="B45" s="160"/>
      <c r="C45" s="161"/>
      <c r="D45" s="41"/>
      <c r="E45" s="95"/>
      <c r="F45" s="41"/>
      <c r="G45" s="162"/>
      <c r="K45" s="93"/>
      <c r="L45" s="94"/>
      <c r="M45" s="124"/>
      <c r="N45" s="130">
        <v>3237966</v>
      </c>
      <c r="O45" s="131">
        <v>35304.5</v>
      </c>
      <c r="P45" s="127">
        <v>42362</v>
      </c>
    </row>
    <row r="46" spans="1:16" ht="15" x14ac:dyDescent="0.25">
      <c r="A46" s="163"/>
      <c r="B46" s="160"/>
      <c r="C46" s="161"/>
      <c r="D46" s="41"/>
      <c r="E46" s="95"/>
      <c r="F46" s="41"/>
      <c r="G46" s="162"/>
      <c r="K46" s="93"/>
      <c r="L46" s="94"/>
      <c r="M46" s="124"/>
      <c r="N46" s="130">
        <v>3237969</v>
      </c>
      <c r="O46" s="131">
        <v>67511.5</v>
      </c>
      <c r="P46" s="127">
        <v>42361</v>
      </c>
    </row>
    <row r="47" spans="1:16" ht="15" x14ac:dyDescent="0.25">
      <c r="A47" s="163"/>
      <c r="B47" s="160"/>
      <c r="C47" s="161"/>
      <c r="D47" s="41"/>
      <c r="E47" s="95"/>
      <c r="F47" s="41"/>
      <c r="G47" s="162"/>
      <c r="K47" s="93"/>
      <c r="L47" s="132"/>
      <c r="M47" s="124"/>
      <c r="N47" s="130">
        <v>3237967</v>
      </c>
      <c r="O47" s="131">
        <v>75000</v>
      </c>
      <c r="P47" s="127">
        <v>42362</v>
      </c>
    </row>
    <row r="48" spans="1:16" ht="15" x14ac:dyDescent="0.25">
      <c r="A48" s="163"/>
      <c r="B48" s="160"/>
      <c r="C48" s="161"/>
      <c r="D48" s="41"/>
      <c r="E48" s="95"/>
      <c r="F48" s="41"/>
      <c r="G48" s="162"/>
      <c r="K48" s="133"/>
      <c r="L48" s="134"/>
      <c r="M48" s="128"/>
      <c r="N48" s="135">
        <v>3237968</v>
      </c>
      <c r="O48" s="136">
        <v>95000</v>
      </c>
      <c r="P48" s="137">
        <v>42362</v>
      </c>
    </row>
    <row r="49" spans="1:17" ht="15" x14ac:dyDescent="0.25">
      <c r="A49" s="163"/>
      <c r="B49" s="160"/>
      <c r="C49" s="161"/>
      <c r="D49" s="41"/>
      <c r="E49" s="95"/>
      <c r="F49" s="41"/>
      <c r="G49" s="162"/>
      <c r="K49" s="133"/>
      <c r="L49" s="134"/>
      <c r="M49" s="128"/>
      <c r="N49" s="135">
        <v>3237965</v>
      </c>
      <c r="O49" s="136">
        <v>35732</v>
      </c>
      <c r="P49" s="137">
        <v>42362</v>
      </c>
    </row>
    <row r="50" spans="1:17" ht="15" x14ac:dyDescent="0.25">
      <c r="A50" s="163"/>
      <c r="B50" s="160"/>
      <c r="C50" s="161"/>
      <c r="D50" s="41"/>
      <c r="E50" s="95"/>
      <c r="F50" s="41"/>
      <c r="G50" s="162"/>
      <c r="K50" s="133"/>
      <c r="L50" s="134"/>
      <c r="M50" s="128"/>
      <c r="N50" s="135" t="s">
        <v>31</v>
      </c>
      <c r="O50" s="136">
        <v>15541.5</v>
      </c>
      <c r="P50" s="137">
        <v>42352</v>
      </c>
      <c r="Q50" s="145">
        <v>42364</v>
      </c>
    </row>
    <row r="51" spans="1:17" ht="15" x14ac:dyDescent="0.25">
      <c r="A51" s="163"/>
      <c r="B51" s="160"/>
      <c r="C51" s="161"/>
      <c r="D51" s="41"/>
      <c r="E51" s="95"/>
      <c r="F51" s="41"/>
      <c r="G51" s="162"/>
      <c r="K51" s="133"/>
      <c r="L51" s="134"/>
      <c r="M51" s="128"/>
      <c r="N51" s="135" t="s">
        <v>31</v>
      </c>
      <c r="O51" s="136">
        <v>13866.5</v>
      </c>
      <c r="P51" s="137">
        <v>42352</v>
      </c>
      <c r="Q51" s="145">
        <v>42364</v>
      </c>
    </row>
    <row r="52" spans="1:17" ht="15" x14ac:dyDescent="0.25">
      <c r="A52" s="163"/>
      <c r="B52" s="160"/>
      <c r="C52" s="161"/>
      <c r="D52" s="41"/>
      <c r="E52" s="95"/>
      <c r="F52" s="41"/>
      <c r="G52" s="162"/>
      <c r="K52" s="133"/>
      <c r="L52" s="134"/>
      <c r="M52" s="128"/>
      <c r="N52" s="135" t="s">
        <v>31</v>
      </c>
      <c r="O52" s="136">
        <v>13500</v>
      </c>
      <c r="P52" s="137">
        <v>42353</v>
      </c>
      <c r="Q52" s="145">
        <v>42364</v>
      </c>
    </row>
    <row r="53" spans="1:17" ht="15" x14ac:dyDescent="0.25">
      <c r="A53" s="163"/>
      <c r="B53" s="160"/>
      <c r="C53" s="161"/>
      <c r="D53" s="41"/>
      <c r="E53" s="95"/>
      <c r="F53" s="41"/>
      <c r="G53" s="162"/>
      <c r="K53" s="133"/>
      <c r="L53" s="134"/>
      <c r="M53" s="128"/>
      <c r="N53" s="135">
        <v>3237964</v>
      </c>
      <c r="O53" s="136">
        <v>94000</v>
      </c>
      <c r="P53" s="137">
        <v>42364</v>
      </c>
    </row>
    <row r="54" spans="1:17" ht="15" x14ac:dyDescent="0.25">
      <c r="A54" s="163"/>
      <c r="B54" s="160"/>
      <c r="C54" s="161"/>
      <c r="D54" s="41"/>
      <c r="E54" s="95"/>
      <c r="F54" s="41"/>
      <c r="G54" s="162"/>
      <c r="K54" s="133"/>
      <c r="L54" s="134"/>
      <c r="M54" s="128"/>
      <c r="N54" s="135">
        <v>3237963</v>
      </c>
      <c r="O54" s="136">
        <v>47000</v>
      </c>
      <c r="P54" s="137">
        <v>42364</v>
      </c>
    </row>
    <row r="55" spans="1:17" ht="15" x14ac:dyDescent="0.25">
      <c r="A55" s="163"/>
      <c r="B55" s="160"/>
      <c r="C55" s="161"/>
      <c r="D55" s="41"/>
      <c r="E55" s="95"/>
      <c r="F55" s="41"/>
      <c r="G55" s="162"/>
      <c r="K55" s="133"/>
      <c r="L55" s="134"/>
      <c r="M55" s="128"/>
      <c r="N55" s="135">
        <v>3237962</v>
      </c>
      <c r="O55" s="136">
        <v>35000</v>
      </c>
      <c r="P55" s="137">
        <v>42364</v>
      </c>
    </row>
    <row r="56" spans="1:17" ht="15" x14ac:dyDescent="0.25">
      <c r="A56" s="163"/>
      <c r="B56" s="160"/>
      <c r="C56" s="161"/>
      <c r="D56" s="41"/>
      <c r="E56" s="95"/>
      <c r="F56" s="41"/>
      <c r="G56" s="162"/>
      <c r="K56" s="133"/>
      <c r="L56" s="134"/>
      <c r="M56" s="128"/>
      <c r="N56" s="135">
        <v>3237961</v>
      </c>
      <c r="O56" s="136">
        <v>30000</v>
      </c>
      <c r="P56" s="137">
        <v>42364</v>
      </c>
    </row>
    <row r="57" spans="1:17" ht="15" x14ac:dyDescent="0.25">
      <c r="A57" s="163"/>
      <c r="B57" s="160"/>
      <c r="C57" s="161"/>
      <c r="D57" s="41"/>
      <c r="E57" s="95"/>
      <c r="F57" s="41"/>
      <c r="G57" s="162"/>
      <c r="K57" s="133"/>
      <c r="L57" s="134"/>
      <c r="M57" s="128"/>
      <c r="N57" s="135" t="s">
        <v>31</v>
      </c>
      <c r="O57" s="136">
        <v>110000</v>
      </c>
      <c r="P57" s="137">
        <v>42367</v>
      </c>
      <c r="Q57" s="145">
        <v>42365</v>
      </c>
    </row>
    <row r="58" spans="1:17" ht="15" x14ac:dyDescent="0.25">
      <c r="A58" s="163"/>
      <c r="B58" s="160"/>
      <c r="C58" s="161"/>
      <c r="D58" s="41"/>
      <c r="E58" s="95"/>
      <c r="F58" s="41"/>
      <c r="G58" s="162"/>
      <c r="K58" s="133"/>
      <c r="L58" s="134"/>
      <c r="M58" s="128"/>
      <c r="N58" s="135">
        <v>3237959</v>
      </c>
      <c r="O58" s="136">
        <v>50000</v>
      </c>
      <c r="P58" s="137">
        <v>42365</v>
      </c>
    </row>
    <row r="59" spans="1:17" thickBot="1" x14ac:dyDescent="0.3">
      <c r="A59" s="163"/>
      <c r="B59" s="160"/>
      <c r="C59" s="161"/>
      <c r="D59" s="41"/>
      <c r="E59" s="95"/>
      <c r="F59" s="41"/>
      <c r="G59" s="162"/>
      <c r="K59" s="138"/>
      <c r="L59" s="138"/>
      <c r="M59" s="138"/>
      <c r="N59" s="139"/>
      <c r="O59" s="140">
        <v>0</v>
      </c>
      <c r="P59" s="141"/>
    </row>
    <row r="60" spans="1:17" ht="19.5" thickTop="1" x14ac:dyDescent="0.3">
      <c r="A60" s="163"/>
      <c r="B60" s="160"/>
      <c r="C60" s="161"/>
      <c r="D60" s="41"/>
      <c r="E60" s="95"/>
      <c r="F60" s="41"/>
      <c r="G60" s="162"/>
      <c r="K60" s="67"/>
      <c r="L60" s="142">
        <f>SUM(L38:L59)</f>
        <v>1090422.5</v>
      </c>
      <c r="M60" s="143"/>
      <c r="N60" s="143"/>
      <c r="O60" s="143">
        <f>SUM(O38:O59)</f>
        <v>1090422.5</v>
      </c>
      <c r="P60" s="144"/>
    </row>
    <row r="61" spans="1:17" ht="15" x14ac:dyDescent="0.25">
      <c r="A61" s="163"/>
      <c r="B61" s="160"/>
      <c r="C61" s="161"/>
      <c r="D61" s="41"/>
      <c r="E61" s="95"/>
      <c r="F61" s="41"/>
      <c r="G61" s="162"/>
    </row>
    <row r="62" spans="1:17" ht="15" x14ac:dyDescent="0.25">
      <c r="A62" s="163"/>
      <c r="B62" s="160"/>
      <c r="C62" s="161"/>
      <c r="D62" s="41"/>
      <c r="E62" s="95"/>
      <c r="F62" s="41"/>
      <c r="G62" s="162"/>
    </row>
    <row r="63" spans="1:17" ht="15" x14ac:dyDescent="0.25">
      <c r="A63" s="147"/>
      <c r="B63" s="160"/>
      <c r="C63" s="161"/>
      <c r="D63" s="41"/>
      <c r="E63" s="95"/>
      <c r="F63" s="41"/>
      <c r="G63" s="162"/>
    </row>
    <row r="64" spans="1:17" thickBot="1" x14ac:dyDescent="0.3">
      <c r="A64" s="147"/>
      <c r="B64" s="160"/>
      <c r="C64" s="161"/>
      <c r="D64" s="41"/>
      <c r="E64" s="95"/>
      <c r="F64" s="41"/>
      <c r="G64" s="162"/>
    </row>
    <row r="65" spans="1:16" ht="19.5" thickBot="1" x14ac:dyDescent="0.35">
      <c r="A65" s="147"/>
      <c r="B65" s="160"/>
      <c r="C65" s="161"/>
      <c r="D65" s="41"/>
      <c r="E65" s="95"/>
      <c r="F65" s="164"/>
      <c r="G65" s="162"/>
      <c r="K65" s="343">
        <v>1</v>
      </c>
      <c r="L65" s="86" t="s">
        <v>28</v>
      </c>
      <c r="M65" s="86"/>
      <c r="N65" s="110"/>
      <c r="O65" s="148">
        <v>42396</v>
      </c>
      <c r="P65" s="112"/>
    </row>
    <row r="66" spans="1:16" ht="16.5" thickBot="1" x14ac:dyDescent="0.3">
      <c r="A66" s="147"/>
      <c r="B66" s="160"/>
      <c r="C66" s="161"/>
      <c r="D66" s="41"/>
      <c r="E66" s="102"/>
      <c r="F66" s="164"/>
      <c r="G66" s="162"/>
      <c r="K66" s="344"/>
      <c r="L66" s="113"/>
      <c r="M66" s="113"/>
      <c r="N66" s="114"/>
      <c r="O66" s="115"/>
      <c r="P66" s="112"/>
    </row>
    <row r="67" spans="1:16" ht="16.5" thickBot="1" x14ac:dyDescent="0.3">
      <c r="A67" s="147"/>
      <c r="B67" s="160"/>
      <c r="C67" s="161"/>
      <c r="D67" s="41"/>
      <c r="E67" s="102"/>
      <c r="F67" s="164"/>
      <c r="G67" s="162"/>
      <c r="K67" s="116" t="s">
        <v>23</v>
      </c>
      <c r="L67" s="116" t="s">
        <v>24</v>
      </c>
      <c r="M67" s="116"/>
      <c r="N67" s="117" t="s">
        <v>29</v>
      </c>
      <c r="O67" s="118" t="s">
        <v>30</v>
      </c>
      <c r="P67" s="119"/>
    </row>
    <row r="68" spans="1:16" ht="19.5" customHeight="1" thickTop="1" x14ac:dyDescent="0.25">
      <c r="A68" s="67"/>
      <c r="B68" s="160"/>
      <c r="C68" s="161"/>
      <c r="D68" s="41"/>
      <c r="E68" s="103"/>
      <c r="F68" s="41"/>
      <c r="G68" s="162"/>
      <c r="K68" s="93" t="s">
        <v>40</v>
      </c>
      <c r="L68" s="94">
        <v>13082.189</v>
      </c>
      <c r="M68" s="120" t="s">
        <v>36</v>
      </c>
      <c r="N68" s="121">
        <v>3237960</v>
      </c>
      <c r="O68" s="122">
        <v>24915.5</v>
      </c>
      <c r="P68" s="123">
        <v>42364</v>
      </c>
    </row>
    <row r="69" spans="1:16" ht="16.5" customHeight="1" x14ac:dyDescent="0.25">
      <c r="A69" s="67"/>
      <c r="B69" s="160"/>
      <c r="C69" s="161"/>
      <c r="D69" s="41"/>
      <c r="E69" s="103"/>
      <c r="F69" s="41"/>
      <c r="G69" s="162"/>
      <c r="K69" s="93" t="s">
        <v>44</v>
      </c>
      <c r="L69" s="94">
        <v>268326</v>
      </c>
      <c r="M69" s="124"/>
      <c r="N69" s="125">
        <v>3237958</v>
      </c>
      <c r="O69" s="126">
        <v>22295.5</v>
      </c>
      <c r="P69" s="127">
        <v>42365</v>
      </c>
    </row>
    <row r="70" spans="1:16" x14ac:dyDescent="0.25">
      <c r="A70" s="67"/>
      <c r="B70" s="160"/>
      <c r="C70" s="161"/>
      <c r="D70" s="41"/>
      <c r="E70" s="103"/>
      <c r="F70" s="41"/>
      <c r="G70" s="162"/>
      <c r="K70" s="93" t="s">
        <v>45</v>
      </c>
      <c r="L70" s="94">
        <v>231464.75</v>
      </c>
      <c r="M70" s="124"/>
      <c r="N70" s="125">
        <v>3237956</v>
      </c>
      <c r="O70" s="126">
        <v>55000</v>
      </c>
      <c r="P70" s="127">
        <v>42366</v>
      </c>
    </row>
    <row r="71" spans="1:16" x14ac:dyDescent="0.25">
      <c r="A71" s="67"/>
      <c r="B71" s="160"/>
      <c r="C71" s="161"/>
      <c r="D71" s="41"/>
      <c r="E71" s="103"/>
      <c r="F71" s="41"/>
      <c r="G71" s="162"/>
      <c r="K71" s="93" t="s">
        <v>46</v>
      </c>
      <c r="L71" s="100">
        <v>105831.6</v>
      </c>
      <c r="M71" s="124"/>
      <c r="N71" s="125">
        <v>3237955</v>
      </c>
      <c r="O71" s="126">
        <v>23660</v>
      </c>
      <c r="P71" s="127">
        <v>42366</v>
      </c>
    </row>
    <row r="72" spans="1:16" x14ac:dyDescent="0.25">
      <c r="A72" s="67"/>
      <c r="B72" s="160"/>
      <c r="C72" s="161"/>
      <c r="D72" s="41"/>
      <c r="E72" s="103"/>
      <c r="F72" s="41"/>
      <c r="G72" s="162"/>
      <c r="K72" s="93" t="s">
        <v>47</v>
      </c>
      <c r="L72" s="94">
        <v>30131</v>
      </c>
      <c r="M72" s="124"/>
      <c r="N72" s="125">
        <v>3237954</v>
      </c>
      <c r="O72" s="126">
        <v>75000</v>
      </c>
      <c r="P72" s="127">
        <v>42367</v>
      </c>
    </row>
    <row r="73" spans="1:16" x14ac:dyDescent="0.25">
      <c r="A73" s="67"/>
      <c r="B73" s="160"/>
      <c r="C73" s="161"/>
      <c r="D73" s="41"/>
      <c r="E73" s="103"/>
      <c r="F73" s="41"/>
      <c r="G73" s="162"/>
      <c r="K73" s="93" t="s">
        <v>62</v>
      </c>
      <c r="L73" s="94">
        <v>341765</v>
      </c>
      <c r="M73" s="128"/>
      <c r="N73" s="125">
        <v>3237953</v>
      </c>
      <c r="O73" s="126">
        <v>29929</v>
      </c>
      <c r="P73" s="127">
        <v>42367</v>
      </c>
    </row>
    <row r="74" spans="1:16" x14ac:dyDescent="0.25">
      <c r="A74" s="67"/>
      <c r="B74" s="160"/>
      <c r="C74" s="161"/>
      <c r="D74" s="41"/>
      <c r="E74" s="103"/>
      <c r="F74" s="41"/>
      <c r="G74" s="162"/>
      <c r="K74" s="93" t="s">
        <v>61</v>
      </c>
      <c r="L74" s="94">
        <v>196047.96</v>
      </c>
      <c r="M74" s="129" t="s">
        <v>37</v>
      </c>
      <c r="N74" s="125">
        <v>3237952</v>
      </c>
      <c r="O74" s="126">
        <v>93000</v>
      </c>
      <c r="P74" s="127">
        <v>42368</v>
      </c>
    </row>
    <row r="75" spans="1:16" ht="15" x14ac:dyDescent="0.25">
      <c r="A75" s="67"/>
      <c r="B75" s="160"/>
      <c r="C75" s="161"/>
      <c r="D75" s="41"/>
      <c r="E75" s="103"/>
      <c r="F75" s="41"/>
      <c r="G75" s="162"/>
      <c r="K75" s="93"/>
      <c r="L75" s="94"/>
      <c r="M75" s="124"/>
      <c r="N75" s="130">
        <v>3237951</v>
      </c>
      <c r="O75" s="131">
        <v>80000</v>
      </c>
      <c r="P75" s="127">
        <v>42368</v>
      </c>
    </row>
    <row r="76" spans="1:16" ht="15" x14ac:dyDescent="0.25">
      <c r="A76" s="67"/>
      <c r="B76" s="147"/>
      <c r="C76" s="147"/>
      <c r="D76" s="41"/>
      <c r="E76" s="147"/>
      <c r="F76" s="165"/>
      <c r="G76" s="162"/>
      <c r="K76" s="93"/>
      <c r="L76" s="94"/>
      <c r="M76" s="124"/>
      <c r="N76" s="130">
        <v>3237980</v>
      </c>
      <c r="O76" s="131">
        <v>20000</v>
      </c>
      <c r="P76" s="127">
        <v>42368</v>
      </c>
    </row>
    <row r="77" spans="1:16" x14ac:dyDescent="0.25">
      <c r="A77" s="67"/>
      <c r="B77" s="67"/>
      <c r="C77" s="67"/>
      <c r="D77" s="166"/>
      <c r="E77" s="166"/>
      <c r="F77" s="167"/>
      <c r="G77" s="167"/>
      <c r="K77" s="93"/>
      <c r="L77" s="132"/>
      <c r="M77" s="124"/>
      <c r="N77" s="130">
        <v>3237979</v>
      </c>
      <c r="O77" s="131">
        <v>25126</v>
      </c>
      <c r="P77" s="127">
        <v>42368</v>
      </c>
    </row>
    <row r="78" spans="1:16" x14ac:dyDescent="0.25">
      <c r="A78" s="67"/>
      <c r="B78" s="168"/>
      <c r="C78" s="169"/>
      <c r="D78" s="67"/>
      <c r="E78" s="170"/>
      <c r="F78" s="165"/>
      <c r="G78" s="147"/>
      <c r="K78" s="133"/>
      <c r="L78" s="134"/>
      <c r="M78" s="128"/>
      <c r="N78" s="135">
        <v>3237978</v>
      </c>
      <c r="O78" s="136">
        <v>67500</v>
      </c>
      <c r="P78" s="137">
        <v>42369</v>
      </c>
    </row>
    <row r="79" spans="1:16" x14ac:dyDescent="0.25">
      <c r="K79" s="133"/>
      <c r="L79" s="134"/>
      <c r="M79" s="128"/>
      <c r="N79" s="135">
        <v>3237977</v>
      </c>
      <c r="O79" s="136">
        <v>29741.5</v>
      </c>
      <c r="P79" s="137">
        <v>42369</v>
      </c>
    </row>
    <row r="80" spans="1:16" x14ac:dyDescent="0.25">
      <c r="K80" s="133"/>
      <c r="L80" s="134"/>
      <c r="M80" s="128"/>
      <c r="N80" s="135">
        <v>3237976</v>
      </c>
      <c r="O80" s="136">
        <v>70000</v>
      </c>
      <c r="P80" s="137">
        <v>42371</v>
      </c>
    </row>
    <row r="81" spans="11:17" customFormat="1" ht="15" x14ac:dyDescent="0.25">
      <c r="K81" s="133"/>
      <c r="L81" s="134"/>
      <c r="M81" s="128"/>
      <c r="N81" s="135">
        <v>3237975</v>
      </c>
      <c r="O81" s="136">
        <v>17025.5</v>
      </c>
      <c r="P81" s="137">
        <v>42371</v>
      </c>
    </row>
    <row r="82" spans="11:17" customFormat="1" ht="15" x14ac:dyDescent="0.25">
      <c r="K82" s="133"/>
      <c r="L82" s="134"/>
      <c r="M82" s="128"/>
      <c r="N82" s="135">
        <v>3237974</v>
      </c>
      <c r="O82" s="136">
        <v>15000</v>
      </c>
      <c r="P82" s="137">
        <v>42372</v>
      </c>
    </row>
    <row r="83" spans="11:17" customFormat="1" ht="15" x14ac:dyDescent="0.25">
      <c r="K83" s="133"/>
      <c r="L83" s="134"/>
      <c r="M83" s="128"/>
      <c r="N83" s="135" t="s">
        <v>31</v>
      </c>
      <c r="O83" s="136">
        <v>34039</v>
      </c>
      <c r="P83" s="137">
        <v>42366</v>
      </c>
      <c r="Q83" s="159">
        <v>42372</v>
      </c>
    </row>
    <row r="84" spans="11:17" customFormat="1" ht="15" x14ac:dyDescent="0.25">
      <c r="K84" s="133"/>
      <c r="L84" s="134"/>
      <c r="M84" s="128"/>
      <c r="N84" s="135" t="s">
        <v>31</v>
      </c>
      <c r="O84" s="136">
        <v>8234</v>
      </c>
      <c r="P84" s="137">
        <v>42367</v>
      </c>
      <c r="Q84" s="159">
        <v>42372</v>
      </c>
    </row>
    <row r="85" spans="11:17" customFormat="1" ht="15" x14ac:dyDescent="0.25">
      <c r="K85" s="133"/>
      <c r="L85" s="134"/>
      <c r="M85" s="128"/>
      <c r="N85" s="135" t="s">
        <v>31</v>
      </c>
      <c r="O85" s="136">
        <v>5672</v>
      </c>
      <c r="P85" s="137">
        <v>42367</v>
      </c>
      <c r="Q85" s="159">
        <v>42372</v>
      </c>
    </row>
    <row r="86" spans="11:17" customFormat="1" ht="15" x14ac:dyDescent="0.25">
      <c r="K86" s="133"/>
      <c r="L86" s="134"/>
      <c r="M86" s="128"/>
      <c r="N86" s="135">
        <v>3237973</v>
      </c>
      <c r="O86" s="136">
        <v>24057</v>
      </c>
      <c r="P86" s="137">
        <v>42372</v>
      </c>
    </row>
    <row r="87" spans="11:17" customFormat="1" ht="15" x14ac:dyDescent="0.25">
      <c r="K87" s="133"/>
      <c r="L87" s="134"/>
      <c r="M87" s="128"/>
      <c r="N87" s="135" t="s">
        <v>31</v>
      </c>
      <c r="O87" s="136">
        <v>99325</v>
      </c>
      <c r="P87" s="137">
        <v>42375</v>
      </c>
      <c r="Q87" s="159">
        <v>42373</v>
      </c>
    </row>
    <row r="88" spans="11:17" customFormat="1" ht="15" x14ac:dyDescent="0.25">
      <c r="K88" s="133"/>
      <c r="L88" s="134"/>
      <c r="M88" s="128"/>
      <c r="N88" s="135" t="s">
        <v>31</v>
      </c>
      <c r="O88" s="136">
        <v>17240</v>
      </c>
      <c r="P88" s="137">
        <v>42374</v>
      </c>
      <c r="Q88" s="159">
        <v>42373</v>
      </c>
    </row>
    <row r="89" spans="11:17" customFormat="1" ht="15" x14ac:dyDescent="0.25">
      <c r="K89" s="133"/>
      <c r="L89" s="134"/>
      <c r="M89" s="128"/>
      <c r="N89" s="135" t="s">
        <v>31</v>
      </c>
      <c r="O89" s="136">
        <v>18792</v>
      </c>
      <c r="P89" s="137">
        <v>42374</v>
      </c>
      <c r="Q89" s="159">
        <v>42373</v>
      </c>
    </row>
    <row r="90" spans="11:17" customFormat="1" ht="15" x14ac:dyDescent="0.25">
      <c r="K90" s="133"/>
      <c r="L90" s="134"/>
      <c r="M90" s="128"/>
      <c r="N90" s="135">
        <v>3237990</v>
      </c>
      <c r="O90" s="136">
        <v>60000</v>
      </c>
      <c r="P90" s="137">
        <v>42373</v>
      </c>
      <c r="Q90" s="159"/>
    </row>
    <row r="91" spans="11:17" customFormat="1" ht="15" x14ac:dyDescent="0.25">
      <c r="K91" s="133"/>
      <c r="L91" s="134"/>
      <c r="M91" s="128"/>
      <c r="N91" s="135">
        <v>3237989</v>
      </c>
      <c r="O91" s="136">
        <v>19822.5</v>
      </c>
      <c r="P91" s="137">
        <v>42373</v>
      </c>
      <c r="Q91" s="159"/>
    </row>
    <row r="92" spans="11:17" customFormat="1" ht="15" x14ac:dyDescent="0.25">
      <c r="K92" s="133"/>
      <c r="L92" s="134"/>
      <c r="M92" s="128"/>
      <c r="N92" s="135" t="s">
        <v>31</v>
      </c>
      <c r="O92" s="136">
        <v>10027</v>
      </c>
      <c r="P92" s="137">
        <v>42377</v>
      </c>
      <c r="Q92" s="159">
        <v>42374</v>
      </c>
    </row>
    <row r="93" spans="11:17" customFormat="1" ht="15" x14ac:dyDescent="0.25">
      <c r="K93" s="133"/>
      <c r="L93" s="134"/>
      <c r="M93" s="128"/>
      <c r="N93" s="135">
        <v>3237971</v>
      </c>
      <c r="O93" s="136">
        <v>49600</v>
      </c>
      <c r="P93" s="137">
        <v>42374</v>
      </c>
    </row>
    <row r="94" spans="11:17" customFormat="1" ht="15" x14ac:dyDescent="0.25">
      <c r="K94" s="133"/>
      <c r="L94" s="134"/>
      <c r="M94" s="128"/>
      <c r="N94" s="135">
        <v>3237972</v>
      </c>
      <c r="O94" s="136">
        <v>35274</v>
      </c>
      <c r="P94" s="137">
        <v>42374</v>
      </c>
    </row>
    <row r="95" spans="11:17" customFormat="1" ht="15" x14ac:dyDescent="0.25">
      <c r="K95" s="133"/>
      <c r="L95" s="134"/>
      <c r="M95" s="128"/>
      <c r="N95" s="135" t="s">
        <v>31</v>
      </c>
      <c r="O95" s="136">
        <v>3705</v>
      </c>
      <c r="P95" s="137">
        <v>42374</v>
      </c>
    </row>
    <row r="96" spans="11:17" customFormat="1" ht="15" x14ac:dyDescent="0.25">
      <c r="K96" s="133"/>
      <c r="L96" s="134"/>
      <c r="M96" s="128"/>
      <c r="N96" s="135" t="s">
        <v>31</v>
      </c>
      <c r="O96" s="136">
        <v>32200</v>
      </c>
      <c r="P96" s="137">
        <v>42374</v>
      </c>
    </row>
    <row r="97" spans="2:16" x14ac:dyDescent="0.25">
      <c r="K97" s="133"/>
      <c r="L97" s="134"/>
      <c r="M97" s="128"/>
      <c r="N97" s="135" t="s">
        <v>31</v>
      </c>
      <c r="O97" s="136">
        <v>6268</v>
      </c>
      <c r="P97" s="137">
        <v>42374</v>
      </c>
    </row>
    <row r="98" spans="2:16" x14ac:dyDescent="0.25">
      <c r="K98" s="133"/>
      <c r="L98" s="134"/>
      <c r="M98" s="128"/>
      <c r="N98" s="135">
        <v>3237988</v>
      </c>
      <c r="O98" s="136">
        <v>18591.5</v>
      </c>
      <c r="P98" s="137">
        <v>42375</v>
      </c>
    </row>
    <row r="99" spans="2:16" x14ac:dyDescent="0.25">
      <c r="K99" s="133"/>
      <c r="L99" s="134"/>
      <c r="M99" s="128"/>
      <c r="N99" s="135">
        <v>3237987</v>
      </c>
      <c r="O99" s="136">
        <v>53608.5</v>
      </c>
      <c r="P99" s="137">
        <v>42376</v>
      </c>
    </row>
    <row r="100" spans="2:16" ht="16.5" thickBot="1" x14ac:dyDescent="0.3">
      <c r="K100" s="138"/>
      <c r="L100" s="138"/>
      <c r="M100" s="138"/>
      <c r="N100" s="139">
        <v>3237995</v>
      </c>
      <c r="O100" s="140">
        <v>42000</v>
      </c>
      <c r="P100" s="141">
        <v>42382</v>
      </c>
    </row>
    <row r="101" spans="2:16" ht="19.5" thickTop="1" x14ac:dyDescent="0.3">
      <c r="K101" s="67"/>
      <c r="L101" s="142">
        <f>SUM(L68:L100)</f>
        <v>1186648.4990000001</v>
      </c>
      <c r="M101" s="143"/>
      <c r="N101" s="143"/>
      <c r="O101" s="143">
        <f>SUM(O68:O100)</f>
        <v>1186648.5</v>
      </c>
      <c r="P101" s="144"/>
    </row>
    <row r="109" spans="2:16" ht="15" x14ac:dyDescent="0.25">
      <c r="B109"/>
      <c r="C109"/>
      <c r="E109"/>
      <c r="F109" s="14"/>
    </row>
    <row r="110" spans="2:16" ht="19.5" customHeight="1" x14ac:dyDescent="0.25">
      <c r="B110"/>
      <c r="C110"/>
      <c r="E110"/>
      <c r="F110" s="14"/>
    </row>
    <row r="111" spans="2:16" ht="16.5" customHeight="1" x14ac:dyDescent="0.25">
      <c r="B111"/>
      <c r="C111"/>
      <c r="E111"/>
      <c r="F111" s="14"/>
    </row>
    <row r="112" spans="2:16" ht="15" x14ac:dyDescent="0.25">
      <c r="B112"/>
      <c r="C112"/>
      <c r="E112"/>
      <c r="F112" s="14"/>
    </row>
    <row r="113" spans="2:9" ht="15" x14ac:dyDescent="0.25">
      <c r="B113"/>
      <c r="C113"/>
      <c r="E113"/>
      <c r="F113" s="14"/>
    </row>
    <row r="114" spans="2:9" ht="15" x14ac:dyDescent="0.25">
      <c r="B114"/>
      <c r="C114"/>
      <c r="E114"/>
      <c r="F114" s="14"/>
    </row>
    <row r="115" spans="2:9" ht="15" x14ac:dyDescent="0.25">
      <c r="B115"/>
      <c r="C115"/>
      <c r="E115"/>
      <c r="F115" s="14"/>
    </row>
    <row r="116" spans="2:9" ht="15" x14ac:dyDescent="0.25">
      <c r="B116"/>
      <c r="C116"/>
      <c r="E116"/>
      <c r="F116" s="14"/>
    </row>
    <row r="117" spans="2:9" ht="15" x14ac:dyDescent="0.25">
      <c r="B117"/>
      <c r="C117"/>
      <c r="E117"/>
      <c r="F117" s="14"/>
    </row>
    <row r="118" spans="2:9" ht="15" x14ac:dyDescent="0.25">
      <c r="B118"/>
      <c r="C118"/>
      <c r="E118"/>
      <c r="F118" s="14"/>
    </row>
    <row r="119" spans="2:9" ht="15" x14ac:dyDescent="0.25">
      <c r="B119"/>
      <c r="C119"/>
      <c r="E119"/>
      <c r="F119" s="14"/>
      <c r="G119"/>
      <c r="H119"/>
      <c r="I119"/>
    </row>
    <row r="120" spans="2:9" ht="15" x14ac:dyDescent="0.25">
      <c r="B120"/>
      <c r="C120"/>
      <c r="E120"/>
      <c r="F120" s="14"/>
      <c r="G120"/>
      <c r="H120"/>
      <c r="I120"/>
    </row>
    <row r="121" spans="2:9" ht="15" x14ac:dyDescent="0.25">
      <c r="B121"/>
      <c r="C121"/>
      <c r="E121"/>
      <c r="F121" s="14"/>
      <c r="G121"/>
      <c r="H121"/>
      <c r="I121"/>
    </row>
    <row r="122" spans="2:9" ht="15" x14ac:dyDescent="0.25">
      <c r="B122"/>
      <c r="C122"/>
      <c r="E122"/>
      <c r="F122" s="14"/>
      <c r="G122"/>
      <c r="H122"/>
      <c r="I122"/>
    </row>
    <row r="123" spans="2:9" ht="15" x14ac:dyDescent="0.25">
      <c r="B123"/>
      <c r="C123"/>
      <c r="E123"/>
      <c r="F123" s="14"/>
      <c r="G123"/>
      <c r="H123"/>
      <c r="I123"/>
    </row>
    <row r="124" spans="2:9" ht="15" x14ac:dyDescent="0.25">
      <c r="B124"/>
      <c r="C124"/>
      <c r="E124"/>
      <c r="F124" s="14"/>
      <c r="G124"/>
      <c r="H124"/>
      <c r="I124"/>
    </row>
    <row r="125" spans="2:9" ht="15" x14ac:dyDescent="0.25">
      <c r="B125"/>
      <c r="C125"/>
      <c r="E125"/>
      <c r="F125" s="14"/>
      <c r="G125"/>
      <c r="H125"/>
      <c r="I125"/>
    </row>
    <row r="126" spans="2:9" ht="15" x14ac:dyDescent="0.25">
      <c r="B126"/>
      <c r="C126"/>
      <c r="E126"/>
      <c r="F126" s="14"/>
      <c r="G126"/>
      <c r="H126"/>
      <c r="I126"/>
    </row>
    <row r="127" spans="2:9" ht="15" x14ac:dyDescent="0.25">
      <c r="B127"/>
      <c r="C127"/>
      <c r="E127"/>
      <c r="F127" s="14"/>
      <c r="G127"/>
      <c r="H127"/>
      <c r="I127"/>
    </row>
    <row r="128" spans="2:9" ht="15" x14ac:dyDescent="0.25">
      <c r="B128"/>
      <c r="C128"/>
      <c r="E128"/>
      <c r="F128" s="14"/>
      <c r="G128"/>
      <c r="H128"/>
      <c r="I128"/>
    </row>
    <row r="129" spans="2:9" ht="15" x14ac:dyDescent="0.25">
      <c r="B129"/>
      <c r="C129"/>
      <c r="E129"/>
      <c r="F129" s="14"/>
      <c r="G129"/>
      <c r="H129"/>
      <c r="I129"/>
    </row>
    <row r="130" spans="2:9" ht="15" x14ac:dyDescent="0.25">
      <c r="B130"/>
      <c r="C130"/>
      <c r="E130"/>
      <c r="F130" s="14"/>
      <c r="G130"/>
      <c r="H130"/>
      <c r="I130"/>
    </row>
    <row r="131" spans="2:9" ht="15" x14ac:dyDescent="0.25">
      <c r="B131"/>
      <c r="C131"/>
      <c r="E131"/>
      <c r="F131" s="14"/>
      <c r="G131"/>
      <c r="H131"/>
      <c r="I131"/>
    </row>
    <row r="132" spans="2:9" ht="15" x14ac:dyDescent="0.25">
      <c r="B132"/>
      <c r="C132"/>
      <c r="E132"/>
      <c r="F132" s="14"/>
      <c r="G132"/>
      <c r="H132"/>
      <c r="I132"/>
    </row>
    <row r="133" spans="2:9" ht="15" x14ac:dyDescent="0.25">
      <c r="B133"/>
      <c r="C133"/>
      <c r="E133"/>
      <c r="F133" s="14"/>
      <c r="G133"/>
      <c r="H133"/>
      <c r="I133"/>
    </row>
    <row r="134" spans="2:9" ht="15" x14ac:dyDescent="0.25">
      <c r="B134"/>
      <c r="C134"/>
      <c r="E134"/>
      <c r="F134" s="14"/>
      <c r="G134"/>
      <c r="H134"/>
      <c r="I134"/>
    </row>
    <row r="135" spans="2:9" ht="15" x14ac:dyDescent="0.25">
      <c r="B135"/>
      <c r="C135"/>
      <c r="E135"/>
      <c r="F135" s="14"/>
      <c r="G135"/>
      <c r="H135"/>
      <c r="I135"/>
    </row>
    <row r="136" spans="2:9" ht="15" x14ac:dyDescent="0.25">
      <c r="B136"/>
      <c r="C136"/>
      <c r="E136"/>
      <c r="F136" s="14"/>
      <c r="G136"/>
      <c r="H136"/>
      <c r="I136"/>
    </row>
    <row r="137" spans="2:9" ht="15" x14ac:dyDescent="0.25">
      <c r="B137"/>
      <c r="C137"/>
      <c r="E137"/>
      <c r="F137" s="14"/>
      <c r="G137"/>
      <c r="H137"/>
      <c r="I137"/>
    </row>
    <row r="138" spans="2:9" ht="15" x14ac:dyDescent="0.25">
      <c r="B138"/>
      <c r="C138"/>
      <c r="E138"/>
      <c r="F138" s="14"/>
      <c r="G138"/>
      <c r="H138"/>
      <c r="I138"/>
    </row>
    <row r="139" spans="2:9" ht="15" x14ac:dyDescent="0.25">
      <c r="B139"/>
      <c r="C139"/>
      <c r="E139"/>
      <c r="F139" s="14"/>
      <c r="G139"/>
      <c r="H139"/>
      <c r="I139"/>
    </row>
    <row r="140" spans="2:9" ht="15" x14ac:dyDescent="0.25">
      <c r="B140"/>
      <c r="C140"/>
      <c r="E140"/>
      <c r="F140" s="14"/>
      <c r="G140"/>
      <c r="H140"/>
      <c r="I140"/>
    </row>
    <row r="141" spans="2:9" ht="15" x14ac:dyDescent="0.25">
      <c r="B141"/>
      <c r="C141"/>
      <c r="E141"/>
      <c r="F141" s="14"/>
      <c r="G141"/>
      <c r="H141"/>
      <c r="I141"/>
    </row>
  </sheetData>
  <mergeCells count="3">
    <mergeCell ref="K1:K2"/>
    <mergeCell ref="K35:K36"/>
    <mergeCell ref="K65:K66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11"/>
  <sheetViews>
    <sheetView topLeftCell="A19" workbookViewId="0">
      <selection activeCell="H48" sqref="H48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3" max="13" width="11.42578125" style="3"/>
  </cols>
  <sheetData>
    <row r="1" spans="1:13" ht="24" customHeight="1" thickBot="1" x14ac:dyDescent="0.4">
      <c r="C1" s="334" t="s">
        <v>75</v>
      </c>
      <c r="D1" s="334"/>
      <c r="E1" s="334"/>
      <c r="F1" s="334"/>
      <c r="G1" s="334"/>
      <c r="H1" s="334"/>
      <c r="I1" s="334"/>
      <c r="J1" s="334"/>
    </row>
    <row r="2" spans="1:13" ht="19.5" customHeight="1" thickBot="1" x14ac:dyDescent="0.3">
      <c r="C2" s="4" t="s">
        <v>0</v>
      </c>
      <c r="E2" s="5"/>
      <c r="F2" s="5"/>
    </row>
    <row r="3" spans="1:13" ht="32.25" customHeight="1" thickTop="1" thickBot="1" x14ac:dyDescent="0.35">
      <c r="A3" s="6" t="s">
        <v>1</v>
      </c>
      <c r="B3" s="7"/>
      <c r="C3" s="8">
        <v>370048.27</v>
      </c>
      <c r="D3" s="9"/>
      <c r="E3" s="335" t="s">
        <v>2</v>
      </c>
      <c r="F3" s="336"/>
      <c r="I3" s="337" t="s">
        <v>3</v>
      </c>
      <c r="J3" s="338"/>
      <c r="K3" s="339"/>
      <c r="L3" s="10" t="s">
        <v>4</v>
      </c>
    </row>
    <row r="4" spans="1:13" ht="15.75" thickTop="1" x14ac:dyDescent="0.25">
      <c r="B4" s="11">
        <v>42401</v>
      </c>
      <c r="C4" s="12">
        <v>640</v>
      </c>
      <c r="D4" s="185" t="s">
        <v>81</v>
      </c>
      <c r="E4" s="186">
        <v>42401</v>
      </c>
      <c r="F4" s="13">
        <v>87203</v>
      </c>
      <c r="G4" s="14"/>
      <c r="H4" s="187">
        <v>42401</v>
      </c>
      <c r="I4" s="15">
        <v>0</v>
      </c>
      <c r="J4" s="16"/>
      <c r="K4" s="17"/>
      <c r="L4" s="18">
        <f>38633+40301+7629</f>
        <v>86563</v>
      </c>
      <c r="M4" s="33"/>
    </row>
    <row r="5" spans="1:13" x14ac:dyDescent="0.25">
      <c r="B5" s="11">
        <v>42402</v>
      </c>
      <c r="C5" s="12">
        <v>0</v>
      </c>
      <c r="D5" s="19"/>
      <c r="E5" s="20">
        <v>42402</v>
      </c>
      <c r="F5" s="13">
        <v>69903.5</v>
      </c>
      <c r="G5" s="21"/>
      <c r="H5" s="22">
        <v>42402</v>
      </c>
      <c r="I5" s="15">
        <v>0</v>
      </c>
      <c r="J5" s="23" t="s">
        <v>5</v>
      </c>
      <c r="K5" s="24">
        <v>738</v>
      </c>
      <c r="L5" s="18">
        <f>41000+28904.5</f>
        <v>69904.5</v>
      </c>
    </row>
    <row r="6" spans="1:13" x14ac:dyDescent="0.25">
      <c r="B6" s="11">
        <v>42403</v>
      </c>
      <c r="C6" s="12">
        <v>2250</v>
      </c>
      <c r="D6" s="19" t="s">
        <v>49</v>
      </c>
      <c r="E6" s="20">
        <v>42403</v>
      </c>
      <c r="F6" s="13">
        <v>34113.5</v>
      </c>
      <c r="G6" s="14"/>
      <c r="H6" s="22">
        <v>42403</v>
      </c>
      <c r="I6" s="15">
        <v>0</v>
      </c>
      <c r="J6" s="25" t="s">
        <v>6</v>
      </c>
      <c r="K6" s="24">
        <v>10000</v>
      </c>
      <c r="L6" s="18">
        <v>33139</v>
      </c>
    </row>
    <row r="7" spans="1:13" x14ac:dyDescent="0.25">
      <c r="B7" s="11">
        <v>42404</v>
      </c>
      <c r="C7" s="12">
        <v>7961</v>
      </c>
      <c r="D7" s="26" t="s">
        <v>49</v>
      </c>
      <c r="E7" s="20">
        <v>42404</v>
      </c>
      <c r="F7" s="13">
        <v>60986</v>
      </c>
      <c r="G7" s="14"/>
      <c r="H7" s="22">
        <v>42404</v>
      </c>
      <c r="I7" s="15">
        <v>65</v>
      </c>
      <c r="J7" s="23" t="s">
        <v>7</v>
      </c>
      <c r="K7" s="24">
        <f>7187.5+7187.5+7187.5+7187.5</f>
        <v>28750</v>
      </c>
      <c r="L7" s="18">
        <v>52960</v>
      </c>
    </row>
    <row r="8" spans="1:13" x14ac:dyDescent="0.25">
      <c r="B8" s="11">
        <v>42405</v>
      </c>
      <c r="C8" s="12">
        <v>0</v>
      </c>
      <c r="D8" s="26"/>
      <c r="E8" s="20">
        <v>42405</v>
      </c>
      <c r="F8" s="13">
        <v>47496</v>
      </c>
      <c r="G8" s="14"/>
      <c r="H8" s="22">
        <v>42405</v>
      </c>
      <c r="I8" s="15">
        <v>0</v>
      </c>
      <c r="J8" s="23" t="s">
        <v>76</v>
      </c>
      <c r="K8" s="13">
        <v>9476.19</v>
      </c>
      <c r="L8" s="18">
        <f>30000+35810</f>
        <v>65810</v>
      </c>
    </row>
    <row r="9" spans="1:13" x14ac:dyDescent="0.25">
      <c r="B9" s="11">
        <v>42406</v>
      </c>
      <c r="C9" s="12">
        <v>7687</v>
      </c>
      <c r="D9" s="26" t="s">
        <v>82</v>
      </c>
      <c r="E9" s="20">
        <v>42406</v>
      </c>
      <c r="F9" s="13">
        <v>130008</v>
      </c>
      <c r="G9" s="14"/>
      <c r="H9" s="22">
        <v>42406</v>
      </c>
      <c r="I9" s="15">
        <v>0</v>
      </c>
      <c r="J9" s="23" t="s">
        <v>77</v>
      </c>
      <c r="K9" s="13">
        <v>8609.7199999999993</v>
      </c>
      <c r="L9" s="18">
        <f>9440+60016+30890+31415</f>
        <v>131761</v>
      </c>
      <c r="M9" s="33"/>
    </row>
    <row r="10" spans="1:13" x14ac:dyDescent="0.25">
      <c r="A10" s="27"/>
      <c r="B10" s="11">
        <v>42407</v>
      </c>
      <c r="C10" s="12">
        <v>0</v>
      </c>
      <c r="D10" s="26"/>
      <c r="E10" s="20">
        <v>42407</v>
      </c>
      <c r="F10" s="13">
        <v>95917</v>
      </c>
      <c r="G10" s="14"/>
      <c r="H10" s="22">
        <v>42407</v>
      </c>
      <c r="I10" s="15">
        <v>0</v>
      </c>
      <c r="J10" s="23" t="s">
        <v>78</v>
      </c>
      <c r="K10" s="13">
        <f>4036.27+2000</f>
        <v>6036.27</v>
      </c>
      <c r="L10" s="18">
        <f>100+50000+45817</f>
        <v>95917</v>
      </c>
    </row>
    <row r="11" spans="1:13" x14ac:dyDescent="0.25">
      <c r="B11" s="11">
        <v>42408</v>
      </c>
      <c r="C11" s="12">
        <v>0</v>
      </c>
      <c r="D11" s="26"/>
      <c r="E11" s="20">
        <v>42408</v>
      </c>
      <c r="F11" s="13">
        <v>85508</v>
      </c>
      <c r="G11" s="14"/>
      <c r="H11" s="22">
        <v>42408</v>
      </c>
      <c r="I11" s="15">
        <v>0</v>
      </c>
      <c r="J11" s="23" t="s">
        <v>79</v>
      </c>
      <c r="K11" s="13">
        <v>5579.12</v>
      </c>
      <c r="L11" s="18">
        <f>36500+49008.5</f>
        <v>85508.5</v>
      </c>
    </row>
    <row r="12" spans="1:13" x14ac:dyDescent="0.25">
      <c r="A12" s="28"/>
      <c r="B12" s="11">
        <v>42409</v>
      </c>
      <c r="C12" s="12">
        <v>13914</v>
      </c>
      <c r="D12" s="26" t="s">
        <v>82</v>
      </c>
      <c r="E12" s="20">
        <v>42409</v>
      </c>
      <c r="F12" s="13">
        <v>82039</v>
      </c>
      <c r="G12" s="14"/>
      <c r="H12" s="22">
        <v>42409</v>
      </c>
      <c r="I12" s="15">
        <v>0</v>
      </c>
      <c r="J12" s="23" t="s">
        <v>113</v>
      </c>
      <c r="K12" s="13">
        <v>0</v>
      </c>
      <c r="L12" s="18">
        <v>58125</v>
      </c>
    </row>
    <row r="13" spans="1:13" x14ac:dyDescent="0.25">
      <c r="A13" s="28"/>
      <c r="B13" s="11">
        <v>42410</v>
      </c>
      <c r="C13" s="12">
        <v>2625</v>
      </c>
      <c r="D13" s="29" t="s">
        <v>49</v>
      </c>
      <c r="E13" s="20">
        <v>42410</v>
      </c>
      <c r="F13" s="13">
        <v>81699</v>
      </c>
      <c r="G13" s="14"/>
      <c r="H13" s="22">
        <v>42410</v>
      </c>
      <c r="I13" s="15">
        <v>0</v>
      </c>
      <c r="J13" s="30" t="s">
        <v>8</v>
      </c>
      <c r="K13" s="13">
        <v>800</v>
      </c>
      <c r="L13" s="18">
        <v>78274</v>
      </c>
    </row>
    <row r="14" spans="1:13" x14ac:dyDescent="0.25">
      <c r="B14" s="11">
        <v>42411</v>
      </c>
      <c r="C14" s="12">
        <v>0</v>
      </c>
      <c r="D14" s="19"/>
      <c r="E14" s="20">
        <v>42411</v>
      </c>
      <c r="F14" s="13">
        <v>88842</v>
      </c>
      <c r="G14" s="14"/>
      <c r="H14" s="22">
        <v>42411</v>
      </c>
      <c r="I14" s="15">
        <v>0</v>
      </c>
      <c r="J14" s="31">
        <v>42410</v>
      </c>
      <c r="K14" s="13">
        <v>0</v>
      </c>
      <c r="L14" s="18">
        <f>45342+43500</f>
        <v>88842</v>
      </c>
    </row>
    <row r="15" spans="1:13" x14ac:dyDescent="0.25">
      <c r="A15" s="28"/>
      <c r="B15" s="11">
        <v>42412</v>
      </c>
      <c r="C15" s="12">
        <v>0</v>
      </c>
      <c r="D15" s="19"/>
      <c r="E15" s="20">
        <v>42412</v>
      </c>
      <c r="F15" s="13">
        <v>231321.7</v>
      </c>
      <c r="G15" s="14"/>
      <c r="H15" s="22">
        <v>42412</v>
      </c>
      <c r="I15" s="15">
        <v>0</v>
      </c>
      <c r="J15" s="32" t="s">
        <v>9</v>
      </c>
      <c r="K15" s="13">
        <v>0</v>
      </c>
      <c r="L15" s="18">
        <f>11909+36000+67000+72000+56322</f>
        <v>243231</v>
      </c>
    </row>
    <row r="16" spans="1:13" x14ac:dyDescent="0.25">
      <c r="A16" s="28"/>
      <c r="B16" s="11">
        <v>42413</v>
      </c>
      <c r="C16" s="12">
        <v>5584</v>
      </c>
      <c r="D16" s="19" t="s">
        <v>82</v>
      </c>
      <c r="E16" s="20">
        <v>42413</v>
      </c>
      <c r="F16" s="13">
        <v>72269.5</v>
      </c>
      <c r="G16" s="14"/>
      <c r="H16" s="22">
        <v>42413</v>
      </c>
      <c r="I16" s="15">
        <v>60</v>
      </c>
      <c r="J16" s="34"/>
      <c r="K16" s="13">
        <v>0</v>
      </c>
      <c r="L16" s="18">
        <f>35000+31625.5</f>
        <v>66625.5</v>
      </c>
    </row>
    <row r="17" spans="1:13" x14ac:dyDescent="0.25">
      <c r="A17" s="28"/>
      <c r="B17" s="11">
        <v>42414</v>
      </c>
      <c r="C17" s="12">
        <v>0</v>
      </c>
      <c r="D17" s="19"/>
      <c r="E17" s="20">
        <v>42414</v>
      </c>
      <c r="F17" s="13">
        <v>60987.45</v>
      </c>
      <c r="G17" s="14"/>
      <c r="H17" s="22">
        <v>42414</v>
      </c>
      <c r="I17" s="15">
        <v>0</v>
      </c>
      <c r="J17" s="35" t="s">
        <v>10</v>
      </c>
      <c r="K17" s="13">
        <v>0</v>
      </c>
      <c r="L17" s="18">
        <f>27000+33987.5</f>
        <v>60987.5</v>
      </c>
    </row>
    <row r="18" spans="1:13" x14ac:dyDescent="0.25">
      <c r="B18" s="11">
        <v>42415</v>
      </c>
      <c r="C18" s="12">
        <v>0</v>
      </c>
      <c r="D18" s="19"/>
      <c r="E18" s="20">
        <v>42415</v>
      </c>
      <c r="F18" s="13">
        <v>184846.17</v>
      </c>
      <c r="G18" s="14"/>
      <c r="H18" s="22">
        <v>42415</v>
      </c>
      <c r="I18" s="15">
        <v>0</v>
      </c>
      <c r="J18" s="36"/>
      <c r="K18" s="24">
        <v>0</v>
      </c>
      <c r="L18" s="18">
        <f>57849.75+14481+4783+11736+6576+13727+50000+25693.5</f>
        <v>184846.25</v>
      </c>
    </row>
    <row r="19" spans="1:13" x14ac:dyDescent="0.25">
      <c r="A19" s="28"/>
      <c r="B19" s="11">
        <v>42416</v>
      </c>
      <c r="C19" s="12">
        <v>0</v>
      </c>
      <c r="D19" s="19"/>
      <c r="E19" s="20">
        <v>42416</v>
      </c>
      <c r="F19" s="13">
        <v>29895.15</v>
      </c>
      <c r="G19" s="14"/>
      <c r="H19" s="22">
        <v>42416</v>
      </c>
      <c r="I19" s="15">
        <v>0</v>
      </c>
      <c r="J19" s="37"/>
      <c r="K19" s="13">
        <v>0</v>
      </c>
      <c r="L19" s="18">
        <f>22000+7895</f>
        <v>29895</v>
      </c>
    </row>
    <row r="20" spans="1:13" ht="15.75" customHeight="1" x14ac:dyDescent="0.25">
      <c r="B20" s="11">
        <v>42417</v>
      </c>
      <c r="C20" s="12">
        <v>624</v>
      </c>
      <c r="D20" s="19" t="s">
        <v>68</v>
      </c>
      <c r="E20" s="20">
        <v>42417</v>
      </c>
      <c r="F20" s="13">
        <v>56653</v>
      </c>
      <c r="G20" s="14"/>
      <c r="H20" s="22">
        <v>42417</v>
      </c>
      <c r="I20" s="38">
        <v>0</v>
      </c>
      <c r="J20" s="340"/>
      <c r="K20" s="39">
        <v>0</v>
      </c>
      <c r="L20" s="18">
        <f>5611+17500+38529</f>
        <v>61640</v>
      </c>
    </row>
    <row r="21" spans="1:13" ht="18" customHeight="1" x14ac:dyDescent="0.25">
      <c r="B21" s="11">
        <v>42418</v>
      </c>
      <c r="C21" s="12">
        <v>0</v>
      </c>
      <c r="D21" s="40"/>
      <c r="E21" s="20">
        <v>42418</v>
      </c>
      <c r="F21" s="13">
        <v>85014.65</v>
      </c>
      <c r="G21" s="14"/>
      <c r="H21" s="22">
        <v>42418</v>
      </c>
      <c r="I21" s="38">
        <v>0</v>
      </c>
      <c r="J21" s="341"/>
      <c r="K21" s="24">
        <v>0</v>
      </c>
      <c r="L21" s="18">
        <f>58262.5+26751.5</f>
        <v>85014</v>
      </c>
    </row>
    <row r="22" spans="1:13" x14ac:dyDescent="0.25">
      <c r="B22" s="11">
        <v>42419</v>
      </c>
      <c r="C22" s="12">
        <v>1011</v>
      </c>
      <c r="D22" s="40" t="s">
        <v>103</v>
      </c>
      <c r="E22" s="20">
        <v>42419</v>
      </c>
      <c r="F22" s="13">
        <v>68263.199999999997</v>
      </c>
      <c r="G22" s="21"/>
      <c r="H22" s="22">
        <v>42419</v>
      </c>
      <c r="I22" s="15">
        <v>0</v>
      </c>
      <c r="J22" s="23"/>
      <c r="K22" s="24">
        <v>0</v>
      </c>
      <c r="L22" s="18">
        <f>17000+30000+20252</f>
        <v>67252</v>
      </c>
      <c r="M22" s="33"/>
    </row>
    <row r="23" spans="1:13" ht="19.5" customHeight="1" x14ac:dyDescent="0.25">
      <c r="A23" s="28"/>
      <c r="B23" s="11">
        <v>42420</v>
      </c>
      <c r="C23" s="12">
        <v>2512</v>
      </c>
      <c r="D23" s="40" t="s">
        <v>49</v>
      </c>
      <c r="E23" s="20">
        <v>42420</v>
      </c>
      <c r="F23" s="13">
        <v>80373.75</v>
      </c>
      <c r="G23" s="14"/>
      <c r="H23" s="22">
        <v>42420</v>
      </c>
      <c r="I23" s="15">
        <v>0</v>
      </c>
      <c r="J23" s="23" t="s">
        <v>220</v>
      </c>
      <c r="K23" s="13">
        <v>20000</v>
      </c>
      <c r="L23" s="18">
        <f>50000+27862</f>
        <v>77862</v>
      </c>
    </row>
    <row r="24" spans="1:13" ht="16.5" customHeight="1" x14ac:dyDescent="0.25">
      <c r="A24" s="28"/>
      <c r="B24" s="11">
        <v>42421</v>
      </c>
      <c r="C24" s="12">
        <v>0</v>
      </c>
      <c r="D24" s="40"/>
      <c r="E24" s="20">
        <v>42421</v>
      </c>
      <c r="F24" s="13">
        <v>34595.5</v>
      </c>
      <c r="G24" s="14"/>
      <c r="H24" s="22">
        <v>42421</v>
      </c>
      <c r="I24" s="15">
        <v>0</v>
      </c>
      <c r="J24" s="34">
        <v>42429</v>
      </c>
      <c r="K24" s="24"/>
      <c r="L24" s="18">
        <v>34595.5</v>
      </c>
    </row>
    <row r="25" spans="1:13" x14ac:dyDescent="0.25">
      <c r="B25" s="11">
        <v>42422</v>
      </c>
      <c r="C25" s="12">
        <v>0</v>
      </c>
      <c r="D25" s="19"/>
      <c r="E25" s="20">
        <v>42422</v>
      </c>
      <c r="F25" s="13">
        <v>56031.7</v>
      </c>
      <c r="G25" s="14"/>
      <c r="H25" s="22">
        <v>42422</v>
      </c>
      <c r="I25" s="15">
        <v>0</v>
      </c>
      <c r="J25" s="23"/>
      <c r="K25" s="24"/>
      <c r="L25" s="18">
        <f>30000+26032</f>
        <v>56032</v>
      </c>
    </row>
    <row r="26" spans="1:13" x14ac:dyDescent="0.25">
      <c r="B26" s="11">
        <v>42423</v>
      </c>
      <c r="C26" s="12">
        <v>280</v>
      </c>
      <c r="D26" s="19" t="s">
        <v>68</v>
      </c>
      <c r="E26" s="20">
        <v>42423</v>
      </c>
      <c r="F26" s="13">
        <v>34989.5</v>
      </c>
      <c r="G26" s="14"/>
      <c r="H26" s="22">
        <v>42423</v>
      </c>
      <c r="I26" s="15">
        <v>0</v>
      </c>
      <c r="J26" s="23"/>
      <c r="K26" s="24"/>
      <c r="L26" s="18">
        <f>6052+7889+20768.5</f>
        <v>34709.5</v>
      </c>
      <c r="M26" s="33"/>
    </row>
    <row r="27" spans="1:13" x14ac:dyDescent="0.25">
      <c r="B27" s="11">
        <v>42424</v>
      </c>
      <c r="C27" s="12">
        <v>356.04</v>
      </c>
      <c r="D27" s="19" t="s">
        <v>58</v>
      </c>
      <c r="E27" s="20">
        <v>42424</v>
      </c>
      <c r="F27" s="13">
        <v>65675.42</v>
      </c>
      <c r="G27" s="14"/>
      <c r="H27" s="22">
        <v>42424</v>
      </c>
      <c r="I27" s="15">
        <v>348</v>
      </c>
      <c r="J27" s="23"/>
      <c r="K27" s="24"/>
      <c r="L27" s="18">
        <f>38378+26593.5</f>
        <v>64971.5</v>
      </c>
      <c r="M27" s="33"/>
    </row>
    <row r="28" spans="1:13" x14ac:dyDescent="0.25">
      <c r="B28" s="11">
        <v>42425</v>
      </c>
      <c r="C28" s="12">
        <v>0</v>
      </c>
      <c r="D28" s="19"/>
      <c r="E28" s="20">
        <v>42425</v>
      </c>
      <c r="F28" s="13">
        <v>58495.25</v>
      </c>
      <c r="G28" s="14"/>
      <c r="H28" s="22">
        <v>42425</v>
      </c>
      <c r="I28" s="15">
        <v>0</v>
      </c>
      <c r="J28" s="23"/>
      <c r="K28" s="24"/>
      <c r="L28" s="18">
        <f>30000+28495</f>
        <v>58495</v>
      </c>
    </row>
    <row r="29" spans="1:13" ht="19.5" customHeight="1" x14ac:dyDescent="0.25">
      <c r="B29" s="11">
        <v>42426</v>
      </c>
      <c r="C29" s="12">
        <v>789</v>
      </c>
      <c r="D29" s="19" t="s">
        <v>54</v>
      </c>
      <c r="E29" s="20">
        <v>42426</v>
      </c>
      <c r="F29" s="13">
        <v>48347.9</v>
      </c>
      <c r="G29" s="14"/>
      <c r="H29" s="22">
        <v>42426</v>
      </c>
      <c r="I29" s="15">
        <v>0</v>
      </c>
      <c r="J29" s="23"/>
      <c r="K29" s="24"/>
      <c r="L29" s="18">
        <v>47559</v>
      </c>
    </row>
    <row r="30" spans="1:13" ht="16.5" customHeight="1" x14ac:dyDescent="0.25">
      <c r="B30" s="11">
        <v>42427</v>
      </c>
      <c r="C30" s="12">
        <v>2287</v>
      </c>
      <c r="D30" s="19" t="s">
        <v>49</v>
      </c>
      <c r="E30" s="20">
        <v>42427</v>
      </c>
      <c r="F30" s="13">
        <v>64229</v>
      </c>
      <c r="G30" s="14"/>
      <c r="H30" s="22">
        <v>42427</v>
      </c>
      <c r="I30" s="15">
        <v>0</v>
      </c>
      <c r="J30" s="23"/>
      <c r="K30" s="24"/>
      <c r="L30" s="18">
        <f>27000+34942</f>
        <v>61942</v>
      </c>
    </row>
    <row r="31" spans="1:13" x14ac:dyDescent="0.25">
      <c r="B31" s="11">
        <v>42428</v>
      </c>
      <c r="C31" s="12">
        <v>0</v>
      </c>
      <c r="D31" s="19"/>
      <c r="E31" s="20">
        <v>42428</v>
      </c>
      <c r="F31" s="13">
        <v>53678</v>
      </c>
      <c r="G31" s="14"/>
      <c r="H31" s="22">
        <v>42428</v>
      </c>
      <c r="I31" s="15">
        <v>60</v>
      </c>
      <c r="J31" s="23"/>
      <c r="K31" s="24"/>
      <c r="L31" s="18">
        <v>53618</v>
      </c>
    </row>
    <row r="32" spans="1:13" x14ac:dyDescent="0.25">
      <c r="B32" s="11">
        <v>42429</v>
      </c>
      <c r="C32" s="12">
        <v>0</v>
      </c>
      <c r="D32" s="42"/>
      <c r="E32" s="20">
        <v>42429</v>
      </c>
      <c r="F32" s="13">
        <v>88590</v>
      </c>
      <c r="G32" s="14"/>
      <c r="H32" s="22">
        <v>42429</v>
      </c>
      <c r="I32" s="15">
        <v>0</v>
      </c>
      <c r="J32" s="23"/>
      <c r="K32" s="24"/>
      <c r="L32" s="18">
        <f>749+7255+452+5688+54446</f>
        <v>68590</v>
      </c>
      <c r="M32" s="33"/>
    </row>
    <row r="33" spans="1:12" x14ac:dyDescent="0.25">
      <c r="B33" s="11"/>
      <c r="C33" s="12"/>
      <c r="D33" s="19"/>
      <c r="E33" s="20"/>
      <c r="F33" s="13"/>
      <c r="G33" s="14"/>
      <c r="H33" s="22"/>
      <c r="I33" s="15"/>
      <c r="J33" s="23"/>
      <c r="K33" s="24"/>
      <c r="L33" s="18"/>
    </row>
    <row r="34" spans="1:12" ht="15.75" thickBot="1" x14ac:dyDescent="0.3">
      <c r="A34" s="28"/>
      <c r="B34" s="11"/>
      <c r="C34" s="12"/>
      <c r="D34" s="19"/>
      <c r="E34" s="20"/>
      <c r="F34" s="13"/>
      <c r="G34" s="14"/>
      <c r="H34" s="22"/>
      <c r="I34" s="15"/>
      <c r="J34" s="23"/>
      <c r="K34" s="24"/>
      <c r="L34" s="18"/>
    </row>
    <row r="35" spans="1:12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</row>
    <row r="36" spans="1:12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</row>
    <row r="37" spans="1:12" x14ac:dyDescent="0.25">
      <c r="B37" s="60" t="s">
        <v>11</v>
      </c>
      <c r="C37" s="61">
        <f>SUM(C4:C36)</f>
        <v>48520.04</v>
      </c>
      <c r="D37" s="46"/>
      <c r="E37" s="62" t="s">
        <v>11</v>
      </c>
      <c r="F37" s="63">
        <f>SUM(F4:F36)</f>
        <v>2237971.8399999994</v>
      </c>
      <c r="H37" s="1" t="s">
        <v>11</v>
      </c>
      <c r="I37" s="64">
        <f>SUM(I4:I36)</f>
        <v>533</v>
      </c>
      <c r="J37" s="64"/>
      <c r="K37" s="64">
        <f t="shared" ref="K37" si="0">SUM(K4:K36)</f>
        <v>89989.3</v>
      </c>
      <c r="L37" s="2">
        <f>SUM(L4:L36)</f>
        <v>2204669.75</v>
      </c>
    </row>
    <row r="38" spans="1:12" x14ac:dyDescent="0.25">
      <c r="A38" s="342"/>
      <c r="B38" s="342"/>
      <c r="C38" s="50"/>
      <c r="I38" s="64"/>
      <c r="K38" s="64"/>
    </row>
    <row r="39" spans="1:12" ht="15.75" customHeight="1" x14ac:dyDescent="0.25">
      <c r="A39" s="65"/>
      <c r="B39" s="66"/>
      <c r="C39" s="50"/>
      <c r="D39" s="67"/>
      <c r="E39" s="66"/>
      <c r="F39" s="66"/>
      <c r="H39" s="326" t="s">
        <v>12</v>
      </c>
      <c r="I39" s="327"/>
      <c r="J39" s="328">
        <f>I37+K37</f>
        <v>90522.3</v>
      </c>
      <c r="K39" s="329"/>
      <c r="L39" s="68"/>
    </row>
    <row r="40" spans="1:12" ht="15.75" customHeight="1" x14ac:dyDescent="0.25">
      <c r="A40" s="330"/>
      <c r="B40" s="330"/>
      <c r="C40" s="50"/>
      <c r="D40" s="331" t="s">
        <v>13</v>
      </c>
      <c r="E40" s="331"/>
      <c r="F40" s="69">
        <f>F37-J39-C37</f>
        <v>2098929.4999999995</v>
      </c>
      <c r="I40" s="70"/>
    </row>
    <row r="41" spans="1:12" x14ac:dyDescent="0.25">
      <c r="A41" s="67"/>
      <c r="B41" s="66"/>
      <c r="C41" s="50"/>
      <c r="D41" s="67"/>
      <c r="E41" s="66"/>
      <c r="F41" s="69">
        <v>0</v>
      </c>
    </row>
    <row r="42" spans="1:12" ht="15.75" thickBot="1" x14ac:dyDescent="0.3">
      <c r="E42" s="71" t="s">
        <v>14</v>
      </c>
      <c r="F42" s="50">
        <v>-2311866.91</v>
      </c>
      <c r="I42" s="72" t="s">
        <v>15</v>
      </c>
      <c r="J42" s="73"/>
      <c r="K42" s="74">
        <v>221672.33</v>
      </c>
    </row>
    <row r="43" spans="1:12" ht="15.75" thickTop="1" x14ac:dyDescent="0.25">
      <c r="E43" s="1" t="s">
        <v>16</v>
      </c>
      <c r="F43" s="64">
        <f>SUM(F40:F42)</f>
        <v>-212937.41000000061</v>
      </c>
      <c r="K43" s="64">
        <f>F45+K42</f>
        <v>332849.61999999941</v>
      </c>
    </row>
    <row r="44" spans="1:12" ht="15.75" thickBot="1" x14ac:dyDescent="0.3">
      <c r="D44" s="62" t="s">
        <v>17</v>
      </c>
      <c r="E44" s="62"/>
      <c r="F44" s="75">
        <v>324114.7</v>
      </c>
      <c r="I44" s="1" t="s">
        <v>1</v>
      </c>
      <c r="J44" s="76"/>
      <c r="K44" s="77">
        <f>-C3</f>
        <v>-370048.27</v>
      </c>
    </row>
    <row r="45" spans="1:12" ht="20.25" thickTop="1" thickBot="1" x14ac:dyDescent="0.35">
      <c r="E45" s="60" t="s">
        <v>18</v>
      </c>
      <c r="F45" s="78">
        <f>F44+F43</f>
        <v>111177.2899999994</v>
      </c>
      <c r="I45" s="332" t="s">
        <v>175</v>
      </c>
      <c r="J45" s="333"/>
      <c r="K45" s="79">
        <f>K43+K44</f>
        <v>-37198.650000000605</v>
      </c>
    </row>
    <row r="46" spans="1:12" ht="15.75" thickTop="1" x14ac:dyDescent="0.25"/>
    <row r="49" spans="8:13" customFormat="1" x14ac:dyDescent="0.25">
      <c r="M49" s="3"/>
    </row>
    <row r="50" spans="8:13" customFormat="1" x14ac:dyDescent="0.25">
      <c r="M50" s="3"/>
    </row>
    <row r="51" spans="8:13" customFormat="1" x14ac:dyDescent="0.25">
      <c r="H51" s="325"/>
      <c r="I51" s="325"/>
      <c r="J51" s="80"/>
      <c r="K51" s="81"/>
      <c r="M51" s="3"/>
    </row>
    <row r="52" spans="8:13" customFormat="1" x14ac:dyDescent="0.25">
      <c r="M52" s="3"/>
    </row>
    <row r="53" spans="8:13" customFormat="1" x14ac:dyDescent="0.25">
      <c r="M53" s="3"/>
    </row>
    <row r="54" spans="8:13" customFormat="1" x14ac:dyDescent="0.25">
      <c r="M54" s="3"/>
    </row>
    <row r="55" spans="8:13" customFormat="1" x14ac:dyDescent="0.25">
      <c r="M55" s="3"/>
    </row>
    <row r="56" spans="8:13" customFormat="1" x14ac:dyDescent="0.25">
      <c r="M56" s="3"/>
    </row>
    <row r="57" spans="8:13" customFormat="1" x14ac:dyDescent="0.25">
      <c r="M57" s="3"/>
    </row>
    <row r="58" spans="8:13" customFormat="1" x14ac:dyDescent="0.25">
      <c r="M58" s="3"/>
    </row>
    <row r="59" spans="8:13" customFormat="1" x14ac:dyDescent="0.25">
      <c r="M59" s="3"/>
    </row>
    <row r="60" spans="8:13" customFormat="1" x14ac:dyDescent="0.25">
      <c r="M60" s="3"/>
    </row>
    <row r="61" spans="8:13" customFormat="1" x14ac:dyDescent="0.25">
      <c r="M61" s="3"/>
    </row>
    <row r="62" spans="8:13" customFormat="1" x14ac:dyDescent="0.25">
      <c r="M62" s="3"/>
    </row>
    <row r="63" spans="8:13" customFormat="1" x14ac:dyDescent="0.25">
      <c r="M63" s="3"/>
    </row>
    <row r="64" spans="8:13" customFormat="1" x14ac:dyDescent="0.25">
      <c r="M64" s="3"/>
    </row>
    <row r="65" spans="13:13" customFormat="1" x14ac:dyDescent="0.25">
      <c r="M65" s="3"/>
    </row>
    <row r="66" spans="13:13" customFormat="1" x14ac:dyDescent="0.25">
      <c r="M66" s="3"/>
    </row>
    <row r="67" spans="13:13" customFormat="1" x14ac:dyDescent="0.25">
      <c r="M67" s="3"/>
    </row>
    <row r="68" spans="13:13" customFormat="1" x14ac:dyDescent="0.25">
      <c r="M68" s="3"/>
    </row>
    <row r="69" spans="13:13" customFormat="1" x14ac:dyDescent="0.25">
      <c r="M69" s="3"/>
    </row>
    <row r="70" spans="13:13" customFormat="1" x14ac:dyDescent="0.25">
      <c r="M70" s="3"/>
    </row>
    <row r="71" spans="13:13" customFormat="1" x14ac:dyDescent="0.25">
      <c r="M71" s="3"/>
    </row>
    <row r="72" spans="13:13" customFormat="1" x14ac:dyDescent="0.25">
      <c r="M72" s="3"/>
    </row>
    <row r="73" spans="13:13" customFormat="1" x14ac:dyDescent="0.25">
      <c r="M73" s="3"/>
    </row>
    <row r="74" spans="13:13" customFormat="1" x14ac:dyDescent="0.25">
      <c r="M74" s="3"/>
    </row>
    <row r="75" spans="13:13" customFormat="1" x14ac:dyDescent="0.25">
      <c r="M75" s="3"/>
    </row>
    <row r="76" spans="13:13" customFormat="1" x14ac:dyDescent="0.25">
      <c r="M76" s="3"/>
    </row>
    <row r="77" spans="13:13" customFormat="1" x14ac:dyDescent="0.25">
      <c r="M77" s="3"/>
    </row>
    <row r="78" spans="13:13" customFormat="1" x14ac:dyDescent="0.25">
      <c r="M78" s="3"/>
    </row>
    <row r="79" spans="13:13" customFormat="1" x14ac:dyDescent="0.25">
      <c r="M79" s="3"/>
    </row>
    <row r="80" spans="13:13" customFormat="1" x14ac:dyDescent="0.25">
      <c r="M80" s="3"/>
    </row>
    <row r="81" spans="13:13" customFormat="1" x14ac:dyDescent="0.25">
      <c r="M81" s="3"/>
    </row>
    <row r="82" spans="13:13" customFormat="1" x14ac:dyDescent="0.25">
      <c r="M82" s="3"/>
    </row>
    <row r="83" spans="13:13" customFormat="1" x14ac:dyDescent="0.25">
      <c r="M83" s="3"/>
    </row>
    <row r="84" spans="13:13" customFormat="1" x14ac:dyDescent="0.25">
      <c r="M84" s="3"/>
    </row>
    <row r="85" spans="13:13" customFormat="1" x14ac:dyDescent="0.25">
      <c r="M85" s="3"/>
    </row>
    <row r="86" spans="13:13" customFormat="1" x14ac:dyDescent="0.25">
      <c r="M86" s="3"/>
    </row>
    <row r="87" spans="13:13" customFormat="1" x14ac:dyDescent="0.25">
      <c r="M87" s="3"/>
    </row>
    <row r="88" spans="13:13" customFormat="1" x14ac:dyDescent="0.25">
      <c r="M88" s="3"/>
    </row>
    <row r="89" spans="13:13" customFormat="1" x14ac:dyDescent="0.25">
      <c r="M89" s="3"/>
    </row>
    <row r="90" spans="13:13" customFormat="1" x14ac:dyDescent="0.25">
      <c r="M90" s="3"/>
    </row>
    <row r="91" spans="13:13" customFormat="1" x14ac:dyDescent="0.25">
      <c r="M91" s="3"/>
    </row>
    <row r="92" spans="13:13" customFormat="1" x14ac:dyDescent="0.25">
      <c r="M92" s="3"/>
    </row>
    <row r="93" spans="13:13" customFormat="1" x14ac:dyDescent="0.25">
      <c r="M93" s="3"/>
    </row>
    <row r="94" spans="13:13" customFormat="1" x14ac:dyDescent="0.25">
      <c r="M94" s="3"/>
    </row>
    <row r="95" spans="13:13" customFormat="1" x14ac:dyDescent="0.25">
      <c r="M95" s="3"/>
    </row>
    <row r="96" spans="13:13" customFormat="1" x14ac:dyDescent="0.25">
      <c r="M96" s="3"/>
    </row>
    <row r="97" spans="13:13" customFormat="1" x14ac:dyDescent="0.25">
      <c r="M97" s="3"/>
    </row>
    <row r="98" spans="13:13" customFormat="1" x14ac:dyDescent="0.25">
      <c r="M98" s="3"/>
    </row>
    <row r="99" spans="13:13" customFormat="1" x14ac:dyDescent="0.25">
      <c r="M99" s="3"/>
    </row>
    <row r="100" spans="13:13" customFormat="1" x14ac:dyDescent="0.25">
      <c r="M100" s="3"/>
    </row>
    <row r="101" spans="13:13" customFormat="1" x14ac:dyDescent="0.25">
      <c r="M101" s="3"/>
    </row>
    <row r="102" spans="13:13" customFormat="1" x14ac:dyDescent="0.25">
      <c r="M102" s="3"/>
    </row>
    <row r="103" spans="13:13" customFormat="1" x14ac:dyDescent="0.25">
      <c r="M103" s="3"/>
    </row>
    <row r="104" spans="13:13" customFormat="1" x14ac:dyDescent="0.25">
      <c r="M104" s="3"/>
    </row>
    <row r="105" spans="13:13" customFormat="1" x14ac:dyDescent="0.25">
      <c r="M105" s="3"/>
    </row>
    <row r="106" spans="13:13" customFormat="1" x14ac:dyDescent="0.25">
      <c r="M106" s="3"/>
    </row>
    <row r="107" spans="13:13" customFormat="1" x14ac:dyDescent="0.25">
      <c r="M107" s="3"/>
    </row>
    <row r="108" spans="13:13" customFormat="1" x14ac:dyDescent="0.25">
      <c r="M108" s="3"/>
    </row>
    <row r="109" spans="13:13" customFormat="1" x14ac:dyDescent="0.25">
      <c r="M109" s="3"/>
    </row>
    <row r="110" spans="13:13" customFormat="1" x14ac:dyDescent="0.25">
      <c r="M110" s="3"/>
    </row>
    <row r="111" spans="13:13" customFormat="1" x14ac:dyDescent="0.25">
      <c r="M111" s="3"/>
    </row>
  </sheetData>
  <mergeCells count="11">
    <mergeCell ref="C1:J1"/>
    <mergeCell ref="E3:F3"/>
    <mergeCell ref="I3:K3"/>
    <mergeCell ref="H51:I51"/>
    <mergeCell ref="A40:B40"/>
    <mergeCell ref="D40:E40"/>
    <mergeCell ref="I45:J45"/>
    <mergeCell ref="J20:J21"/>
    <mergeCell ref="A38:B38"/>
    <mergeCell ref="H39:I39"/>
    <mergeCell ref="J39:K39"/>
  </mergeCells>
  <pageMargins left="0.70866141732283472" right="0.70866141732283472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83"/>
  <sheetViews>
    <sheetView topLeftCell="A25" workbookViewId="0">
      <selection activeCell="C32" sqref="C32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1" max="11" width="16.28515625" customWidth="1"/>
    <col min="14" max="14" width="20.140625" bestFit="1" customWidth="1"/>
    <col min="19" max="19" width="14.42578125" customWidth="1"/>
    <col min="22" max="22" width="20.140625" bestFit="1" customWidth="1"/>
  </cols>
  <sheetData>
    <row r="1" spans="1:24" ht="19.5" customHeight="1" thickBot="1" x14ac:dyDescent="0.35">
      <c r="J1" s="343">
        <v>1</v>
      </c>
      <c r="K1" s="86" t="s">
        <v>28</v>
      </c>
      <c r="L1" s="86"/>
      <c r="M1" s="110"/>
      <c r="N1" s="148">
        <v>42411</v>
      </c>
      <c r="O1" s="112"/>
      <c r="R1" s="343">
        <v>1</v>
      </c>
      <c r="S1" s="86" t="s">
        <v>28</v>
      </c>
      <c r="T1" s="86"/>
      <c r="U1" s="110"/>
      <c r="V1" s="195">
        <v>42425</v>
      </c>
      <c r="W1" s="112"/>
    </row>
    <row r="2" spans="1:24" ht="19.5" customHeight="1" thickBot="1" x14ac:dyDescent="0.35">
      <c r="B2" s="176"/>
      <c r="C2" s="177"/>
      <c r="D2" s="178" t="s">
        <v>21</v>
      </c>
      <c r="E2" s="179"/>
      <c r="F2" s="180"/>
      <c r="G2" s="181"/>
      <c r="J2" s="344"/>
      <c r="K2" s="113"/>
      <c r="L2" s="113"/>
      <c r="M2" s="114"/>
      <c r="N2" s="115"/>
      <c r="O2" s="112"/>
      <c r="R2" s="344"/>
      <c r="S2" s="113"/>
      <c r="T2" s="113"/>
      <c r="U2" s="114"/>
      <c r="V2" s="115"/>
      <c r="W2" s="112"/>
    </row>
    <row r="3" spans="1:24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J3" s="116" t="s">
        <v>23</v>
      </c>
      <c r="K3" s="116" t="s">
        <v>24</v>
      </c>
      <c r="L3" s="116"/>
      <c r="M3" s="117" t="s">
        <v>29</v>
      </c>
      <c r="N3" s="118" t="s">
        <v>30</v>
      </c>
      <c r="O3" s="119"/>
      <c r="R3" s="116" t="s">
        <v>23</v>
      </c>
      <c r="S3" s="116" t="s">
        <v>24</v>
      </c>
      <c r="T3" s="116"/>
      <c r="U3" s="117" t="s">
        <v>29</v>
      </c>
      <c r="V3" s="118" t="s">
        <v>30</v>
      </c>
      <c r="W3" s="119"/>
    </row>
    <row r="4" spans="1:24" x14ac:dyDescent="0.25">
      <c r="A4" s="14"/>
      <c r="B4" s="92">
        <v>42403</v>
      </c>
      <c r="C4" s="93" t="s">
        <v>70</v>
      </c>
      <c r="D4" s="94">
        <v>271684</v>
      </c>
      <c r="E4" s="95" t="s">
        <v>87</v>
      </c>
      <c r="F4" s="94">
        <f>271030.61+653.39</f>
        <v>271684</v>
      </c>
      <c r="G4" s="158">
        <f t="shared" ref="G4:G27" si="0">D4-F4</f>
        <v>0</v>
      </c>
      <c r="H4" s="146"/>
      <c r="I4" s="147"/>
      <c r="J4" s="93" t="s">
        <v>61</v>
      </c>
      <c r="K4" s="94">
        <v>2718.04</v>
      </c>
      <c r="L4" s="120" t="s">
        <v>36</v>
      </c>
      <c r="M4" s="121" t="s">
        <v>31</v>
      </c>
      <c r="N4" s="122">
        <v>81027</v>
      </c>
      <c r="O4" s="123">
        <v>42383</v>
      </c>
      <c r="R4" s="93" t="s">
        <v>90</v>
      </c>
      <c r="S4" s="94">
        <v>1946.99</v>
      </c>
      <c r="T4" s="120" t="s">
        <v>96</v>
      </c>
      <c r="U4" s="121">
        <v>3358250</v>
      </c>
      <c r="V4" s="122">
        <v>30956.5</v>
      </c>
      <c r="W4" s="123">
        <v>42394</v>
      </c>
    </row>
    <row r="5" spans="1:24" x14ac:dyDescent="0.25">
      <c r="A5" s="14"/>
      <c r="B5" s="96">
        <v>42408</v>
      </c>
      <c r="C5" s="93" t="s">
        <v>83</v>
      </c>
      <c r="D5" s="94">
        <v>302188</v>
      </c>
      <c r="E5" s="95">
        <v>42413</v>
      </c>
      <c r="F5" s="94">
        <v>302188</v>
      </c>
      <c r="G5" s="97">
        <f t="shared" si="0"/>
        <v>0</v>
      </c>
      <c r="H5" s="146"/>
      <c r="I5" s="147"/>
      <c r="J5" s="93" t="s">
        <v>64</v>
      </c>
      <c r="K5" s="94">
        <v>578.20000000000005</v>
      </c>
      <c r="L5" s="124"/>
      <c r="M5" s="125">
        <v>3237985</v>
      </c>
      <c r="N5" s="126">
        <v>77900</v>
      </c>
      <c r="O5" s="127">
        <v>42377</v>
      </c>
      <c r="R5" s="93" t="s">
        <v>94</v>
      </c>
      <c r="S5" s="94">
        <v>292767.3</v>
      </c>
      <c r="T5" s="124"/>
      <c r="U5" s="125">
        <v>3358249</v>
      </c>
      <c r="V5" s="126">
        <v>49145</v>
      </c>
      <c r="W5" s="127">
        <v>42395</v>
      </c>
    </row>
    <row r="6" spans="1:24" x14ac:dyDescent="0.25">
      <c r="A6" s="14"/>
      <c r="B6" s="96">
        <v>42408</v>
      </c>
      <c r="C6" s="98" t="s">
        <v>84</v>
      </c>
      <c r="D6" s="94">
        <v>272583</v>
      </c>
      <c r="E6" s="95">
        <v>42413</v>
      </c>
      <c r="F6" s="94">
        <v>272583</v>
      </c>
      <c r="G6" s="97">
        <f t="shared" si="0"/>
        <v>0</v>
      </c>
      <c r="H6" s="38"/>
      <c r="I6" s="147"/>
      <c r="J6" s="93" t="s">
        <v>65</v>
      </c>
      <c r="K6" s="94">
        <v>16562</v>
      </c>
      <c r="L6" s="124"/>
      <c r="M6" s="125">
        <v>3237986</v>
      </c>
      <c r="N6" s="126">
        <v>45000</v>
      </c>
      <c r="O6" s="127">
        <v>42377</v>
      </c>
      <c r="R6" s="93" t="s">
        <v>95</v>
      </c>
      <c r="S6" s="94">
        <v>318854.71000000002</v>
      </c>
      <c r="T6" s="124" t="s">
        <v>88</v>
      </c>
      <c r="U6" s="125" t="s">
        <v>31</v>
      </c>
      <c r="V6" s="126">
        <v>14767</v>
      </c>
      <c r="W6" s="127">
        <v>42394</v>
      </c>
      <c r="X6" s="159">
        <v>42396</v>
      </c>
    </row>
    <row r="7" spans="1:24" x14ac:dyDescent="0.25">
      <c r="A7" s="14"/>
      <c r="B7" s="96">
        <v>42409</v>
      </c>
      <c r="C7" s="93" t="s">
        <v>85</v>
      </c>
      <c r="D7" s="94">
        <v>7210</v>
      </c>
      <c r="E7" s="95" t="s">
        <v>93</v>
      </c>
      <c r="F7" s="94">
        <f>6760.11+449.89</f>
        <v>7210</v>
      </c>
      <c r="G7" s="99">
        <f>D7-F7</f>
        <v>0</v>
      </c>
      <c r="H7" s="38"/>
      <c r="I7" s="147"/>
      <c r="J7" s="93" t="s">
        <v>66</v>
      </c>
      <c r="K7" s="94">
        <v>3629</v>
      </c>
      <c r="L7" s="124"/>
      <c r="M7" s="125">
        <v>3237984</v>
      </c>
      <c r="N7" s="126">
        <v>23439</v>
      </c>
      <c r="O7" s="127">
        <v>42377</v>
      </c>
      <c r="R7" s="93"/>
      <c r="S7" s="94"/>
      <c r="T7" s="124"/>
      <c r="U7" s="125">
        <v>3358248</v>
      </c>
      <c r="V7" s="126">
        <v>26918</v>
      </c>
      <c r="W7" s="127">
        <v>42396</v>
      </c>
    </row>
    <row r="8" spans="1:24" x14ac:dyDescent="0.25">
      <c r="A8" s="14"/>
      <c r="B8" s="96">
        <v>42413</v>
      </c>
      <c r="C8" s="93" t="s">
        <v>91</v>
      </c>
      <c r="D8" s="100">
        <v>318940.65000000002</v>
      </c>
      <c r="E8" s="95">
        <v>42420</v>
      </c>
      <c r="F8" s="100">
        <v>318940.65000000002</v>
      </c>
      <c r="G8" s="97">
        <f>D8-F8</f>
        <v>0</v>
      </c>
      <c r="H8" s="38"/>
      <c r="I8" s="147"/>
      <c r="J8" s="93" t="s">
        <v>67</v>
      </c>
      <c r="K8" s="94">
        <v>112086.45</v>
      </c>
      <c r="L8" s="124"/>
      <c r="M8" s="125">
        <v>3237983</v>
      </c>
      <c r="N8" s="126">
        <v>47594.5</v>
      </c>
      <c r="O8" s="127">
        <v>42378</v>
      </c>
      <c r="R8" s="93"/>
      <c r="S8" s="94"/>
      <c r="T8" s="124"/>
      <c r="U8" s="125">
        <v>3358247</v>
      </c>
      <c r="V8" s="126">
        <v>30000</v>
      </c>
      <c r="W8" s="127">
        <v>42397</v>
      </c>
    </row>
    <row r="9" spans="1:24" x14ac:dyDescent="0.25">
      <c r="A9" s="82"/>
      <c r="B9" s="96">
        <v>42413</v>
      </c>
      <c r="C9" s="93" t="s">
        <v>92</v>
      </c>
      <c r="D9" s="94">
        <v>290974.95</v>
      </c>
      <c r="E9" s="95">
        <v>42420</v>
      </c>
      <c r="F9" s="94">
        <v>290974.95</v>
      </c>
      <c r="G9" s="99">
        <f>D9-F9</f>
        <v>0</v>
      </c>
      <c r="H9" s="38"/>
      <c r="I9" s="147"/>
      <c r="J9" s="93" t="s">
        <v>69</v>
      </c>
      <c r="K9" s="94">
        <v>19937</v>
      </c>
      <c r="L9" s="128"/>
      <c r="M9" s="125">
        <v>3237982</v>
      </c>
      <c r="N9" s="126">
        <v>34000</v>
      </c>
      <c r="O9" s="127">
        <v>42379</v>
      </c>
      <c r="R9" s="93"/>
      <c r="S9" s="94"/>
      <c r="T9" s="128"/>
      <c r="U9" s="125">
        <v>3358246</v>
      </c>
      <c r="V9" s="126">
        <v>46885.5</v>
      </c>
      <c r="W9" s="127">
        <v>42397</v>
      </c>
    </row>
    <row r="10" spans="1:24" ht="15.75" customHeight="1" x14ac:dyDescent="0.25">
      <c r="A10" s="14"/>
      <c r="B10" s="96">
        <v>42413</v>
      </c>
      <c r="C10" s="93" t="s">
        <v>89</v>
      </c>
      <c r="D10" s="94">
        <v>5579</v>
      </c>
      <c r="E10" s="95">
        <v>42420</v>
      </c>
      <c r="F10" s="94">
        <v>5579</v>
      </c>
      <c r="G10" s="99">
        <f>D10-F10</f>
        <v>0</v>
      </c>
      <c r="H10" s="38"/>
      <c r="I10" s="147"/>
      <c r="J10" s="93" t="s">
        <v>71</v>
      </c>
      <c r="K10" s="94">
        <v>286045.2</v>
      </c>
      <c r="L10" s="129"/>
      <c r="M10" s="125">
        <v>3238000</v>
      </c>
      <c r="N10" s="126">
        <v>50541</v>
      </c>
      <c r="O10" s="127">
        <v>42379</v>
      </c>
      <c r="R10" s="93"/>
      <c r="S10" s="94"/>
      <c r="T10" s="129"/>
      <c r="U10" s="125">
        <v>3358244</v>
      </c>
      <c r="V10" s="126">
        <v>59497</v>
      </c>
      <c r="W10" s="127">
        <v>42398</v>
      </c>
    </row>
    <row r="11" spans="1:24" ht="15" x14ac:dyDescent="0.25">
      <c r="A11" s="14"/>
      <c r="B11" s="96">
        <v>42417</v>
      </c>
      <c r="C11" s="93" t="s">
        <v>90</v>
      </c>
      <c r="D11" s="94">
        <v>9991</v>
      </c>
      <c r="E11" s="196" t="s">
        <v>97</v>
      </c>
      <c r="F11" s="94">
        <f>8044.01+1946.99</f>
        <v>9991</v>
      </c>
      <c r="G11" s="99">
        <f>D11-F11</f>
        <v>0</v>
      </c>
      <c r="H11" s="38"/>
      <c r="I11" s="147"/>
      <c r="J11" s="93" t="s">
        <v>70</v>
      </c>
      <c r="K11" s="94">
        <v>271030.61</v>
      </c>
      <c r="L11" s="124" t="s">
        <v>37</v>
      </c>
      <c r="M11" s="130">
        <v>3237998</v>
      </c>
      <c r="N11" s="131">
        <v>60000</v>
      </c>
      <c r="O11" s="127">
        <v>42380</v>
      </c>
      <c r="R11" s="93"/>
      <c r="S11" s="94"/>
      <c r="T11" s="124"/>
      <c r="U11" s="130">
        <v>3358243</v>
      </c>
      <c r="V11" s="131">
        <v>33000</v>
      </c>
      <c r="W11" s="127">
        <v>42399</v>
      </c>
    </row>
    <row r="12" spans="1:24" ht="15" x14ac:dyDescent="0.25">
      <c r="A12" s="14"/>
      <c r="B12" s="96">
        <v>42420</v>
      </c>
      <c r="C12" s="93" t="s">
        <v>94</v>
      </c>
      <c r="D12" s="94">
        <v>292767.3</v>
      </c>
      <c r="E12" s="95">
        <v>42425</v>
      </c>
      <c r="F12" s="94">
        <v>292767.3</v>
      </c>
      <c r="G12" s="99">
        <f t="shared" si="0"/>
        <v>0</v>
      </c>
      <c r="H12" s="38"/>
      <c r="I12" s="147"/>
      <c r="J12" s="93"/>
      <c r="K12" s="94" t="s">
        <v>72</v>
      </c>
      <c r="L12" s="124"/>
      <c r="M12" s="130">
        <v>3237996</v>
      </c>
      <c r="N12" s="131">
        <v>21290</v>
      </c>
      <c r="O12" s="127">
        <v>42380</v>
      </c>
      <c r="R12" s="93"/>
      <c r="S12" s="94"/>
      <c r="T12" s="124"/>
      <c r="U12" s="130">
        <v>3358242</v>
      </c>
      <c r="V12" s="131">
        <v>61143.5</v>
      </c>
      <c r="W12" s="127">
        <v>42399</v>
      </c>
    </row>
    <row r="13" spans="1:24" ht="15" x14ac:dyDescent="0.25">
      <c r="A13" s="14"/>
      <c r="B13" s="96">
        <v>42420</v>
      </c>
      <c r="C13" s="93" t="s">
        <v>95</v>
      </c>
      <c r="D13" s="94">
        <v>322204.05</v>
      </c>
      <c r="E13" s="95" t="s">
        <v>102</v>
      </c>
      <c r="F13" s="94">
        <f>318854.71+3349.34</f>
        <v>322204.05000000005</v>
      </c>
      <c r="G13" s="99">
        <f t="shared" si="0"/>
        <v>0</v>
      </c>
      <c r="H13" s="146"/>
      <c r="I13" s="147"/>
      <c r="J13" s="93"/>
      <c r="K13" s="132"/>
      <c r="L13" s="124"/>
      <c r="M13" s="130">
        <v>3237999</v>
      </c>
      <c r="N13" s="131">
        <v>25800</v>
      </c>
      <c r="O13" s="127">
        <v>42381</v>
      </c>
      <c r="R13" s="93"/>
      <c r="S13" s="132"/>
      <c r="T13" s="124"/>
      <c r="U13" s="130">
        <v>3358240</v>
      </c>
      <c r="V13" s="131">
        <v>32124.5</v>
      </c>
      <c r="W13" s="127">
        <v>42400</v>
      </c>
    </row>
    <row r="14" spans="1:24" ht="15" x14ac:dyDescent="0.25">
      <c r="A14" s="14"/>
      <c r="B14" s="96">
        <v>42426</v>
      </c>
      <c r="C14" s="93" t="s">
        <v>98</v>
      </c>
      <c r="D14" s="94">
        <v>23418.36</v>
      </c>
      <c r="E14" s="95">
        <v>42433</v>
      </c>
      <c r="F14" s="94">
        <v>23418.36</v>
      </c>
      <c r="G14" s="99">
        <f t="shared" si="0"/>
        <v>0</v>
      </c>
      <c r="H14" s="147"/>
      <c r="I14" s="147"/>
      <c r="J14" s="133"/>
      <c r="K14" s="134"/>
      <c r="L14" s="128"/>
      <c r="M14" s="135">
        <v>3237997</v>
      </c>
      <c r="N14" s="136">
        <v>6589.5</v>
      </c>
      <c r="O14" s="137">
        <v>42381</v>
      </c>
      <c r="R14" s="133"/>
      <c r="S14" s="134"/>
      <c r="T14" s="128"/>
      <c r="U14" s="135">
        <v>3358241</v>
      </c>
      <c r="V14" s="136">
        <v>22000</v>
      </c>
      <c r="W14" s="137">
        <v>42400</v>
      </c>
    </row>
    <row r="15" spans="1:24" ht="15" x14ac:dyDescent="0.25">
      <c r="A15" s="14"/>
      <c r="B15" s="96">
        <v>42427</v>
      </c>
      <c r="C15" s="93" t="s">
        <v>99</v>
      </c>
      <c r="D15" s="94">
        <v>180743.8</v>
      </c>
      <c r="E15" s="95">
        <v>42433</v>
      </c>
      <c r="F15" s="94">
        <v>180743.8</v>
      </c>
      <c r="G15" s="99">
        <f>D15-F15</f>
        <v>0</v>
      </c>
      <c r="H15" s="147"/>
      <c r="I15" s="147"/>
      <c r="J15" s="133"/>
      <c r="K15" s="134"/>
      <c r="L15" s="128"/>
      <c r="M15" s="135">
        <v>3237994</v>
      </c>
      <c r="N15" s="136">
        <v>42417</v>
      </c>
      <c r="O15" s="137">
        <v>42382</v>
      </c>
      <c r="R15" s="133"/>
      <c r="S15" s="134"/>
      <c r="T15" s="128"/>
      <c r="U15" s="135">
        <v>3358239</v>
      </c>
      <c r="V15" s="136">
        <v>7629</v>
      </c>
      <c r="W15" s="137">
        <v>42401</v>
      </c>
    </row>
    <row r="16" spans="1:24" ht="15" x14ac:dyDescent="0.25">
      <c r="A16" s="14"/>
      <c r="B16" s="96">
        <v>42429</v>
      </c>
      <c r="C16" s="93" t="s">
        <v>101</v>
      </c>
      <c r="D16" s="94">
        <v>13582.8</v>
      </c>
      <c r="E16" s="95">
        <v>42433</v>
      </c>
      <c r="F16" s="94">
        <v>13582.8</v>
      </c>
      <c r="G16" s="99">
        <f>D16-F16</f>
        <v>0</v>
      </c>
      <c r="J16" s="133"/>
      <c r="K16" s="134"/>
      <c r="L16" s="128"/>
      <c r="M16" s="135" t="s">
        <v>31</v>
      </c>
      <c r="N16" s="136">
        <v>500</v>
      </c>
      <c r="O16" s="137">
        <v>42394</v>
      </c>
      <c r="P16" s="159">
        <v>42383</v>
      </c>
      <c r="R16" s="133"/>
      <c r="S16" s="134"/>
      <c r="T16" s="128"/>
      <c r="U16" s="135" t="s">
        <v>31</v>
      </c>
      <c r="V16" s="136">
        <v>22247</v>
      </c>
      <c r="W16" s="137">
        <v>42409</v>
      </c>
    </row>
    <row r="17" spans="1:24" ht="15" x14ac:dyDescent="0.25">
      <c r="A17" s="14"/>
      <c r="B17" s="96"/>
      <c r="C17" s="93"/>
      <c r="D17" s="94"/>
      <c r="E17" s="95"/>
      <c r="F17" s="94"/>
      <c r="G17" s="97">
        <f>D17-F17</f>
        <v>0</v>
      </c>
      <c r="J17" s="133"/>
      <c r="K17" s="134"/>
      <c r="L17" s="128"/>
      <c r="M17" s="135">
        <v>3237991</v>
      </c>
      <c r="N17" s="136">
        <v>58638</v>
      </c>
      <c r="O17" s="137">
        <v>42383</v>
      </c>
      <c r="R17" s="133"/>
      <c r="S17" s="134"/>
      <c r="T17" s="128"/>
      <c r="U17" s="135" t="s">
        <v>31</v>
      </c>
      <c r="V17" s="136">
        <v>100</v>
      </c>
      <c r="W17" s="137">
        <v>42394</v>
      </c>
      <c r="X17" s="159">
        <v>42407</v>
      </c>
    </row>
    <row r="18" spans="1:24" ht="15" x14ac:dyDescent="0.25">
      <c r="A18" s="14"/>
      <c r="B18" s="96"/>
      <c r="C18" s="93"/>
      <c r="D18" s="94"/>
      <c r="E18" s="95"/>
      <c r="F18" s="94"/>
      <c r="G18" s="97">
        <f>D18-F18</f>
        <v>0</v>
      </c>
      <c r="J18" s="133"/>
      <c r="K18" s="134"/>
      <c r="L18" s="128"/>
      <c r="M18" s="135">
        <v>3237993</v>
      </c>
      <c r="N18" s="136">
        <v>40000</v>
      </c>
      <c r="O18" s="137">
        <v>42383</v>
      </c>
      <c r="R18" s="192"/>
      <c r="S18" s="192"/>
      <c r="T18" s="192"/>
      <c r="U18" s="193" t="s">
        <v>31</v>
      </c>
      <c r="V18" s="194">
        <v>9440</v>
      </c>
      <c r="W18" s="137">
        <v>42405</v>
      </c>
      <c r="X18" s="159">
        <v>42406</v>
      </c>
    </row>
    <row r="19" spans="1:24" ht="15" x14ac:dyDescent="0.25">
      <c r="A19" s="14"/>
      <c r="B19" s="96"/>
      <c r="C19" s="93"/>
      <c r="D19" s="94"/>
      <c r="E19" s="95"/>
      <c r="F19" s="94"/>
      <c r="G19" s="99">
        <f>D19-F19</f>
        <v>0</v>
      </c>
      <c r="J19" s="133"/>
      <c r="K19" s="134"/>
      <c r="L19" s="128"/>
      <c r="M19" s="135">
        <v>3358270</v>
      </c>
      <c r="N19" s="136">
        <v>60000</v>
      </c>
      <c r="O19" s="137">
        <v>42384</v>
      </c>
      <c r="R19" s="192"/>
      <c r="S19" s="192"/>
      <c r="T19" s="192"/>
      <c r="U19" s="193" t="s">
        <v>31</v>
      </c>
      <c r="V19" s="194">
        <v>60016</v>
      </c>
      <c r="W19" s="137">
        <v>42406</v>
      </c>
    </row>
    <row r="20" spans="1:24" ht="15" x14ac:dyDescent="0.25">
      <c r="A20" s="14"/>
      <c r="B20" s="96"/>
      <c r="C20" s="93"/>
      <c r="D20" s="94"/>
      <c r="E20" s="95"/>
      <c r="F20" s="94"/>
      <c r="G20" s="97">
        <f t="shared" si="0"/>
        <v>0</v>
      </c>
      <c r="J20" s="133"/>
      <c r="K20" s="134"/>
      <c r="L20" s="128"/>
      <c r="M20" s="135" t="s">
        <v>31</v>
      </c>
      <c r="N20" s="136">
        <v>5976</v>
      </c>
      <c r="O20" s="137">
        <v>42391</v>
      </c>
      <c r="P20" s="159">
        <v>42381</v>
      </c>
      <c r="R20" s="192"/>
      <c r="S20" s="192"/>
      <c r="T20" s="192"/>
      <c r="U20" s="193">
        <v>3280422</v>
      </c>
      <c r="V20" s="194">
        <v>30890</v>
      </c>
      <c r="W20" s="137">
        <v>42406</v>
      </c>
    </row>
    <row r="21" spans="1:24" ht="15" x14ac:dyDescent="0.25">
      <c r="A21" s="14"/>
      <c r="B21" s="96"/>
      <c r="C21" s="93"/>
      <c r="D21" s="94"/>
      <c r="E21" s="95"/>
      <c r="F21" s="94"/>
      <c r="G21" s="97">
        <f t="shared" si="0"/>
        <v>0</v>
      </c>
      <c r="J21" s="133"/>
      <c r="K21" s="134"/>
      <c r="L21" s="128"/>
      <c r="M21" s="135" t="s">
        <v>31</v>
      </c>
      <c r="N21" s="136">
        <v>14142</v>
      </c>
      <c r="O21" s="137">
        <v>42385</v>
      </c>
      <c r="P21" s="159">
        <v>42386</v>
      </c>
      <c r="R21" s="192"/>
      <c r="S21" s="192"/>
      <c r="T21" s="192"/>
      <c r="U21" s="193">
        <v>3358232</v>
      </c>
      <c r="V21" s="194">
        <v>35810</v>
      </c>
      <c r="W21" s="137">
        <v>42405</v>
      </c>
    </row>
    <row r="22" spans="1:24" thickBot="1" x14ac:dyDescent="0.3">
      <c r="A22" s="14"/>
      <c r="B22" s="96"/>
      <c r="C22" s="93"/>
      <c r="D22" s="94"/>
      <c r="E22" s="95"/>
      <c r="F22" s="94"/>
      <c r="G22" s="97">
        <f t="shared" si="0"/>
        <v>0</v>
      </c>
      <c r="J22" s="133"/>
      <c r="K22" s="134"/>
      <c r="L22" s="128"/>
      <c r="M22" s="135">
        <v>3358268</v>
      </c>
      <c r="N22" s="136">
        <v>7901.5</v>
      </c>
      <c r="O22" s="137">
        <v>42384</v>
      </c>
      <c r="R22" s="138"/>
      <c r="S22" s="138"/>
      <c r="T22" s="138"/>
      <c r="U22" s="139">
        <v>3358238</v>
      </c>
      <c r="V22" s="140">
        <v>41000</v>
      </c>
      <c r="W22" s="141">
        <v>42402</v>
      </c>
    </row>
    <row r="23" spans="1:24" ht="19.5" thickTop="1" x14ac:dyDescent="0.3">
      <c r="A23" s="14"/>
      <c r="B23" s="96"/>
      <c r="C23" s="93"/>
      <c r="D23" s="94"/>
      <c r="E23" s="95"/>
      <c r="F23" s="94"/>
      <c r="G23" s="97">
        <f t="shared" si="0"/>
        <v>0</v>
      </c>
      <c r="J23" s="133"/>
      <c r="K23" s="134"/>
      <c r="L23" s="128"/>
      <c r="M23" s="135" t="s">
        <v>31</v>
      </c>
      <c r="N23" s="136">
        <v>9831</v>
      </c>
      <c r="O23" s="137">
        <v>42392</v>
      </c>
      <c r="R23" s="67"/>
      <c r="S23" s="142">
        <f>SUM(S4:S22)</f>
        <v>613569</v>
      </c>
      <c r="T23" s="143"/>
      <c r="U23" s="143"/>
      <c r="V23" s="143">
        <f>SUM(V4:V22)</f>
        <v>613569</v>
      </c>
      <c r="W23" s="144"/>
    </row>
    <row r="24" spans="1:24" ht="15" x14ac:dyDescent="0.25">
      <c r="A24" s="14"/>
      <c r="B24" s="96"/>
      <c r="C24" s="93"/>
      <c r="D24" s="94"/>
      <c r="E24" s="95"/>
      <c r="F24" s="94"/>
      <c r="G24" s="97">
        <f t="shared" si="0"/>
        <v>0</v>
      </c>
      <c r="J24" s="133"/>
      <c r="K24" s="134"/>
      <c r="L24" s="128"/>
      <c r="M24" s="135"/>
      <c r="N24" s="136"/>
      <c r="O24" s="137"/>
    </row>
    <row r="25" spans="1:24" thickBot="1" x14ac:dyDescent="0.3">
      <c r="A25" s="14"/>
      <c r="B25" s="96"/>
      <c r="C25" s="93"/>
      <c r="D25" s="94"/>
      <c r="E25" s="95"/>
      <c r="F25" s="94"/>
      <c r="G25" s="97">
        <f t="shared" si="0"/>
        <v>0</v>
      </c>
      <c r="J25" s="138"/>
      <c r="K25" s="138"/>
      <c r="L25" s="138"/>
      <c r="M25" s="139"/>
      <c r="N25" s="140">
        <v>0</v>
      </c>
      <c r="O25" s="141"/>
    </row>
    <row r="26" spans="1:24" ht="19.5" thickTop="1" x14ac:dyDescent="0.3">
      <c r="A26" s="14"/>
      <c r="B26" s="96"/>
      <c r="C26" s="93"/>
      <c r="D26" s="94"/>
      <c r="E26" s="95"/>
      <c r="F26" s="94"/>
      <c r="G26" s="97">
        <f t="shared" si="0"/>
        <v>0</v>
      </c>
      <c r="J26" s="67"/>
      <c r="K26" s="142">
        <f>SUM(K4:K25)</f>
        <v>712586.5</v>
      </c>
      <c r="L26" s="143"/>
      <c r="M26" s="143"/>
      <c r="N26" s="143">
        <f>SUM(N4:N25)</f>
        <v>712586.5</v>
      </c>
      <c r="O26" s="144"/>
    </row>
    <row r="27" spans="1:24" ht="15" x14ac:dyDescent="0.25">
      <c r="A27" s="14"/>
      <c r="B27" s="96"/>
      <c r="C27" s="93"/>
      <c r="D27" s="94"/>
      <c r="E27" s="95"/>
      <c r="F27" s="94"/>
      <c r="G27" s="97">
        <f t="shared" si="0"/>
        <v>0</v>
      </c>
    </row>
    <row r="28" spans="1:24" thickBot="1" x14ac:dyDescent="0.3">
      <c r="B28" s="14"/>
      <c r="C28" s="104"/>
      <c r="D28" s="105"/>
      <c r="E28" s="104"/>
      <c r="F28" s="106"/>
      <c r="G28" s="107">
        <f t="shared" ref="G28" si="1">D28-F28</f>
        <v>0</v>
      </c>
    </row>
    <row r="29" spans="1:24" ht="20.25" thickTop="1" thickBot="1" x14ac:dyDescent="0.35">
      <c r="B29"/>
      <c r="C29"/>
      <c r="D29" s="108">
        <f>SUM(D4:D28)</f>
        <v>2311866.9099999997</v>
      </c>
      <c r="E29" s="108"/>
      <c r="F29" s="109">
        <f>SUM(F4:F28)</f>
        <v>2311866.9099999997</v>
      </c>
      <c r="G29" s="109">
        <f>SUM(G4:G28)</f>
        <v>0</v>
      </c>
      <c r="J29" s="343">
        <v>1</v>
      </c>
      <c r="K29" s="86" t="s">
        <v>28</v>
      </c>
      <c r="L29" s="86"/>
      <c r="M29" s="110"/>
      <c r="N29" s="191">
        <v>42413</v>
      </c>
      <c r="O29" s="112"/>
      <c r="R29" s="343">
        <v>1</v>
      </c>
      <c r="S29" s="86" t="s">
        <v>28</v>
      </c>
      <c r="T29" s="86"/>
      <c r="U29" s="110"/>
      <c r="V29" s="197">
        <v>42432</v>
      </c>
      <c r="W29" s="112"/>
    </row>
    <row r="30" spans="1:24" ht="16.5" thickBot="1" x14ac:dyDescent="0.3">
      <c r="J30" s="344"/>
      <c r="K30" s="113"/>
      <c r="L30" s="113"/>
      <c r="M30" s="114"/>
      <c r="N30" s="115"/>
      <c r="O30" s="112"/>
      <c r="R30" s="344"/>
      <c r="S30" s="113"/>
      <c r="T30" s="113"/>
      <c r="U30" s="114"/>
      <c r="V30" s="115"/>
      <c r="W30" s="112"/>
    </row>
    <row r="31" spans="1:24" ht="16.5" thickBot="1" x14ac:dyDescent="0.3">
      <c r="J31" s="116" t="s">
        <v>23</v>
      </c>
      <c r="K31" s="116" t="s">
        <v>24</v>
      </c>
      <c r="L31" s="116"/>
      <c r="M31" s="117" t="s">
        <v>29</v>
      </c>
      <c r="N31" s="118" t="s">
        <v>30</v>
      </c>
      <c r="O31" s="119"/>
      <c r="R31" s="116" t="s">
        <v>23</v>
      </c>
      <c r="S31" s="116" t="s">
        <v>24</v>
      </c>
      <c r="T31" s="116"/>
      <c r="U31" s="117" t="s">
        <v>29</v>
      </c>
      <c r="V31" s="118" t="s">
        <v>30</v>
      </c>
      <c r="W31" s="119"/>
    </row>
    <row r="32" spans="1:24" ht="12.75" customHeight="1" thickTop="1" x14ac:dyDescent="0.25">
      <c r="J32" s="93" t="s">
        <v>70</v>
      </c>
      <c r="K32" s="94">
        <v>653.39</v>
      </c>
      <c r="L32" s="120" t="s">
        <v>36</v>
      </c>
      <c r="M32" s="121">
        <v>33582569</v>
      </c>
      <c r="N32" s="122">
        <v>45000</v>
      </c>
      <c r="O32" s="123">
        <v>42384</v>
      </c>
      <c r="R32" s="93" t="s">
        <v>95</v>
      </c>
      <c r="S32" s="94">
        <v>3349.34</v>
      </c>
      <c r="T32" s="120"/>
      <c r="U32" s="121" t="s">
        <v>31</v>
      </c>
      <c r="V32" s="122">
        <v>40301</v>
      </c>
      <c r="W32" s="123">
        <v>42403</v>
      </c>
      <c r="X32" s="159">
        <v>42401</v>
      </c>
    </row>
    <row r="33" spans="2:24" x14ac:dyDescent="0.25">
      <c r="B33"/>
      <c r="C33"/>
      <c r="E33"/>
      <c r="F33"/>
      <c r="G33"/>
      <c r="H33"/>
      <c r="I33"/>
      <c r="J33" s="93" t="s">
        <v>83</v>
      </c>
      <c r="K33" s="94">
        <v>302188</v>
      </c>
      <c r="L33" s="124"/>
      <c r="M33" s="125" t="s">
        <v>31</v>
      </c>
      <c r="N33" s="126">
        <v>68120</v>
      </c>
      <c r="O33" s="127">
        <v>42377</v>
      </c>
      <c r="R33" s="93" t="s">
        <v>98</v>
      </c>
      <c r="S33" s="94">
        <v>23418.36</v>
      </c>
      <c r="T33" s="124"/>
      <c r="U33" s="125" t="s">
        <v>31</v>
      </c>
      <c r="V33" s="126">
        <v>38633</v>
      </c>
      <c r="W33" s="127">
        <v>42403</v>
      </c>
      <c r="X33" s="159">
        <v>42401</v>
      </c>
    </row>
    <row r="34" spans="2:24" x14ac:dyDescent="0.25">
      <c r="B34"/>
      <c r="C34"/>
      <c r="E34"/>
      <c r="F34"/>
      <c r="G34"/>
      <c r="H34"/>
      <c r="I34"/>
      <c r="J34" s="98" t="s">
        <v>84</v>
      </c>
      <c r="K34" s="94">
        <v>272583</v>
      </c>
      <c r="L34" s="124"/>
      <c r="M34" s="125" t="s">
        <v>31</v>
      </c>
      <c r="N34" s="126">
        <v>42536</v>
      </c>
      <c r="O34" s="127">
        <v>42383</v>
      </c>
      <c r="R34" s="93" t="s">
        <v>99</v>
      </c>
      <c r="S34" s="94">
        <v>180743.8</v>
      </c>
      <c r="T34" s="124"/>
      <c r="U34" s="125">
        <v>3358234</v>
      </c>
      <c r="V34" s="126">
        <v>30000</v>
      </c>
      <c r="W34" s="127">
        <v>42405</v>
      </c>
    </row>
    <row r="35" spans="2:24" x14ac:dyDescent="0.25">
      <c r="B35"/>
      <c r="C35"/>
      <c r="E35"/>
      <c r="F35"/>
      <c r="G35"/>
      <c r="H35"/>
      <c r="I35"/>
      <c r="J35" s="93" t="s">
        <v>85</v>
      </c>
      <c r="K35" s="94">
        <v>6760.11</v>
      </c>
      <c r="L35" s="124" t="s">
        <v>88</v>
      </c>
      <c r="M35" s="125" t="s">
        <v>31</v>
      </c>
      <c r="N35" s="126">
        <v>29686</v>
      </c>
      <c r="O35" s="127">
        <v>42391</v>
      </c>
      <c r="R35" s="93" t="s">
        <v>100</v>
      </c>
      <c r="S35" s="94">
        <v>107363.8</v>
      </c>
      <c r="T35" s="124"/>
      <c r="U35" s="125">
        <v>3358235</v>
      </c>
      <c r="V35" s="126">
        <v>52960</v>
      </c>
      <c r="W35" s="127">
        <v>42404</v>
      </c>
    </row>
    <row r="36" spans="2:24" x14ac:dyDescent="0.25">
      <c r="B36"/>
      <c r="C36"/>
      <c r="E36"/>
      <c r="F36"/>
      <c r="G36"/>
      <c r="H36"/>
      <c r="I36"/>
      <c r="J36" s="93"/>
      <c r="K36" s="94"/>
      <c r="L36" s="124"/>
      <c r="M36" s="125" t="s">
        <v>31</v>
      </c>
      <c r="N36" s="126">
        <v>59000</v>
      </c>
      <c r="O36" s="127">
        <v>42391</v>
      </c>
      <c r="P36" t="s">
        <v>86</v>
      </c>
      <c r="R36" s="93"/>
      <c r="S36" s="94"/>
      <c r="T36" s="124"/>
      <c r="U36" s="125">
        <v>3358236</v>
      </c>
      <c r="V36" s="126">
        <v>33139</v>
      </c>
      <c r="W36" s="127">
        <v>42403</v>
      </c>
    </row>
    <row r="37" spans="2:24" x14ac:dyDescent="0.25">
      <c r="B37"/>
      <c r="C37"/>
      <c r="E37"/>
      <c r="F37"/>
      <c r="G37"/>
      <c r="H37"/>
      <c r="I37"/>
      <c r="J37" s="93"/>
      <c r="K37" s="94"/>
      <c r="L37" s="128"/>
      <c r="M37" s="125">
        <v>3358267</v>
      </c>
      <c r="N37" s="126">
        <v>65530.5</v>
      </c>
      <c r="O37" s="127">
        <v>42385</v>
      </c>
      <c r="R37" s="93"/>
      <c r="S37" s="94"/>
      <c r="T37" s="128"/>
      <c r="U37" s="125">
        <v>3358237</v>
      </c>
      <c r="V37" s="126">
        <v>28904.5</v>
      </c>
      <c r="W37" s="127">
        <v>42402</v>
      </c>
    </row>
    <row r="38" spans="2:24" x14ac:dyDescent="0.25">
      <c r="B38"/>
      <c r="C38"/>
      <c r="E38"/>
      <c r="F38"/>
      <c r="G38"/>
      <c r="H38"/>
      <c r="I38"/>
      <c r="J38" s="93"/>
      <c r="K38" s="94"/>
      <c r="L38" s="129"/>
      <c r="M38" s="125">
        <v>3358264</v>
      </c>
      <c r="N38" s="126">
        <v>36087</v>
      </c>
      <c r="O38" s="127">
        <v>42386</v>
      </c>
      <c r="R38" s="93"/>
      <c r="S38" s="94"/>
      <c r="T38" s="129"/>
      <c r="U38" s="125">
        <v>3358231</v>
      </c>
      <c r="V38" s="126">
        <v>31415</v>
      </c>
      <c r="W38" s="127">
        <v>42406</v>
      </c>
    </row>
    <row r="39" spans="2:24" x14ac:dyDescent="0.25">
      <c r="B39"/>
      <c r="C39"/>
      <c r="E39"/>
      <c r="F39"/>
      <c r="G39"/>
      <c r="H39"/>
      <c r="I39"/>
      <c r="J39" s="93"/>
      <c r="K39" s="94"/>
      <c r="L39" s="124"/>
      <c r="M39" s="130">
        <v>3358266</v>
      </c>
      <c r="N39" s="131">
        <v>65000</v>
      </c>
      <c r="O39" s="127">
        <v>42387</v>
      </c>
      <c r="R39" s="93"/>
      <c r="S39" s="94"/>
      <c r="T39" s="124"/>
      <c r="U39" s="130">
        <v>3358230</v>
      </c>
      <c r="V39" s="126">
        <v>50000</v>
      </c>
      <c r="W39" s="127">
        <v>42407</v>
      </c>
    </row>
    <row r="40" spans="2:24" ht="15" x14ac:dyDescent="0.25">
      <c r="B40"/>
      <c r="C40"/>
      <c r="E40"/>
      <c r="F40"/>
      <c r="G40"/>
      <c r="H40"/>
      <c r="I40"/>
      <c r="J40" s="93"/>
      <c r="K40" s="94"/>
      <c r="L40" s="124"/>
      <c r="M40" s="130">
        <v>3358263</v>
      </c>
      <c r="N40" s="131">
        <v>32252.5</v>
      </c>
      <c r="O40" s="127">
        <v>42387</v>
      </c>
      <c r="R40" s="93"/>
      <c r="S40" s="94"/>
      <c r="T40" s="124"/>
      <c r="U40" s="130"/>
      <c r="V40" s="131"/>
      <c r="W40" s="127"/>
    </row>
    <row r="41" spans="2:24" ht="15" x14ac:dyDescent="0.25">
      <c r="B41"/>
      <c r="C41"/>
      <c r="E41"/>
      <c r="F41"/>
      <c r="G41"/>
      <c r="H41"/>
      <c r="I41"/>
      <c r="J41" s="93"/>
      <c r="K41" s="132"/>
      <c r="L41" s="124"/>
      <c r="M41" s="130">
        <v>3358221</v>
      </c>
      <c r="N41" s="131">
        <v>27240</v>
      </c>
      <c r="O41" s="127">
        <v>42388</v>
      </c>
      <c r="R41" s="93"/>
      <c r="S41" s="132"/>
      <c r="T41" s="124"/>
      <c r="U41" s="130"/>
      <c r="V41" s="131"/>
      <c r="W41" s="127"/>
    </row>
    <row r="42" spans="2:24" ht="15" x14ac:dyDescent="0.25">
      <c r="B42"/>
      <c r="C42"/>
      <c r="E42"/>
      <c r="F42"/>
      <c r="G42"/>
      <c r="H42"/>
      <c r="I42"/>
      <c r="J42" s="133"/>
      <c r="K42" s="134"/>
      <c r="L42" s="128"/>
      <c r="M42" s="135">
        <v>3358261</v>
      </c>
      <c r="N42" s="136">
        <v>107000</v>
      </c>
      <c r="O42" s="137">
        <v>42389</v>
      </c>
      <c r="R42" s="133"/>
      <c r="S42" s="134"/>
      <c r="T42" s="128"/>
      <c r="U42" s="135"/>
      <c r="V42" s="136"/>
      <c r="W42" s="137"/>
    </row>
    <row r="43" spans="2:24" ht="15" x14ac:dyDescent="0.25">
      <c r="B43"/>
      <c r="C43"/>
      <c r="E43"/>
      <c r="F43"/>
      <c r="G43"/>
      <c r="H43"/>
      <c r="I43"/>
      <c r="J43" s="133"/>
      <c r="K43" s="134"/>
      <c r="L43" s="128"/>
      <c r="M43" s="135">
        <v>3358262</v>
      </c>
      <c r="N43" s="136">
        <v>1103.5</v>
      </c>
      <c r="O43" s="137">
        <v>42388</v>
      </c>
      <c r="R43" s="133"/>
      <c r="S43" s="134"/>
      <c r="T43" s="128"/>
      <c r="U43" s="135"/>
      <c r="V43" s="136"/>
      <c r="W43" s="137"/>
    </row>
    <row r="44" spans="2:24" ht="15" x14ac:dyDescent="0.25">
      <c r="B44"/>
      <c r="C44"/>
      <c r="E44"/>
      <c r="F44"/>
      <c r="G44"/>
      <c r="H44"/>
      <c r="I44"/>
      <c r="J44" s="133"/>
      <c r="K44" s="134"/>
      <c r="L44" s="128"/>
      <c r="M44" s="135" t="s">
        <v>31</v>
      </c>
      <c r="N44" s="136">
        <v>3629</v>
      </c>
      <c r="O44" s="137">
        <v>42396</v>
      </c>
      <c r="R44" s="133"/>
      <c r="S44" s="134"/>
      <c r="T44" s="128"/>
      <c r="U44" s="135"/>
      <c r="V44" s="136"/>
      <c r="W44" s="137"/>
    </row>
    <row r="45" spans="2:24" ht="15" x14ac:dyDescent="0.25">
      <c r="B45"/>
      <c r="C45"/>
      <c r="E45"/>
      <c r="F45"/>
      <c r="G45"/>
      <c r="H45"/>
      <c r="I45"/>
      <c r="J45" s="133"/>
      <c r="K45" s="134"/>
      <c r="L45" s="128"/>
      <c r="M45" s="135"/>
      <c r="N45" s="136"/>
      <c r="O45" s="137"/>
      <c r="R45" s="133"/>
      <c r="S45" s="134"/>
      <c r="T45" s="128"/>
      <c r="U45" s="135"/>
      <c r="V45" s="136"/>
      <c r="W45" s="137"/>
    </row>
    <row r="46" spans="2:24" ht="16.5" thickBot="1" x14ac:dyDescent="0.3">
      <c r="J46" s="138"/>
      <c r="K46" s="138"/>
      <c r="L46" s="138"/>
      <c r="M46" s="139"/>
      <c r="N46" s="140">
        <v>0</v>
      </c>
      <c r="O46" s="141"/>
      <c r="R46" s="192"/>
      <c r="S46" s="192"/>
      <c r="T46" s="192"/>
      <c r="U46" s="193"/>
      <c r="V46" s="194"/>
      <c r="W46" s="137"/>
    </row>
    <row r="47" spans="2:24" ht="19.5" thickTop="1" x14ac:dyDescent="0.3">
      <c r="J47" s="67"/>
      <c r="K47" s="142">
        <f>SUM(K32:K46)</f>
        <v>582184.5</v>
      </c>
      <c r="L47" s="143"/>
      <c r="M47" s="143"/>
      <c r="N47" s="143">
        <f>SUM(N32:N46)</f>
        <v>582184.5</v>
      </c>
      <c r="O47" s="144"/>
      <c r="R47" s="192"/>
      <c r="S47" s="192"/>
      <c r="T47" s="192"/>
      <c r="U47" s="193"/>
      <c r="V47" s="194"/>
      <c r="W47" s="137"/>
    </row>
    <row r="48" spans="2:24" x14ac:dyDescent="0.25">
      <c r="R48" s="192"/>
      <c r="S48" s="192"/>
      <c r="T48" s="192"/>
      <c r="U48" s="193"/>
      <c r="V48" s="194"/>
      <c r="W48" s="137"/>
    </row>
    <row r="49" spans="2:23" ht="16.5" thickBot="1" x14ac:dyDescent="0.3">
      <c r="R49" s="192"/>
      <c r="S49" s="192"/>
      <c r="T49" s="192"/>
      <c r="U49" s="193"/>
      <c r="V49" s="194"/>
      <c r="W49" s="137"/>
    </row>
    <row r="50" spans="2:23" ht="19.5" thickBot="1" x14ac:dyDescent="0.35">
      <c r="J50" s="343">
        <v>1</v>
      </c>
      <c r="K50" s="86" t="s">
        <v>28</v>
      </c>
      <c r="L50" s="86"/>
      <c r="M50" s="110"/>
      <c r="N50" s="148">
        <v>42420</v>
      </c>
      <c r="O50" s="112"/>
      <c r="R50" s="138"/>
      <c r="S50" s="138"/>
      <c r="T50" s="138"/>
      <c r="U50" s="139"/>
      <c r="V50" s="140"/>
      <c r="W50" s="141"/>
    </row>
    <row r="51" spans="2:23" ht="19.5" thickBot="1" x14ac:dyDescent="0.35">
      <c r="J51" s="344"/>
      <c r="K51" s="113"/>
      <c r="L51" s="113"/>
      <c r="M51" s="114"/>
      <c r="N51" s="115"/>
      <c r="O51" s="112"/>
      <c r="R51" s="67"/>
      <c r="S51" s="142">
        <f>SUM(S32:S50)</f>
        <v>314875.3</v>
      </c>
      <c r="T51" s="143"/>
      <c r="U51" s="143"/>
      <c r="V51" s="143">
        <f>SUM(V32:V50)</f>
        <v>305352.5</v>
      </c>
      <c r="W51" s="144"/>
    </row>
    <row r="52" spans="2:23" ht="16.5" thickBot="1" x14ac:dyDescent="0.3">
      <c r="J52" s="116" t="s">
        <v>23</v>
      </c>
      <c r="K52" s="116" t="s">
        <v>24</v>
      </c>
      <c r="L52" s="116"/>
      <c r="M52" s="117" t="s">
        <v>29</v>
      </c>
      <c r="N52" s="118" t="s">
        <v>30</v>
      </c>
      <c r="O52" s="119"/>
    </row>
    <row r="53" spans="2:23" ht="16.5" thickTop="1" x14ac:dyDescent="0.25">
      <c r="J53" s="93" t="s">
        <v>85</v>
      </c>
      <c r="K53" s="94">
        <v>449.89</v>
      </c>
      <c r="L53" s="120" t="s">
        <v>36</v>
      </c>
      <c r="M53" s="121" t="s">
        <v>31</v>
      </c>
      <c r="N53" s="122">
        <v>11493</v>
      </c>
      <c r="O53" s="123">
        <v>42387</v>
      </c>
    </row>
    <row r="54" spans="2:23" x14ac:dyDescent="0.25">
      <c r="B54"/>
      <c r="C54"/>
      <c r="E54"/>
      <c r="F54" s="14"/>
      <c r="J54" s="93" t="s">
        <v>91</v>
      </c>
      <c r="K54" s="100">
        <v>318940.65000000002</v>
      </c>
      <c r="L54" s="124"/>
      <c r="M54" s="125">
        <v>3358260</v>
      </c>
      <c r="N54" s="126">
        <v>13116</v>
      </c>
      <c r="O54" s="127">
        <v>42389</v>
      </c>
    </row>
    <row r="55" spans="2:23" x14ac:dyDescent="0.25">
      <c r="B55"/>
      <c r="C55"/>
      <c r="E55"/>
      <c r="F55" s="14"/>
      <c r="J55" s="93" t="s">
        <v>92</v>
      </c>
      <c r="K55" s="94">
        <v>290974.95</v>
      </c>
      <c r="L55" s="124"/>
      <c r="M55" s="125">
        <v>3358258</v>
      </c>
      <c r="N55" s="126">
        <v>51708</v>
      </c>
      <c r="O55" s="127">
        <v>42390</v>
      </c>
    </row>
    <row r="56" spans="2:23" x14ac:dyDescent="0.25">
      <c r="B56"/>
      <c r="C56"/>
      <c r="E56"/>
      <c r="F56" s="14"/>
      <c r="J56" s="93" t="s">
        <v>89</v>
      </c>
      <c r="K56" s="94">
        <v>5579</v>
      </c>
      <c r="L56" s="124"/>
      <c r="M56" s="125">
        <v>3358259</v>
      </c>
      <c r="N56" s="126">
        <v>70000</v>
      </c>
      <c r="O56" s="127">
        <v>42390</v>
      </c>
    </row>
    <row r="57" spans="2:23" x14ac:dyDescent="0.25">
      <c r="B57"/>
      <c r="C57"/>
      <c r="E57"/>
      <c r="F57" s="14"/>
      <c r="J57" s="93" t="s">
        <v>90</v>
      </c>
      <c r="K57" s="94">
        <v>8044.01</v>
      </c>
      <c r="L57" s="124" t="s">
        <v>88</v>
      </c>
      <c r="M57" s="125" t="s">
        <v>31</v>
      </c>
      <c r="N57" s="126">
        <v>7971</v>
      </c>
      <c r="O57" s="127">
        <v>42391</v>
      </c>
    </row>
    <row r="58" spans="2:23" x14ac:dyDescent="0.25">
      <c r="B58"/>
      <c r="C58"/>
      <c r="E58"/>
      <c r="F58" s="14"/>
      <c r="J58" s="93"/>
      <c r="K58" s="94"/>
      <c r="L58" s="128"/>
      <c r="M58" s="125" t="s">
        <v>31</v>
      </c>
      <c r="N58" s="126">
        <v>7562</v>
      </c>
      <c r="O58" s="127">
        <v>42392</v>
      </c>
    </row>
    <row r="59" spans="2:23" x14ac:dyDescent="0.25">
      <c r="B59"/>
      <c r="C59"/>
      <c r="E59"/>
      <c r="F59" s="14"/>
      <c r="J59" s="93"/>
      <c r="K59" s="94"/>
      <c r="L59" s="129"/>
      <c r="M59" s="125">
        <v>3358257</v>
      </c>
      <c r="N59" s="126">
        <v>45000</v>
      </c>
      <c r="O59" s="127">
        <v>42391</v>
      </c>
    </row>
    <row r="60" spans="2:23" ht="15" x14ac:dyDescent="0.25">
      <c r="B60"/>
      <c r="C60"/>
      <c r="E60"/>
      <c r="F60" s="14"/>
      <c r="J60" s="93"/>
      <c r="K60" s="94"/>
      <c r="L60" s="124"/>
      <c r="M60" s="130">
        <v>3358256</v>
      </c>
      <c r="N60" s="131">
        <v>55000</v>
      </c>
      <c r="O60" s="127">
        <v>42391</v>
      </c>
    </row>
    <row r="61" spans="2:23" ht="15" x14ac:dyDescent="0.25">
      <c r="B61"/>
      <c r="C61"/>
      <c r="E61"/>
      <c r="F61" s="14"/>
      <c r="J61" s="93"/>
      <c r="K61" s="94"/>
      <c r="L61" s="124"/>
      <c r="M61" s="130">
        <v>3358255</v>
      </c>
      <c r="N61" s="131">
        <v>28215</v>
      </c>
      <c r="O61" s="127">
        <v>42391</v>
      </c>
    </row>
    <row r="62" spans="2:23" ht="15" x14ac:dyDescent="0.25">
      <c r="B62"/>
      <c r="C62"/>
      <c r="E62"/>
      <c r="F62" s="14"/>
      <c r="J62" s="93"/>
      <c r="K62" s="132"/>
      <c r="L62" s="124"/>
      <c r="M62" s="130" t="s">
        <v>31</v>
      </c>
      <c r="N62" s="131">
        <v>956</v>
      </c>
      <c r="O62" s="127">
        <v>42394</v>
      </c>
    </row>
    <row r="63" spans="2:23" ht="15" x14ac:dyDescent="0.25">
      <c r="B63"/>
      <c r="C63"/>
      <c r="E63"/>
      <c r="F63" s="14"/>
      <c r="J63" s="133"/>
      <c r="K63" s="134"/>
      <c r="L63" s="128"/>
      <c r="M63" s="135" t="s">
        <v>31</v>
      </c>
      <c r="N63" s="136">
        <v>16200</v>
      </c>
      <c r="O63" s="137">
        <v>42392</v>
      </c>
    </row>
    <row r="64" spans="2:23" ht="15" x14ac:dyDescent="0.25">
      <c r="B64"/>
      <c r="C64"/>
      <c r="E64"/>
      <c r="F64" s="14"/>
      <c r="G64"/>
      <c r="H64"/>
      <c r="I64"/>
      <c r="J64" s="133"/>
      <c r="K64" s="134"/>
      <c r="L64" s="128"/>
      <c r="M64" s="135" t="s">
        <v>31</v>
      </c>
      <c r="N64" s="136">
        <v>5446</v>
      </c>
      <c r="O64" s="137">
        <v>42396</v>
      </c>
    </row>
    <row r="65" spans="2:16" ht="15" x14ac:dyDescent="0.25">
      <c r="B65"/>
      <c r="C65"/>
      <c r="E65"/>
      <c r="F65" s="14"/>
      <c r="G65"/>
      <c r="H65"/>
      <c r="I65"/>
      <c r="J65" s="133"/>
      <c r="K65" s="134"/>
      <c r="L65" s="128"/>
      <c r="M65" s="135" t="s">
        <v>31</v>
      </c>
      <c r="N65" s="136">
        <v>84363</v>
      </c>
      <c r="O65" s="137">
        <v>42397</v>
      </c>
      <c r="P65" t="s">
        <v>86</v>
      </c>
    </row>
    <row r="66" spans="2:16" ht="15" x14ac:dyDescent="0.25">
      <c r="B66"/>
      <c r="C66"/>
      <c r="E66"/>
      <c r="F66" s="14"/>
      <c r="G66"/>
      <c r="H66"/>
      <c r="I66"/>
      <c r="J66" s="133"/>
      <c r="K66" s="134"/>
      <c r="L66" s="128"/>
      <c r="M66" s="135">
        <v>3358254</v>
      </c>
      <c r="N66" s="136">
        <v>66988.5</v>
      </c>
      <c r="O66" s="137">
        <v>42392</v>
      </c>
    </row>
    <row r="67" spans="2:16" ht="15" x14ac:dyDescent="0.25">
      <c r="B67"/>
      <c r="C67"/>
      <c r="E67"/>
      <c r="F67" s="14"/>
      <c r="G67"/>
      <c r="H67"/>
      <c r="I67"/>
      <c r="J67" s="192"/>
      <c r="K67" s="192"/>
      <c r="L67" s="192"/>
      <c r="M67" s="193">
        <v>3358253</v>
      </c>
      <c r="N67" s="194">
        <v>65000</v>
      </c>
      <c r="O67" s="137">
        <v>42393</v>
      </c>
    </row>
    <row r="68" spans="2:16" ht="15" x14ac:dyDescent="0.25">
      <c r="B68"/>
      <c r="C68"/>
      <c r="E68"/>
      <c r="F68" s="14"/>
      <c r="G68"/>
      <c r="H68"/>
      <c r="I68"/>
      <c r="J68" s="192"/>
      <c r="K68" s="192"/>
      <c r="L68" s="192"/>
      <c r="M68" s="193">
        <v>3358252</v>
      </c>
      <c r="N68" s="194">
        <v>29970</v>
      </c>
      <c r="O68" s="137">
        <v>42393</v>
      </c>
    </row>
    <row r="69" spans="2:16" ht="15" x14ac:dyDescent="0.25">
      <c r="B69"/>
      <c r="C69"/>
      <c r="E69"/>
      <c r="F69" s="14"/>
      <c r="G69"/>
      <c r="H69"/>
      <c r="I69"/>
      <c r="J69" s="192"/>
      <c r="K69" s="192"/>
      <c r="L69" s="192"/>
      <c r="M69" s="193">
        <v>3358251</v>
      </c>
      <c r="N69" s="194">
        <v>45000</v>
      </c>
      <c r="O69" s="137">
        <v>42394</v>
      </c>
    </row>
    <row r="70" spans="2:16" ht="15" x14ac:dyDescent="0.25">
      <c r="B70"/>
      <c r="C70"/>
      <c r="E70"/>
      <c r="F70" s="14"/>
      <c r="G70"/>
      <c r="H70"/>
      <c r="I70"/>
      <c r="J70" s="192"/>
      <c r="K70" s="192"/>
      <c r="L70" s="192"/>
      <c r="M70" s="193">
        <v>3358245</v>
      </c>
      <c r="N70" s="194">
        <v>20000</v>
      </c>
      <c r="O70" s="137">
        <v>42398</v>
      </c>
    </row>
    <row r="71" spans="2:16" thickBot="1" x14ac:dyDescent="0.3">
      <c r="B71"/>
      <c r="C71"/>
      <c r="E71"/>
      <c r="F71" s="14"/>
      <c r="G71"/>
      <c r="H71"/>
      <c r="I71"/>
      <c r="J71" s="138"/>
      <c r="K71" s="138"/>
      <c r="L71" s="138"/>
      <c r="M71" s="139"/>
      <c r="N71" s="140">
        <v>0</v>
      </c>
      <c r="O71" s="141"/>
    </row>
    <row r="72" spans="2:16" ht="19.5" thickTop="1" x14ac:dyDescent="0.3">
      <c r="B72"/>
      <c r="C72"/>
      <c r="E72"/>
      <c r="F72" s="14"/>
      <c r="G72"/>
      <c r="H72"/>
      <c r="I72"/>
      <c r="J72" s="67"/>
      <c r="K72" s="142">
        <f>SUM(K53:K71)</f>
        <v>623988.5</v>
      </c>
      <c r="L72" s="143"/>
      <c r="M72" s="143"/>
      <c r="N72" s="143">
        <f>SUM(N53:N71)</f>
        <v>623988.5</v>
      </c>
      <c r="O72" s="144"/>
    </row>
    <row r="73" spans="2:16" ht="15" x14ac:dyDescent="0.25">
      <c r="B73"/>
      <c r="C73"/>
      <c r="E73"/>
      <c r="F73" s="14"/>
      <c r="G73"/>
      <c r="H73"/>
      <c r="I73"/>
    </row>
    <row r="74" spans="2:16" ht="15" x14ac:dyDescent="0.25">
      <c r="B74"/>
      <c r="C74"/>
      <c r="E74"/>
      <c r="F74" s="14"/>
      <c r="G74"/>
      <c r="H74"/>
      <c r="I74"/>
    </row>
    <row r="75" spans="2:16" ht="15" x14ac:dyDescent="0.25">
      <c r="B75"/>
      <c r="C75"/>
      <c r="E75"/>
      <c r="F75" s="14"/>
      <c r="G75"/>
      <c r="H75"/>
      <c r="I75"/>
    </row>
    <row r="76" spans="2:16" ht="15" x14ac:dyDescent="0.25">
      <c r="B76"/>
      <c r="C76"/>
      <c r="E76"/>
      <c r="F76" s="14"/>
      <c r="G76"/>
      <c r="H76"/>
      <c r="I76"/>
    </row>
    <row r="77" spans="2:16" ht="15" x14ac:dyDescent="0.25">
      <c r="B77"/>
      <c r="C77"/>
      <c r="E77"/>
      <c r="F77" s="14"/>
      <c r="G77"/>
      <c r="H77"/>
      <c r="I77"/>
    </row>
    <row r="78" spans="2:16" ht="15" x14ac:dyDescent="0.25">
      <c r="B78"/>
      <c r="C78"/>
      <c r="E78"/>
      <c r="F78" s="14"/>
      <c r="G78"/>
      <c r="H78"/>
      <c r="I78"/>
    </row>
    <row r="79" spans="2:16" ht="15" x14ac:dyDescent="0.25">
      <c r="B79"/>
      <c r="C79"/>
      <c r="E79"/>
      <c r="F79" s="14"/>
      <c r="G79"/>
      <c r="H79"/>
      <c r="I79"/>
    </row>
    <row r="80" spans="2:16" ht="15" x14ac:dyDescent="0.25">
      <c r="B80"/>
      <c r="C80"/>
      <c r="E80"/>
      <c r="F80" s="14"/>
      <c r="G80"/>
      <c r="H80"/>
      <c r="I80"/>
    </row>
    <row r="81" spans="2:9" ht="15" x14ac:dyDescent="0.25">
      <c r="B81"/>
      <c r="C81"/>
      <c r="E81"/>
      <c r="F81" s="14"/>
      <c r="G81"/>
      <c r="H81"/>
      <c r="I81"/>
    </row>
    <row r="82" spans="2:9" ht="15" x14ac:dyDescent="0.25">
      <c r="B82"/>
      <c r="C82"/>
      <c r="E82"/>
      <c r="F82" s="14"/>
      <c r="G82"/>
      <c r="H82"/>
      <c r="I82"/>
    </row>
    <row r="83" spans="2:9" ht="15" x14ac:dyDescent="0.25">
      <c r="B83"/>
      <c r="C83"/>
      <c r="E83"/>
      <c r="F83" s="14"/>
      <c r="G83"/>
      <c r="H83"/>
      <c r="I83"/>
    </row>
  </sheetData>
  <sortState ref="B8:D11">
    <sortCondition ref="C8:C11"/>
  </sortState>
  <mergeCells count="5">
    <mergeCell ref="J1:J2"/>
    <mergeCell ref="J29:J30"/>
    <mergeCell ref="J50:J51"/>
    <mergeCell ref="R1:R2"/>
    <mergeCell ref="R29:R30"/>
  </mergeCells>
  <pageMargins left="0.70866141732283472" right="0.70866141732283472" top="0.15748031496062992" bottom="0.15748031496062992" header="0.31496062992125984" footer="0.31496062992125984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G111"/>
  <sheetViews>
    <sheetView topLeftCell="A31" workbookViewId="0">
      <selection activeCell="C47" sqref="C47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3.42578125" style="1" customWidth="1"/>
    <col min="11" max="11" width="14.85546875" style="1" bestFit="1" customWidth="1"/>
    <col min="12" max="12" width="14.140625" style="2" bestFit="1" customWidth="1"/>
    <col min="15" max="15" width="8.140625" customWidth="1"/>
    <col min="16" max="16" width="10.7109375" style="1" customWidth="1"/>
    <col min="17" max="17" width="16.28515625" style="2" customWidth="1"/>
    <col min="18" max="18" width="12.42578125" customWidth="1"/>
    <col min="19" max="19" width="11.42578125" style="1"/>
    <col min="20" max="20" width="17.85546875" style="1" bestFit="1" customWidth="1"/>
    <col min="21" max="21" width="4.85546875" customWidth="1"/>
    <col min="22" max="22" width="11.42578125" style="1"/>
    <col min="23" max="23" width="14.140625" style="1" customWidth="1"/>
    <col min="24" max="24" width="13.42578125" style="1" customWidth="1"/>
    <col min="25" max="25" width="14.85546875" style="1" bestFit="1" customWidth="1"/>
    <col min="26" max="26" width="14.140625" style="2" bestFit="1" customWidth="1"/>
    <col min="27" max="27" width="11.42578125" style="3"/>
    <col min="29" max="29" width="8.140625" customWidth="1"/>
    <col min="30" max="30" width="10.7109375" style="1" customWidth="1"/>
    <col min="31" max="31" width="16.28515625" style="2" customWidth="1"/>
    <col min="32" max="32" width="12.42578125" customWidth="1"/>
    <col min="33" max="33" width="11.42578125" style="1"/>
    <col min="34" max="34" width="17.85546875" style="1" bestFit="1" customWidth="1"/>
    <col min="35" max="35" width="4.85546875" customWidth="1"/>
    <col min="36" max="36" width="11.42578125" style="1"/>
    <col min="37" max="37" width="14.140625" style="1" customWidth="1"/>
    <col min="38" max="38" width="13.42578125" style="1" customWidth="1"/>
    <col min="39" max="39" width="14.85546875" style="1" bestFit="1" customWidth="1"/>
    <col min="40" max="40" width="14.140625" style="2" bestFit="1" customWidth="1"/>
    <col min="41" max="41" width="12.5703125" style="3" bestFit="1" customWidth="1"/>
    <col min="43" max="43" width="8.140625" customWidth="1"/>
    <col min="44" max="44" width="10.7109375" style="1" customWidth="1"/>
    <col min="45" max="45" width="16.28515625" style="2" customWidth="1"/>
    <col min="46" max="46" width="12.42578125" customWidth="1"/>
    <col min="47" max="47" width="11.42578125" style="1"/>
    <col min="48" max="48" width="17.85546875" style="1" bestFit="1" customWidth="1"/>
    <col min="49" max="49" width="4.85546875" customWidth="1"/>
    <col min="50" max="50" width="11.42578125" style="1"/>
    <col min="51" max="51" width="14.140625" style="1" customWidth="1"/>
    <col min="52" max="52" width="13.42578125" style="1" customWidth="1"/>
    <col min="53" max="53" width="14.85546875" style="1" bestFit="1" customWidth="1"/>
    <col min="54" max="54" width="14.140625" style="2" bestFit="1" customWidth="1"/>
    <col min="55" max="55" width="12.5703125" style="3" bestFit="1" customWidth="1"/>
  </cols>
  <sheetData>
    <row r="1" spans="1:55" ht="24" customHeight="1" thickBot="1" x14ac:dyDescent="0.4">
      <c r="C1" s="334" t="s">
        <v>104</v>
      </c>
      <c r="D1" s="334"/>
      <c r="E1" s="334"/>
      <c r="F1" s="334"/>
      <c r="G1" s="334"/>
      <c r="H1" s="334"/>
      <c r="I1" s="334"/>
      <c r="J1" s="334"/>
      <c r="Q1" s="334" t="s">
        <v>104</v>
      </c>
      <c r="R1" s="334"/>
      <c r="S1" s="334"/>
      <c r="T1" s="334"/>
      <c r="U1" s="334"/>
      <c r="V1" s="334"/>
      <c r="W1" s="334"/>
      <c r="X1" s="334"/>
      <c r="AE1" s="334" t="s">
        <v>104</v>
      </c>
      <c r="AF1" s="334"/>
      <c r="AG1" s="334"/>
      <c r="AH1" s="334"/>
      <c r="AI1" s="334"/>
      <c r="AJ1" s="334"/>
      <c r="AK1" s="334"/>
      <c r="AL1" s="334"/>
      <c r="AS1" s="334" t="s">
        <v>104</v>
      </c>
      <c r="AT1" s="334"/>
      <c r="AU1" s="334"/>
      <c r="AV1" s="334"/>
      <c r="AW1" s="334"/>
      <c r="AX1" s="334"/>
      <c r="AY1" s="334"/>
      <c r="AZ1" s="334"/>
    </row>
    <row r="2" spans="1:55" ht="19.5" customHeight="1" thickBot="1" x14ac:dyDescent="0.3">
      <c r="C2" s="4" t="s">
        <v>0</v>
      </c>
      <c r="E2" s="5"/>
      <c r="F2" s="5"/>
      <c r="Q2" s="4" t="s">
        <v>0</v>
      </c>
      <c r="S2" s="5"/>
      <c r="T2" s="5"/>
      <c r="AE2" s="4" t="s">
        <v>0</v>
      </c>
      <c r="AG2" s="5"/>
      <c r="AH2" s="5"/>
      <c r="AS2" s="4" t="s">
        <v>0</v>
      </c>
      <c r="AU2" s="5"/>
      <c r="AV2" s="5"/>
    </row>
    <row r="3" spans="1:55" ht="32.25" customHeight="1" thickTop="1" thickBot="1" x14ac:dyDescent="0.35">
      <c r="A3" s="6" t="s">
        <v>1</v>
      </c>
      <c r="B3" s="7"/>
      <c r="C3" s="8">
        <v>221672.33</v>
      </c>
      <c r="D3" s="9"/>
      <c r="E3" s="335" t="s">
        <v>2</v>
      </c>
      <c r="F3" s="336"/>
      <c r="I3" s="337" t="s">
        <v>3</v>
      </c>
      <c r="J3" s="338"/>
      <c r="K3" s="339"/>
      <c r="L3" s="10" t="s">
        <v>4</v>
      </c>
      <c r="O3" s="6" t="s">
        <v>1</v>
      </c>
      <c r="P3" s="7"/>
      <c r="Q3" s="8">
        <v>221672.33</v>
      </c>
      <c r="R3" s="9"/>
      <c r="S3" s="335" t="s">
        <v>2</v>
      </c>
      <c r="T3" s="336"/>
      <c r="W3" s="337" t="s">
        <v>3</v>
      </c>
      <c r="X3" s="338"/>
      <c r="Y3" s="339"/>
      <c r="Z3" s="10" t="s">
        <v>4</v>
      </c>
      <c r="AC3" s="6" t="s">
        <v>1</v>
      </c>
      <c r="AD3" s="7"/>
      <c r="AE3" s="8">
        <v>221672.33</v>
      </c>
      <c r="AF3" s="9"/>
      <c r="AG3" s="335" t="s">
        <v>2</v>
      </c>
      <c r="AH3" s="336"/>
      <c r="AK3" s="337" t="s">
        <v>3</v>
      </c>
      <c r="AL3" s="338"/>
      <c r="AM3" s="339"/>
      <c r="AN3" s="10" t="s">
        <v>4</v>
      </c>
      <c r="AQ3" s="6" t="s">
        <v>1</v>
      </c>
      <c r="AR3" s="7"/>
      <c r="AS3" s="8">
        <v>221672.33</v>
      </c>
      <c r="AT3" s="9"/>
      <c r="AU3" s="335" t="s">
        <v>2</v>
      </c>
      <c r="AV3" s="336"/>
      <c r="AY3" s="337" t="s">
        <v>3</v>
      </c>
      <c r="AZ3" s="338"/>
      <c r="BA3" s="339"/>
      <c r="BB3" s="10" t="s">
        <v>4</v>
      </c>
    </row>
    <row r="4" spans="1:55" ht="15.75" thickTop="1" x14ac:dyDescent="0.25">
      <c r="B4" s="11">
        <v>42430</v>
      </c>
      <c r="C4" s="12">
        <v>0</v>
      </c>
      <c r="D4" s="185"/>
      <c r="E4" s="186">
        <v>42430</v>
      </c>
      <c r="F4" s="13">
        <v>22710</v>
      </c>
      <c r="G4" s="14"/>
      <c r="H4" s="187">
        <v>42430</v>
      </c>
      <c r="I4" s="15">
        <v>0</v>
      </c>
      <c r="J4" s="16"/>
      <c r="K4" s="17"/>
      <c r="L4" s="18">
        <f>15726+6984</f>
        <v>22710</v>
      </c>
      <c r="P4" s="11">
        <v>42430</v>
      </c>
      <c r="Q4" s="12">
        <v>0</v>
      </c>
      <c r="R4" s="185"/>
      <c r="S4" s="186">
        <v>42430</v>
      </c>
      <c r="T4" s="13">
        <v>22710</v>
      </c>
      <c r="U4" s="14"/>
      <c r="V4" s="187">
        <v>42430</v>
      </c>
      <c r="W4" s="15">
        <v>0</v>
      </c>
      <c r="X4" s="16"/>
      <c r="Y4" s="17"/>
      <c r="Z4" s="18">
        <f>15726+6984</f>
        <v>22710</v>
      </c>
      <c r="AD4" s="11">
        <v>42430</v>
      </c>
      <c r="AE4" s="12">
        <v>0</v>
      </c>
      <c r="AF4" s="185"/>
      <c r="AG4" s="186">
        <v>42430</v>
      </c>
      <c r="AH4" s="13">
        <v>22710</v>
      </c>
      <c r="AI4" s="14"/>
      <c r="AJ4" s="187">
        <v>42430</v>
      </c>
      <c r="AK4" s="15">
        <v>0</v>
      </c>
      <c r="AL4" s="16"/>
      <c r="AM4" s="17"/>
      <c r="AN4" s="18">
        <f>15726+6984</f>
        <v>22710</v>
      </c>
      <c r="AO4" s="33"/>
      <c r="AR4" s="11">
        <v>42430</v>
      </c>
      <c r="AS4" s="12">
        <v>0</v>
      </c>
      <c r="AT4" s="185"/>
      <c r="AU4" s="186">
        <v>42430</v>
      </c>
      <c r="AV4" s="13">
        <v>22710</v>
      </c>
      <c r="AW4" s="14"/>
      <c r="AX4" s="187">
        <v>42430</v>
      </c>
      <c r="AY4" s="15">
        <v>0</v>
      </c>
      <c r="AZ4" s="16"/>
      <c r="BA4" s="17"/>
      <c r="BB4" s="18">
        <f>15726+6984</f>
        <v>22710</v>
      </c>
      <c r="BC4" s="33"/>
    </row>
    <row r="5" spans="1:55" x14ac:dyDescent="0.25">
      <c r="B5" s="11">
        <v>42431</v>
      </c>
      <c r="C5" s="12">
        <v>0</v>
      </c>
      <c r="D5" s="19"/>
      <c r="E5" s="20">
        <v>42431</v>
      </c>
      <c r="F5" s="13">
        <v>17283.5</v>
      </c>
      <c r="G5" s="21"/>
      <c r="H5" s="22">
        <v>42431</v>
      </c>
      <c r="I5" s="15">
        <v>348</v>
      </c>
      <c r="J5" s="23" t="s">
        <v>5</v>
      </c>
      <c r="K5" s="24">
        <v>649</v>
      </c>
      <c r="L5" s="18">
        <v>17360</v>
      </c>
      <c r="P5" s="11">
        <v>42431</v>
      </c>
      <c r="Q5" s="12">
        <v>0</v>
      </c>
      <c r="R5" s="19"/>
      <c r="S5" s="20">
        <v>42431</v>
      </c>
      <c r="T5" s="13">
        <v>17283.5</v>
      </c>
      <c r="U5" s="21"/>
      <c r="V5" s="22">
        <v>42431</v>
      </c>
      <c r="W5" s="15">
        <v>348</v>
      </c>
      <c r="X5" s="23" t="s">
        <v>5</v>
      </c>
      <c r="Y5" s="24">
        <v>0</v>
      </c>
      <c r="Z5" s="18">
        <v>17360</v>
      </c>
      <c r="AD5" s="11">
        <v>42431</v>
      </c>
      <c r="AE5" s="12">
        <v>0</v>
      </c>
      <c r="AF5" s="19"/>
      <c r="AG5" s="20">
        <v>42431</v>
      </c>
      <c r="AH5" s="13">
        <v>17283.5</v>
      </c>
      <c r="AI5" s="21"/>
      <c r="AJ5" s="22">
        <v>42431</v>
      </c>
      <c r="AK5" s="15">
        <v>348</v>
      </c>
      <c r="AL5" s="23" t="s">
        <v>5</v>
      </c>
      <c r="AM5" s="24">
        <v>0</v>
      </c>
      <c r="AN5" s="18">
        <v>17360</v>
      </c>
      <c r="AR5" s="11">
        <v>42431</v>
      </c>
      <c r="AS5" s="12">
        <v>0</v>
      </c>
      <c r="AT5" s="19"/>
      <c r="AU5" s="20">
        <v>42431</v>
      </c>
      <c r="AV5" s="13">
        <v>17283.5</v>
      </c>
      <c r="AW5" s="21"/>
      <c r="AX5" s="22">
        <v>42431</v>
      </c>
      <c r="AY5" s="15">
        <v>348</v>
      </c>
      <c r="AZ5" s="23" t="s">
        <v>5</v>
      </c>
      <c r="BA5" s="24">
        <v>0</v>
      </c>
      <c r="BB5" s="18">
        <v>17360</v>
      </c>
    </row>
    <row r="6" spans="1:55" x14ac:dyDescent="0.25">
      <c r="B6" s="11">
        <v>42432</v>
      </c>
      <c r="C6" s="12">
        <v>0</v>
      </c>
      <c r="D6" s="19"/>
      <c r="E6" s="20">
        <v>42432</v>
      </c>
      <c r="F6" s="13">
        <v>38246</v>
      </c>
      <c r="G6" s="14"/>
      <c r="H6" s="22">
        <v>42432</v>
      </c>
      <c r="I6" s="15">
        <v>0</v>
      </c>
      <c r="J6" s="25" t="s">
        <v>198</v>
      </c>
      <c r="K6" s="24">
        <v>0</v>
      </c>
      <c r="L6" s="18">
        <v>37446</v>
      </c>
      <c r="P6" s="11">
        <v>42432</v>
      </c>
      <c r="Q6" s="12">
        <v>0</v>
      </c>
      <c r="R6" s="19"/>
      <c r="S6" s="20">
        <v>42432</v>
      </c>
      <c r="T6" s="13">
        <v>38246</v>
      </c>
      <c r="U6" s="14"/>
      <c r="V6" s="22">
        <v>42432</v>
      </c>
      <c r="W6" s="15">
        <v>0</v>
      </c>
      <c r="X6" s="25" t="s">
        <v>6</v>
      </c>
      <c r="Y6" s="24">
        <v>2500</v>
      </c>
      <c r="Z6" s="18">
        <f>12651+25795</f>
        <v>38446</v>
      </c>
      <c r="AD6" s="11">
        <v>42432</v>
      </c>
      <c r="AE6" s="12">
        <v>0</v>
      </c>
      <c r="AF6" s="19"/>
      <c r="AG6" s="20">
        <v>42432</v>
      </c>
      <c r="AH6" s="13">
        <v>38246</v>
      </c>
      <c r="AI6" s="14"/>
      <c r="AJ6" s="22">
        <v>42432</v>
      </c>
      <c r="AK6" s="15">
        <v>0</v>
      </c>
      <c r="AL6" s="25" t="s">
        <v>6</v>
      </c>
      <c r="AM6" s="24">
        <v>2500</v>
      </c>
      <c r="AN6" s="18">
        <f>12651+25795</f>
        <v>38446</v>
      </c>
      <c r="AO6" s="33"/>
      <c r="AR6" s="11">
        <v>42432</v>
      </c>
      <c r="AS6" s="12">
        <v>0</v>
      </c>
      <c r="AT6" s="19"/>
      <c r="AU6" s="20">
        <v>42432</v>
      </c>
      <c r="AV6" s="13">
        <v>38246</v>
      </c>
      <c r="AW6" s="14"/>
      <c r="AX6" s="22">
        <v>42432</v>
      </c>
      <c r="AY6" s="15">
        <v>0</v>
      </c>
      <c r="AZ6" s="25" t="s">
        <v>6</v>
      </c>
      <c r="BA6" s="24">
        <v>2500</v>
      </c>
      <c r="BB6" s="18">
        <f>12651+25795</f>
        <v>38446</v>
      </c>
      <c r="BC6" s="33"/>
    </row>
    <row r="7" spans="1:55" x14ac:dyDescent="0.25">
      <c r="B7" s="11">
        <v>42433</v>
      </c>
      <c r="C7" s="12">
        <f>5512.1+176147.29</f>
        <v>181659.39</v>
      </c>
      <c r="D7" s="26" t="s">
        <v>122</v>
      </c>
      <c r="E7" s="20">
        <v>42433</v>
      </c>
      <c r="F7" s="13">
        <v>50920.1</v>
      </c>
      <c r="G7" s="14"/>
      <c r="H7" s="22">
        <v>42433</v>
      </c>
      <c r="I7" s="15">
        <v>35</v>
      </c>
      <c r="J7" s="23" t="s">
        <v>7</v>
      </c>
      <c r="K7" s="24">
        <f>7187.5+7187.5+7187.5+7187.5</f>
        <v>28750</v>
      </c>
      <c r="L7" s="18">
        <f>96000+6298+27289+39876</f>
        <v>169463</v>
      </c>
      <c r="P7" s="11">
        <v>42433</v>
      </c>
      <c r="Q7" s="12">
        <f>5512.1+176147.29</f>
        <v>181659.39</v>
      </c>
      <c r="R7" s="26" t="s">
        <v>122</v>
      </c>
      <c r="S7" s="20">
        <v>42433</v>
      </c>
      <c r="T7" s="13">
        <v>50920.1</v>
      </c>
      <c r="U7" s="14"/>
      <c r="V7" s="22">
        <v>42433</v>
      </c>
      <c r="W7" s="15">
        <v>35</v>
      </c>
      <c r="X7" s="23" t="s">
        <v>7</v>
      </c>
      <c r="Y7" s="24">
        <v>7187.5</v>
      </c>
      <c r="Z7" s="18">
        <f>96000+6298+27289+39876</f>
        <v>169463</v>
      </c>
      <c r="AD7" s="11">
        <v>42433</v>
      </c>
      <c r="AE7" s="12">
        <f>5512.1+176147.29</f>
        <v>181659.39</v>
      </c>
      <c r="AF7" s="26" t="s">
        <v>122</v>
      </c>
      <c r="AG7" s="20">
        <v>42433</v>
      </c>
      <c r="AH7" s="13">
        <v>50920.1</v>
      </c>
      <c r="AI7" s="14"/>
      <c r="AJ7" s="22">
        <v>42433</v>
      </c>
      <c r="AK7" s="15">
        <v>35</v>
      </c>
      <c r="AL7" s="23" t="s">
        <v>7</v>
      </c>
      <c r="AM7" s="24">
        <v>7187.5</v>
      </c>
      <c r="AN7" s="18">
        <f>96000+6298+27289+39876</f>
        <v>169463</v>
      </c>
      <c r="AR7" s="11">
        <v>42433</v>
      </c>
      <c r="AS7" s="12">
        <f>5512.1+176147.29</f>
        <v>181659.39</v>
      </c>
      <c r="AT7" s="26" t="s">
        <v>122</v>
      </c>
      <c r="AU7" s="20">
        <v>42433</v>
      </c>
      <c r="AV7" s="13">
        <v>50920.1</v>
      </c>
      <c r="AW7" s="14"/>
      <c r="AX7" s="22">
        <v>42433</v>
      </c>
      <c r="AY7" s="15">
        <v>35</v>
      </c>
      <c r="AZ7" s="23" t="s">
        <v>7</v>
      </c>
      <c r="BA7" s="24">
        <v>7187.5</v>
      </c>
      <c r="BB7" s="18">
        <f>96000+6298+27289+39876</f>
        <v>169463</v>
      </c>
    </row>
    <row r="8" spans="1:55" x14ac:dyDescent="0.25">
      <c r="B8" s="11">
        <v>42434</v>
      </c>
      <c r="C8" s="12">
        <v>5682.6</v>
      </c>
      <c r="D8" s="26" t="s">
        <v>123</v>
      </c>
      <c r="E8" s="20">
        <v>42434</v>
      </c>
      <c r="F8" s="13">
        <v>97118.34</v>
      </c>
      <c r="G8" s="14"/>
      <c r="H8" s="22">
        <v>42434</v>
      </c>
      <c r="I8" s="15">
        <v>0</v>
      </c>
      <c r="J8" s="23" t="s">
        <v>80</v>
      </c>
      <c r="K8" s="13">
        <v>5579.12</v>
      </c>
      <c r="L8" s="18">
        <f>5606+8523+49208+28099</f>
        <v>91436</v>
      </c>
      <c r="P8" s="11">
        <v>42434</v>
      </c>
      <c r="Q8" s="12">
        <v>5682.6</v>
      </c>
      <c r="R8" s="26" t="s">
        <v>123</v>
      </c>
      <c r="S8" s="20">
        <v>42434</v>
      </c>
      <c r="T8" s="13">
        <v>97118.34</v>
      </c>
      <c r="U8" s="14"/>
      <c r="V8" s="22">
        <v>42434</v>
      </c>
      <c r="W8" s="15">
        <v>0</v>
      </c>
      <c r="X8" s="23" t="s">
        <v>80</v>
      </c>
      <c r="Y8" s="13">
        <v>5579.12</v>
      </c>
      <c r="Z8" s="18">
        <f>5606+8523+49208+28099</f>
        <v>91436</v>
      </c>
      <c r="AD8" s="11">
        <v>42434</v>
      </c>
      <c r="AE8" s="12">
        <v>5682.6</v>
      </c>
      <c r="AF8" s="26" t="s">
        <v>123</v>
      </c>
      <c r="AG8" s="20">
        <v>42434</v>
      </c>
      <c r="AH8" s="13">
        <v>97118.34</v>
      </c>
      <c r="AI8" s="14"/>
      <c r="AJ8" s="22">
        <v>42434</v>
      </c>
      <c r="AK8" s="15">
        <v>0</v>
      </c>
      <c r="AL8" s="23" t="s">
        <v>80</v>
      </c>
      <c r="AM8" s="13">
        <v>5579.12</v>
      </c>
      <c r="AN8" s="18">
        <f>5606+8523+49208+28099</f>
        <v>91436</v>
      </c>
      <c r="AR8" s="11">
        <v>42434</v>
      </c>
      <c r="AS8" s="12">
        <v>5682.6</v>
      </c>
      <c r="AT8" s="26" t="s">
        <v>123</v>
      </c>
      <c r="AU8" s="20">
        <v>42434</v>
      </c>
      <c r="AV8" s="13">
        <v>97118.34</v>
      </c>
      <c r="AW8" s="14"/>
      <c r="AX8" s="22">
        <v>42434</v>
      </c>
      <c r="AY8" s="15">
        <v>0</v>
      </c>
      <c r="AZ8" s="23" t="s">
        <v>80</v>
      </c>
      <c r="BA8" s="13">
        <v>5579.12</v>
      </c>
      <c r="BB8" s="18">
        <f>5606+8523+49208+28099</f>
        <v>91436</v>
      </c>
    </row>
    <row r="9" spans="1:55" x14ac:dyDescent="0.25">
      <c r="B9" s="11">
        <v>42435</v>
      </c>
      <c r="C9" s="12">
        <v>0</v>
      </c>
      <c r="D9" s="26"/>
      <c r="E9" s="20">
        <v>42435</v>
      </c>
      <c r="F9" s="13">
        <v>42103.1</v>
      </c>
      <c r="G9" s="14"/>
      <c r="H9" s="22">
        <v>42435</v>
      </c>
      <c r="I9" s="15">
        <v>0</v>
      </c>
      <c r="J9" s="23" t="s">
        <v>114</v>
      </c>
      <c r="K9" s="13">
        <v>7029.12</v>
      </c>
      <c r="L9" s="18">
        <f>34800+7303</f>
        <v>42103</v>
      </c>
      <c r="P9" s="11">
        <v>42435</v>
      </c>
      <c r="Q9" s="12">
        <v>0</v>
      </c>
      <c r="R9" s="26"/>
      <c r="S9" s="20">
        <v>42435</v>
      </c>
      <c r="T9" s="13">
        <v>42103.1</v>
      </c>
      <c r="U9" s="14"/>
      <c r="V9" s="22">
        <v>42435</v>
      </c>
      <c r="W9" s="15">
        <v>0</v>
      </c>
      <c r="X9" s="23" t="s">
        <v>114</v>
      </c>
      <c r="Y9" s="13">
        <v>7029.12</v>
      </c>
      <c r="Z9" s="18">
        <f>34800+7303</f>
        <v>42103</v>
      </c>
      <c r="AD9" s="11">
        <v>42435</v>
      </c>
      <c r="AE9" s="12">
        <v>0</v>
      </c>
      <c r="AF9" s="26"/>
      <c r="AG9" s="20">
        <v>42435</v>
      </c>
      <c r="AH9" s="13">
        <v>42103.1</v>
      </c>
      <c r="AI9" s="14"/>
      <c r="AJ9" s="22">
        <v>42435</v>
      </c>
      <c r="AK9" s="15">
        <v>0</v>
      </c>
      <c r="AL9" s="23" t="s">
        <v>114</v>
      </c>
      <c r="AM9" s="13">
        <v>7029.12</v>
      </c>
      <c r="AN9" s="18">
        <f>34800+7303</f>
        <v>42103</v>
      </c>
      <c r="AO9" s="33"/>
      <c r="AR9" s="11">
        <v>42435</v>
      </c>
      <c r="AS9" s="12">
        <v>0</v>
      </c>
      <c r="AT9" s="26"/>
      <c r="AU9" s="20">
        <v>42435</v>
      </c>
      <c r="AV9" s="13">
        <v>42103.1</v>
      </c>
      <c r="AW9" s="14"/>
      <c r="AX9" s="22">
        <v>42435</v>
      </c>
      <c r="AY9" s="15">
        <v>0</v>
      </c>
      <c r="AZ9" s="23" t="s">
        <v>114</v>
      </c>
      <c r="BA9" s="13">
        <v>0</v>
      </c>
      <c r="BB9" s="18">
        <f>34800+7303</f>
        <v>42103</v>
      </c>
      <c r="BC9" s="33"/>
    </row>
    <row r="10" spans="1:55" x14ac:dyDescent="0.25">
      <c r="A10" s="27"/>
      <c r="B10" s="11">
        <v>42436</v>
      </c>
      <c r="C10" s="12">
        <v>118814.6</v>
      </c>
      <c r="D10" s="26" t="s">
        <v>124</v>
      </c>
      <c r="E10" s="20">
        <v>42436</v>
      </c>
      <c r="F10" s="13">
        <v>136875.1</v>
      </c>
      <c r="G10" s="14"/>
      <c r="H10" s="22">
        <v>42436</v>
      </c>
      <c r="I10" s="15">
        <v>0</v>
      </c>
      <c r="J10" s="23" t="s">
        <v>115</v>
      </c>
      <c r="K10" s="13">
        <v>4733.55</v>
      </c>
      <c r="L10" s="18">
        <v>18060</v>
      </c>
      <c r="O10" s="27"/>
      <c r="P10" s="11">
        <v>42436</v>
      </c>
      <c r="Q10" s="12">
        <v>118814.6</v>
      </c>
      <c r="R10" s="26" t="s">
        <v>124</v>
      </c>
      <c r="S10" s="20">
        <v>42436</v>
      </c>
      <c r="T10" s="13">
        <v>136875.1</v>
      </c>
      <c r="U10" s="14"/>
      <c r="V10" s="22">
        <v>42436</v>
      </c>
      <c r="W10" s="15">
        <v>0</v>
      </c>
      <c r="X10" s="23" t="s">
        <v>115</v>
      </c>
      <c r="Y10" s="13">
        <v>4733.55</v>
      </c>
      <c r="Z10" s="18">
        <v>18060</v>
      </c>
      <c r="AC10" s="27"/>
      <c r="AD10" s="11">
        <v>42436</v>
      </c>
      <c r="AE10" s="12">
        <v>118814.6</v>
      </c>
      <c r="AF10" s="26" t="s">
        <v>124</v>
      </c>
      <c r="AG10" s="20">
        <v>42436</v>
      </c>
      <c r="AH10" s="13">
        <v>136875.1</v>
      </c>
      <c r="AI10" s="14"/>
      <c r="AJ10" s="22">
        <v>42436</v>
      </c>
      <c r="AK10" s="15">
        <v>0</v>
      </c>
      <c r="AL10" s="23" t="s">
        <v>115</v>
      </c>
      <c r="AM10" s="13">
        <v>0</v>
      </c>
      <c r="AN10" s="18">
        <v>18060</v>
      </c>
      <c r="AQ10" s="27"/>
      <c r="AR10" s="11">
        <v>42436</v>
      </c>
      <c r="AS10" s="12">
        <v>118814.6</v>
      </c>
      <c r="AT10" s="26" t="s">
        <v>124</v>
      </c>
      <c r="AU10" s="20">
        <v>42436</v>
      </c>
      <c r="AV10" s="13">
        <v>136875.1</v>
      </c>
      <c r="AW10" s="14"/>
      <c r="AX10" s="22">
        <v>42436</v>
      </c>
      <c r="AY10" s="15">
        <v>0</v>
      </c>
      <c r="AZ10" s="23" t="s">
        <v>115</v>
      </c>
      <c r="BA10" s="13">
        <v>0</v>
      </c>
      <c r="BB10" s="18">
        <v>18060</v>
      </c>
    </row>
    <row r="11" spans="1:55" x14ac:dyDescent="0.25">
      <c r="B11" s="11">
        <v>42437</v>
      </c>
      <c r="C11" s="12">
        <v>0</v>
      </c>
      <c r="D11" s="26"/>
      <c r="E11" s="20">
        <v>42437</v>
      </c>
      <c r="F11" s="13">
        <v>22592.5</v>
      </c>
      <c r="G11" s="14"/>
      <c r="H11" s="22">
        <v>42437</v>
      </c>
      <c r="I11" s="15">
        <v>0</v>
      </c>
      <c r="J11" s="23" t="s">
        <v>116</v>
      </c>
      <c r="K11" s="13">
        <v>7029.12</v>
      </c>
      <c r="L11" s="18">
        <v>22592.5</v>
      </c>
      <c r="P11" s="11">
        <v>42437</v>
      </c>
      <c r="Q11" s="12">
        <v>0</v>
      </c>
      <c r="R11" s="26"/>
      <c r="S11" s="20">
        <v>42437</v>
      </c>
      <c r="T11" s="13">
        <v>22592.5</v>
      </c>
      <c r="U11" s="14"/>
      <c r="V11" s="22">
        <v>42437</v>
      </c>
      <c r="W11" s="15">
        <v>0</v>
      </c>
      <c r="X11" s="23" t="s">
        <v>116</v>
      </c>
      <c r="Y11" s="13">
        <v>0</v>
      </c>
      <c r="Z11" s="18">
        <v>22592.5</v>
      </c>
      <c r="AD11" s="11">
        <v>42437</v>
      </c>
      <c r="AE11" s="12">
        <v>0</v>
      </c>
      <c r="AF11" s="26"/>
      <c r="AG11" s="20">
        <v>42437</v>
      </c>
      <c r="AH11" s="13">
        <v>22592.5</v>
      </c>
      <c r="AI11" s="14"/>
      <c r="AJ11" s="22">
        <v>42437</v>
      </c>
      <c r="AK11" s="15">
        <v>0</v>
      </c>
      <c r="AL11" s="23" t="s">
        <v>116</v>
      </c>
      <c r="AM11" s="13">
        <v>0</v>
      </c>
      <c r="AN11" s="18">
        <v>22592.5</v>
      </c>
      <c r="AR11" s="11">
        <v>42437</v>
      </c>
      <c r="AS11" s="12">
        <v>0</v>
      </c>
      <c r="AT11" s="26"/>
      <c r="AU11" s="20">
        <v>42437</v>
      </c>
      <c r="AV11" s="13">
        <v>22592.5</v>
      </c>
      <c r="AW11" s="14"/>
      <c r="AX11" s="22">
        <v>42437</v>
      </c>
      <c r="AY11" s="15">
        <v>0</v>
      </c>
      <c r="AZ11" s="23" t="s">
        <v>116</v>
      </c>
      <c r="BA11" s="13">
        <v>0</v>
      </c>
      <c r="BB11" s="18">
        <v>22592.5</v>
      </c>
    </row>
    <row r="12" spans="1:55" x14ac:dyDescent="0.25">
      <c r="A12" s="28"/>
      <c r="B12" s="11">
        <v>42438</v>
      </c>
      <c r="C12" s="12">
        <f>2550+53612.12+38419</f>
        <v>94581.119999999995</v>
      </c>
      <c r="D12" s="19" t="s">
        <v>174</v>
      </c>
      <c r="E12" s="20">
        <v>42438</v>
      </c>
      <c r="F12" s="13">
        <v>93689</v>
      </c>
      <c r="G12" s="14"/>
      <c r="H12" s="22">
        <v>42438</v>
      </c>
      <c r="I12" s="15">
        <v>0</v>
      </c>
      <c r="J12" s="23" t="s">
        <v>117</v>
      </c>
      <c r="K12" s="13">
        <v>0</v>
      </c>
      <c r="L12" s="18">
        <v>0</v>
      </c>
      <c r="O12" s="28"/>
      <c r="P12" s="11">
        <v>42438</v>
      </c>
      <c r="Q12" s="12">
        <f>2550+53612.12+38419</f>
        <v>94581.119999999995</v>
      </c>
      <c r="R12" s="19" t="s">
        <v>125</v>
      </c>
      <c r="S12" s="20">
        <v>42438</v>
      </c>
      <c r="T12" s="13">
        <v>93689</v>
      </c>
      <c r="U12" s="14"/>
      <c r="V12" s="22">
        <v>42438</v>
      </c>
      <c r="W12" s="15">
        <v>0</v>
      </c>
      <c r="X12" s="23" t="s">
        <v>117</v>
      </c>
      <c r="Y12" s="13">
        <v>0</v>
      </c>
      <c r="Z12" s="18">
        <v>0</v>
      </c>
      <c r="AC12" s="28"/>
      <c r="AD12" s="11">
        <v>42438</v>
      </c>
      <c r="AE12" s="12">
        <f>2550+53612.12+38419</f>
        <v>94581.119999999995</v>
      </c>
      <c r="AF12" s="19" t="s">
        <v>125</v>
      </c>
      <c r="AG12" s="20">
        <v>42438</v>
      </c>
      <c r="AH12" s="13">
        <v>93689</v>
      </c>
      <c r="AI12" s="14"/>
      <c r="AJ12" s="22">
        <v>42438</v>
      </c>
      <c r="AK12" s="15">
        <v>0</v>
      </c>
      <c r="AL12" s="23" t="s">
        <v>117</v>
      </c>
      <c r="AM12" s="13">
        <v>0</v>
      </c>
      <c r="AN12" s="18">
        <v>0</v>
      </c>
      <c r="AO12" s="238"/>
      <c r="AQ12" s="28"/>
      <c r="AR12" s="11">
        <v>42438</v>
      </c>
      <c r="AS12" s="12">
        <v>94581.119999999995</v>
      </c>
      <c r="AT12" s="19" t="s">
        <v>125</v>
      </c>
      <c r="AU12" s="20">
        <v>42438</v>
      </c>
      <c r="AV12" s="13">
        <v>93689</v>
      </c>
      <c r="AW12" s="14"/>
      <c r="AX12" s="22">
        <v>42438</v>
      </c>
      <c r="AY12" s="15">
        <v>0</v>
      </c>
      <c r="AZ12" s="23" t="s">
        <v>117</v>
      </c>
      <c r="BA12" s="13">
        <v>0</v>
      </c>
      <c r="BB12" s="18">
        <v>0</v>
      </c>
      <c r="BC12" s="223">
        <f>69000+23031</f>
        <v>92031</v>
      </c>
    </row>
    <row r="13" spans="1:55" x14ac:dyDescent="0.25">
      <c r="A13" s="28"/>
      <c r="B13" s="11">
        <v>42439</v>
      </c>
      <c r="C13" s="12">
        <f>19179+27349.45+18547.55</f>
        <v>65076</v>
      </c>
      <c r="D13" s="40" t="s">
        <v>126</v>
      </c>
      <c r="E13" s="20">
        <v>42439</v>
      </c>
      <c r="F13" s="13">
        <v>65076.1</v>
      </c>
      <c r="G13" s="14"/>
      <c r="H13" s="22">
        <v>42439</v>
      </c>
      <c r="I13" s="15">
        <v>0</v>
      </c>
      <c r="J13" s="30" t="s">
        <v>8</v>
      </c>
      <c r="K13" s="13">
        <v>800</v>
      </c>
      <c r="L13" s="18">
        <v>0</v>
      </c>
      <c r="O13" s="28"/>
      <c r="P13" s="11">
        <v>42439</v>
      </c>
      <c r="Q13" s="12">
        <f>19179+27349.45+18547.55</f>
        <v>65076</v>
      </c>
      <c r="R13" s="40" t="s">
        <v>126</v>
      </c>
      <c r="S13" s="20">
        <v>42439</v>
      </c>
      <c r="T13" s="13">
        <v>65076.1</v>
      </c>
      <c r="U13" s="14"/>
      <c r="V13" s="22">
        <v>42439</v>
      </c>
      <c r="W13" s="15">
        <v>0</v>
      </c>
      <c r="X13" s="30" t="s">
        <v>8</v>
      </c>
      <c r="Y13" s="13">
        <v>800</v>
      </c>
      <c r="Z13" s="18">
        <v>0</v>
      </c>
      <c r="AC13" s="28"/>
      <c r="AD13" s="11">
        <v>42439</v>
      </c>
      <c r="AE13" s="12">
        <f>19179+27349.45+18547.55</f>
        <v>65076</v>
      </c>
      <c r="AF13" s="40" t="s">
        <v>126</v>
      </c>
      <c r="AG13" s="20">
        <v>42439</v>
      </c>
      <c r="AH13" s="13">
        <v>65076.1</v>
      </c>
      <c r="AI13" s="14"/>
      <c r="AJ13" s="22">
        <v>42439</v>
      </c>
      <c r="AK13" s="15">
        <v>0</v>
      </c>
      <c r="AL13" s="30" t="s">
        <v>8</v>
      </c>
      <c r="AM13" s="13">
        <v>800</v>
      </c>
      <c r="AN13" s="18">
        <v>0</v>
      </c>
      <c r="AO13" s="33"/>
      <c r="AQ13" s="28"/>
      <c r="AR13" s="11">
        <v>42439</v>
      </c>
      <c r="AS13" s="12"/>
      <c r="AT13" s="40"/>
      <c r="AU13" s="20">
        <v>42439</v>
      </c>
      <c r="AV13" s="13"/>
      <c r="AW13" s="14"/>
      <c r="AX13" s="22">
        <v>42439</v>
      </c>
      <c r="AY13" s="15">
        <v>0</v>
      </c>
      <c r="AZ13" s="30" t="s">
        <v>8</v>
      </c>
      <c r="BA13" s="13">
        <v>800</v>
      </c>
      <c r="BB13" s="18">
        <v>0</v>
      </c>
      <c r="BC13" s="222">
        <f>25000+25581+14495</f>
        <v>65076</v>
      </c>
    </row>
    <row r="14" spans="1:55" x14ac:dyDescent="0.25">
      <c r="B14" s="11">
        <v>42440</v>
      </c>
      <c r="C14" s="12">
        <v>56694</v>
      </c>
      <c r="D14" s="19" t="s">
        <v>141</v>
      </c>
      <c r="E14" s="20">
        <v>42440</v>
      </c>
      <c r="F14" s="13">
        <v>56694.1</v>
      </c>
      <c r="G14" s="14"/>
      <c r="H14" s="22">
        <v>42440</v>
      </c>
      <c r="I14" s="15">
        <v>0</v>
      </c>
      <c r="J14" s="31">
        <v>42432</v>
      </c>
      <c r="K14" s="13">
        <v>0</v>
      </c>
      <c r="L14" s="18">
        <v>0</v>
      </c>
      <c r="P14" s="11">
        <v>42440</v>
      </c>
      <c r="Q14" s="12">
        <v>56694</v>
      </c>
      <c r="R14" s="19" t="s">
        <v>141</v>
      </c>
      <c r="S14" s="20">
        <v>42440</v>
      </c>
      <c r="T14" s="13">
        <v>56694.1</v>
      </c>
      <c r="U14" s="14"/>
      <c r="V14" s="22">
        <v>42440</v>
      </c>
      <c r="W14" s="15">
        <v>0</v>
      </c>
      <c r="X14" s="31">
        <v>42432</v>
      </c>
      <c r="Y14" s="13">
        <v>0</v>
      </c>
      <c r="Z14" s="18">
        <v>0</v>
      </c>
      <c r="AD14" s="11">
        <v>42440</v>
      </c>
      <c r="AE14" s="12">
        <v>56694</v>
      </c>
      <c r="AF14" s="19" t="s">
        <v>141</v>
      </c>
      <c r="AG14" s="20">
        <v>42440</v>
      </c>
      <c r="AH14" s="13">
        <v>56694.1</v>
      </c>
      <c r="AI14" s="14"/>
      <c r="AJ14" s="22">
        <v>42440</v>
      </c>
      <c r="AK14" s="15">
        <v>0</v>
      </c>
      <c r="AL14" s="31">
        <v>42432</v>
      </c>
      <c r="AM14" s="13">
        <v>0</v>
      </c>
      <c r="AN14" s="18">
        <v>0</v>
      </c>
      <c r="AO14" s="33"/>
      <c r="AR14" s="11">
        <v>42440</v>
      </c>
      <c r="AS14" s="12"/>
      <c r="AT14" s="19"/>
      <c r="AU14" s="20">
        <v>42440</v>
      </c>
      <c r="AV14" s="13"/>
      <c r="AW14" s="14"/>
      <c r="AX14" s="22">
        <v>42440</v>
      </c>
      <c r="AY14" s="15">
        <v>0</v>
      </c>
      <c r="AZ14" s="31">
        <v>42432</v>
      </c>
      <c r="BA14" s="13">
        <v>0</v>
      </c>
      <c r="BB14" s="18">
        <v>0</v>
      </c>
      <c r="BC14" s="222">
        <v>56694</v>
      </c>
    </row>
    <row r="15" spans="1:55" x14ac:dyDescent="0.25">
      <c r="A15" s="28"/>
      <c r="B15" s="11">
        <v>42441</v>
      </c>
      <c r="C15" s="12">
        <f>77283.2+602.5+24484.85</f>
        <v>102370.54999999999</v>
      </c>
      <c r="D15" s="19" t="s">
        <v>127</v>
      </c>
      <c r="E15" s="20">
        <v>42441</v>
      </c>
      <c r="F15" s="13">
        <v>102370.55</v>
      </c>
      <c r="G15" s="14"/>
      <c r="H15" s="22">
        <v>42441</v>
      </c>
      <c r="I15" s="15">
        <v>0</v>
      </c>
      <c r="J15" s="32" t="s">
        <v>9</v>
      </c>
      <c r="K15" s="13">
        <v>0</v>
      </c>
      <c r="L15" s="18">
        <v>0</v>
      </c>
      <c r="O15" s="28"/>
      <c r="P15" s="11">
        <v>42441</v>
      </c>
      <c r="Q15" s="12">
        <f>77283.2+602.5+24484.85</f>
        <v>102370.54999999999</v>
      </c>
      <c r="R15" s="19" t="s">
        <v>127</v>
      </c>
      <c r="S15" s="20">
        <v>42441</v>
      </c>
      <c r="T15" s="13">
        <v>102370.55</v>
      </c>
      <c r="U15" s="14"/>
      <c r="V15" s="22">
        <v>42441</v>
      </c>
      <c r="W15" s="15">
        <v>0</v>
      </c>
      <c r="X15" s="32" t="s">
        <v>9</v>
      </c>
      <c r="Y15" s="13">
        <v>0</v>
      </c>
      <c r="Z15" s="18">
        <v>0</v>
      </c>
      <c r="AC15" s="28"/>
      <c r="AD15" s="11">
        <v>42441</v>
      </c>
      <c r="AE15" s="12">
        <f>77283.2+602.5+24484.85</f>
        <v>102370.54999999999</v>
      </c>
      <c r="AF15" s="19" t="s">
        <v>127</v>
      </c>
      <c r="AG15" s="20">
        <v>42441</v>
      </c>
      <c r="AH15" s="13">
        <v>102370.55</v>
      </c>
      <c r="AI15" s="14"/>
      <c r="AJ15" s="22">
        <v>42441</v>
      </c>
      <c r="AK15" s="15">
        <v>0</v>
      </c>
      <c r="AL15" s="32" t="s">
        <v>9</v>
      </c>
      <c r="AM15" s="13">
        <v>0</v>
      </c>
      <c r="AN15" s="18">
        <v>0</v>
      </c>
      <c r="AO15" s="33"/>
      <c r="AQ15" s="28"/>
      <c r="AR15" s="11">
        <v>42441</v>
      </c>
      <c r="AS15" s="12"/>
      <c r="AT15" s="19"/>
      <c r="AU15" s="20">
        <v>42441</v>
      </c>
      <c r="AV15" s="13"/>
      <c r="AW15" s="14"/>
      <c r="AX15" s="22">
        <v>42441</v>
      </c>
      <c r="AY15" s="15">
        <v>0</v>
      </c>
      <c r="AZ15" s="32" t="s">
        <v>9</v>
      </c>
      <c r="BA15" s="13">
        <v>0</v>
      </c>
      <c r="BB15" s="18">
        <v>0</v>
      </c>
      <c r="BC15" s="222">
        <f>51000+51370.5</f>
        <v>102370.5</v>
      </c>
    </row>
    <row r="16" spans="1:55" x14ac:dyDescent="0.25">
      <c r="A16" s="28"/>
      <c r="B16" s="11">
        <v>42442</v>
      </c>
      <c r="C16" s="12">
        <v>54201</v>
      </c>
      <c r="D16" s="19" t="s">
        <v>128</v>
      </c>
      <c r="E16" s="20">
        <v>42442</v>
      </c>
      <c r="F16" s="13">
        <v>54200.75</v>
      </c>
      <c r="G16" s="14"/>
      <c r="H16" s="22">
        <v>42442</v>
      </c>
      <c r="I16" s="15">
        <v>0</v>
      </c>
      <c r="J16" s="34"/>
      <c r="K16" s="13">
        <v>0</v>
      </c>
      <c r="L16" s="18">
        <v>0</v>
      </c>
      <c r="O16" s="28"/>
      <c r="P16" s="11">
        <v>42442</v>
      </c>
      <c r="Q16" s="12">
        <v>54201</v>
      </c>
      <c r="R16" s="19" t="s">
        <v>128</v>
      </c>
      <c r="S16" s="20">
        <v>42442</v>
      </c>
      <c r="T16" s="13">
        <v>54200.75</v>
      </c>
      <c r="U16" s="14"/>
      <c r="V16" s="22">
        <v>42442</v>
      </c>
      <c r="W16" s="15">
        <v>0</v>
      </c>
      <c r="X16" s="34"/>
      <c r="Y16" s="13">
        <v>0</v>
      </c>
      <c r="Z16" s="18">
        <v>0</v>
      </c>
      <c r="AC16" s="28"/>
      <c r="AD16" s="11">
        <v>42442</v>
      </c>
      <c r="AE16" s="12">
        <v>54201</v>
      </c>
      <c r="AF16" s="19" t="s">
        <v>128</v>
      </c>
      <c r="AG16" s="20">
        <v>42442</v>
      </c>
      <c r="AH16" s="13">
        <v>54200.75</v>
      </c>
      <c r="AI16" s="14"/>
      <c r="AJ16" s="22">
        <v>42442</v>
      </c>
      <c r="AK16" s="15">
        <v>0</v>
      </c>
      <c r="AL16" s="34"/>
      <c r="AM16" s="13">
        <v>0</v>
      </c>
      <c r="AN16" s="18">
        <v>0</v>
      </c>
      <c r="AO16" s="33"/>
      <c r="AQ16" s="28"/>
      <c r="AR16" s="11">
        <v>42442</v>
      </c>
      <c r="AS16" s="12"/>
      <c r="AT16" s="19"/>
      <c r="AU16" s="20">
        <v>42442</v>
      </c>
      <c r="AV16" s="13"/>
      <c r="AW16" s="14"/>
      <c r="AX16" s="22">
        <v>42442</v>
      </c>
      <c r="AY16" s="15">
        <v>0</v>
      </c>
      <c r="AZ16" s="34"/>
      <c r="BA16" s="13">
        <v>0</v>
      </c>
      <c r="BB16" s="18">
        <v>0</v>
      </c>
      <c r="BC16" s="222">
        <f>9923.5+23554.5+20723</f>
        <v>54201</v>
      </c>
    </row>
    <row r="17" spans="1:59" x14ac:dyDescent="0.25">
      <c r="A17" s="28"/>
      <c r="B17" s="11">
        <v>42443</v>
      </c>
      <c r="C17" s="12">
        <v>45412</v>
      </c>
      <c r="D17" s="19" t="s">
        <v>128</v>
      </c>
      <c r="E17" s="20">
        <v>42443</v>
      </c>
      <c r="F17" s="13">
        <v>45478</v>
      </c>
      <c r="G17" s="14"/>
      <c r="H17" s="22">
        <v>42443</v>
      </c>
      <c r="I17" s="15">
        <v>66</v>
      </c>
      <c r="J17" s="35" t="s">
        <v>10</v>
      </c>
      <c r="K17" s="13">
        <v>0</v>
      </c>
      <c r="L17" s="18">
        <v>0</v>
      </c>
      <c r="O17" s="28"/>
      <c r="P17" s="11">
        <v>42443</v>
      </c>
      <c r="Q17" s="12">
        <v>45412</v>
      </c>
      <c r="R17" s="19" t="s">
        <v>128</v>
      </c>
      <c r="S17" s="20">
        <v>42443</v>
      </c>
      <c r="T17" s="13">
        <v>45478</v>
      </c>
      <c r="U17" s="14"/>
      <c r="V17" s="22">
        <v>42443</v>
      </c>
      <c r="W17" s="15">
        <v>66</v>
      </c>
      <c r="X17" s="35" t="s">
        <v>10</v>
      </c>
      <c r="Y17" s="13">
        <v>0</v>
      </c>
      <c r="Z17" s="18">
        <v>0</v>
      </c>
      <c r="AC17" s="28"/>
      <c r="AD17" s="11">
        <v>42443</v>
      </c>
      <c r="AE17" s="12">
        <v>45412</v>
      </c>
      <c r="AF17" s="19" t="s">
        <v>128</v>
      </c>
      <c r="AG17" s="20">
        <v>42443</v>
      </c>
      <c r="AH17" s="13">
        <v>45478</v>
      </c>
      <c r="AI17" s="14"/>
      <c r="AJ17" s="22">
        <v>42443</v>
      </c>
      <c r="AK17" s="15">
        <v>66</v>
      </c>
      <c r="AL17" s="35" t="s">
        <v>10</v>
      </c>
      <c r="AM17" s="13">
        <v>0</v>
      </c>
      <c r="AN17" s="18">
        <v>0</v>
      </c>
      <c r="AO17" s="239"/>
      <c r="AQ17" s="28"/>
      <c r="AR17" s="11">
        <v>42443</v>
      </c>
      <c r="AS17" s="12"/>
      <c r="AT17" s="19"/>
      <c r="AU17" s="20">
        <v>42443</v>
      </c>
      <c r="AV17" s="13"/>
      <c r="AW17" s="14"/>
      <c r="AX17" s="22">
        <v>42443</v>
      </c>
      <c r="AY17" s="15"/>
      <c r="AZ17" s="35" t="s">
        <v>10</v>
      </c>
      <c r="BA17" s="13">
        <v>0</v>
      </c>
      <c r="BB17" s="18"/>
      <c r="BC17" s="224"/>
    </row>
    <row r="18" spans="1:59" x14ac:dyDescent="0.25">
      <c r="A18" t="s">
        <v>142</v>
      </c>
      <c r="B18" s="11">
        <v>42444</v>
      </c>
      <c r="C18" s="12">
        <v>14943</v>
      </c>
      <c r="D18" s="19" t="s">
        <v>172</v>
      </c>
      <c r="E18" s="20">
        <v>42444</v>
      </c>
      <c r="F18" s="13">
        <v>21038</v>
      </c>
      <c r="G18" s="14"/>
      <c r="H18" s="22">
        <v>42444</v>
      </c>
      <c r="I18" s="15">
        <v>0</v>
      </c>
      <c r="J18" s="36"/>
      <c r="K18" s="24">
        <v>0</v>
      </c>
      <c r="L18" s="18">
        <v>6095</v>
      </c>
      <c r="O18" t="s">
        <v>142</v>
      </c>
      <c r="P18" s="11">
        <v>42444</v>
      </c>
      <c r="Q18" s="12">
        <v>14943</v>
      </c>
      <c r="R18" s="19"/>
      <c r="S18" s="20">
        <v>42444</v>
      </c>
      <c r="T18" s="13">
        <v>21038</v>
      </c>
      <c r="U18" s="14"/>
      <c r="V18" s="22">
        <v>42444</v>
      </c>
      <c r="W18" s="15">
        <v>0</v>
      </c>
      <c r="X18" s="36"/>
      <c r="Y18" s="24">
        <v>0</v>
      </c>
      <c r="Z18" s="18">
        <v>6095</v>
      </c>
      <c r="AD18" s="11">
        <v>42444</v>
      </c>
      <c r="AE18" s="232">
        <v>14943</v>
      </c>
      <c r="AF18" s="19"/>
      <c r="AG18" s="20">
        <v>42444</v>
      </c>
      <c r="AH18" s="230">
        <v>21038</v>
      </c>
      <c r="AI18" s="14"/>
      <c r="AJ18" s="22">
        <v>42444</v>
      </c>
      <c r="AK18" s="231">
        <v>0</v>
      </c>
      <c r="AL18" s="36"/>
      <c r="AM18" s="24">
        <v>0</v>
      </c>
      <c r="AN18" s="18">
        <v>6095</v>
      </c>
      <c r="AO18" s="14"/>
      <c r="AR18" s="11">
        <v>42444</v>
      </c>
      <c r="AS18" s="12"/>
      <c r="AT18" s="19"/>
      <c r="AU18" s="20">
        <v>42444</v>
      </c>
      <c r="AV18" s="13"/>
      <c r="AW18" s="14"/>
      <c r="AX18" s="22">
        <v>42444</v>
      </c>
      <c r="AY18" s="15"/>
      <c r="AZ18" s="36"/>
      <c r="BA18" s="24">
        <v>0</v>
      </c>
      <c r="BB18" s="18"/>
      <c r="BC18"/>
    </row>
    <row r="19" spans="1:59" x14ac:dyDescent="0.25">
      <c r="A19" s="28"/>
      <c r="B19" s="11">
        <v>42445</v>
      </c>
      <c r="C19" s="12">
        <v>85035</v>
      </c>
      <c r="D19" s="19" t="s">
        <v>143</v>
      </c>
      <c r="E19" s="20">
        <v>42445</v>
      </c>
      <c r="F19" s="13">
        <v>72473.5</v>
      </c>
      <c r="G19" s="14"/>
      <c r="H19" s="22">
        <v>42445</v>
      </c>
      <c r="I19" s="15">
        <v>0</v>
      </c>
      <c r="J19" s="37" t="s">
        <v>121</v>
      </c>
      <c r="K19" s="13">
        <v>10000</v>
      </c>
      <c r="L19" s="18">
        <v>0</v>
      </c>
      <c r="O19" s="28"/>
      <c r="P19" s="11">
        <v>42445</v>
      </c>
      <c r="Q19" s="12">
        <v>85035</v>
      </c>
      <c r="R19" s="19" t="s">
        <v>143</v>
      </c>
      <c r="S19" s="20">
        <v>42445</v>
      </c>
      <c r="T19" s="13">
        <v>72473.5</v>
      </c>
      <c r="U19" s="14"/>
      <c r="V19" s="22">
        <v>42445</v>
      </c>
      <c r="W19" s="15">
        <v>0</v>
      </c>
      <c r="X19" s="37" t="s">
        <v>121</v>
      </c>
      <c r="Y19" s="13">
        <v>10000</v>
      </c>
      <c r="Z19" s="18">
        <v>0</v>
      </c>
      <c r="AC19" s="28"/>
      <c r="AD19" s="11">
        <v>42445</v>
      </c>
      <c r="AE19" s="12"/>
      <c r="AF19" s="19"/>
      <c r="AG19" s="20">
        <v>42445</v>
      </c>
      <c r="AH19" s="13"/>
      <c r="AI19" s="14"/>
      <c r="AJ19" s="22">
        <v>42445</v>
      </c>
      <c r="AK19" s="15"/>
      <c r="AL19" s="37" t="s">
        <v>121</v>
      </c>
      <c r="AM19" s="13">
        <v>10000</v>
      </c>
      <c r="AN19" s="18"/>
      <c r="AO19"/>
      <c r="AQ19" s="28"/>
      <c r="AR19" s="11">
        <v>42445</v>
      </c>
      <c r="AS19" s="12"/>
      <c r="AT19" s="19"/>
      <c r="AU19" s="20">
        <v>42445</v>
      </c>
      <c r="AV19" s="13"/>
      <c r="AW19" s="14"/>
      <c r="AX19" s="22">
        <v>42445</v>
      </c>
      <c r="AY19" s="15"/>
      <c r="AZ19" s="227" t="s">
        <v>132</v>
      </c>
      <c r="BA19" s="13">
        <v>10000</v>
      </c>
      <c r="BB19" s="18"/>
      <c r="BC19"/>
    </row>
    <row r="20" spans="1:59" x14ac:dyDescent="0.25">
      <c r="B20" s="11">
        <v>42446</v>
      </c>
      <c r="C20" s="12">
        <v>40826.5</v>
      </c>
      <c r="D20" s="19" t="s">
        <v>143</v>
      </c>
      <c r="E20" s="20">
        <v>42446</v>
      </c>
      <c r="F20" s="13">
        <v>40826.5</v>
      </c>
      <c r="G20" s="14"/>
      <c r="H20" s="22">
        <v>42446</v>
      </c>
      <c r="I20" s="38">
        <v>0</v>
      </c>
      <c r="J20" s="340"/>
      <c r="K20" s="39">
        <v>0</v>
      </c>
      <c r="L20" s="18">
        <v>0</v>
      </c>
      <c r="P20" s="11">
        <v>42446</v>
      </c>
      <c r="Q20" s="12">
        <v>40826.5</v>
      </c>
      <c r="R20" s="19" t="s">
        <v>143</v>
      </c>
      <c r="S20" s="20">
        <v>42446</v>
      </c>
      <c r="T20" s="13">
        <v>40826.5</v>
      </c>
      <c r="U20" s="14"/>
      <c r="V20" s="22">
        <v>42446</v>
      </c>
      <c r="W20" s="38">
        <v>0</v>
      </c>
      <c r="X20" s="340"/>
      <c r="Y20" s="39">
        <v>0</v>
      </c>
      <c r="Z20" s="18">
        <v>0</v>
      </c>
      <c r="AD20" s="11">
        <v>42446</v>
      </c>
      <c r="AE20" s="12"/>
      <c r="AF20" s="19"/>
      <c r="AG20" s="20">
        <v>42446</v>
      </c>
      <c r="AH20" s="13"/>
      <c r="AI20" s="14"/>
      <c r="AJ20" s="22">
        <v>42446</v>
      </c>
      <c r="AK20" s="38"/>
      <c r="AL20" s="340"/>
      <c r="AM20" s="39">
        <v>0</v>
      </c>
      <c r="AN20" s="18"/>
      <c r="AO20"/>
      <c r="AR20" s="11">
        <v>42446</v>
      </c>
      <c r="AS20" s="12"/>
      <c r="AT20" s="19"/>
      <c r="AU20" s="20">
        <v>42446</v>
      </c>
      <c r="AV20" s="13"/>
      <c r="AW20" s="14"/>
      <c r="AX20" s="22">
        <v>42446</v>
      </c>
      <c r="AY20" s="38"/>
      <c r="AZ20" s="229">
        <v>42431</v>
      </c>
      <c r="BA20" s="39">
        <v>0</v>
      </c>
      <c r="BB20" s="18"/>
      <c r="BC20"/>
    </row>
    <row r="21" spans="1:59" x14ac:dyDescent="0.25">
      <c r="B21" s="11">
        <v>42447</v>
      </c>
      <c r="C21" s="12">
        <v>70876.3</v>
      </c>
      <c r="D21" s="40" t="s">
        <v>144</v>
      </c>
      <c r="E21" s="20">
        <v>42447</v>
      </c>
      <c r="F21" s="13">
        <v>70876.5</v>
      </c>
      <c r="G21" s="14"/>
      <c r="H21" s="22">
        <v>42447</v>
      </c>
      <c r="I21" s="38">
        <v>0</v>
      </c>
      <c r="J21" s="341"/>
      <c r="K21" s="24">
        <v>0</v>
      </c>
      <c r="L21" s="18">
        <v>0</v>
      </c>
      <c r="P21" s="11">
        <v>42447</v>
      </c>
      <c r="Q21" s="12">
        <v>70876.3</v>
      </c>
      <c r="R21" s="40" t="s">
        <v>144</v>
      </c>
      <c r="S21" s="20">
        <v>42447</v>
      </c>
      <c r="T21" s="13">
        <v>70876.5</v>
      </c>
      <c r="U21" s="14"/>
      <c r="V21" s="22">
        <v>42447</v>
      </c>
      <c r="W21" s="38">
        <v>0</v>
      </c>
      <c r="X21" s="341"/>
      <c r="Y21" s="24">
        <v>0</v>
      </c>
      <c r="Z21" s="18">
        <v>0</v>
      </c>
      <c r="AD21" s="11">
        <v>42447</v>
      </c>
      <c r="AE21" s="12"/>
      <c r="AF21" s="40"/>
      <c r="AG21" s="20">
        <v>42447</v>
      </c>
      <c r="AH21" s="13"/>
      <c r="AI21" s="14"/>
      <c r="AJ21" s="22">
        <v>42447</v>
      </c>
      <c r="AK21" s="38"/>
      <c r="AL21" s="341"/>
      <c r="AM21" s="24">
        <v>0</v>
      </c>
      <c r="AN21" s="18"/>
      <c r="AO21"/>
      <c r="AR21" s="11">
        <v>42447</v>
      </c>
      <c r="AS21" s="12"/>
      <c r="AT21" s="40"/>
      <c r="AU21" s="20">
        <v>42447</v>
      </c>
      <c r="AV21" s="13"/>
      <c r="AW21" s="14"/>
      <c r="AX21" s="22">
        <v>42447</v>
      </c>
      <c r="AY21" s="38"/>
      <c r="AZ21" s="228"/>
      <c r="BA21" s="24">
        <v>0</v>
      </c>
      <c r="BB21" s="18"/>
      <c r="BC21"/>
    </row>
    <row r="22" spans="1:59" x14ac:dyDescent="0.25">
      <c r="B22" s="11">
        <v>42448</v>
      </c>
      <c r="C22" s="12">
        <v>84195.7</v>
      </c>
      <c r="D22" s="40" t="s">
        <v>145</v>
      </c>
      <c r="E22" s="20">
        <v>42448</v>
      </c>
      <c r="F22" s="13">
        <v>84195.55</v>
      </c>
      <c r="G22" s="21"/>
      <c r="H22" s="22">
        <v>42448</v>
      </c>
      <c r="I22" s="15">
        <v>0</v>
      </c>
      <c r="J22" s="23"/>
      <c r="K22" s="24">
        <v>0</v>
      </c>
      <c r="L22" s="18">
        <v>0</v>
      </c>
      <c r="P22" s="11">
        <v>42448</v>
      </c>
      <c r="Q22" s="12">
        <v>84195.7</v>
      </c>
      <c r="R22" s="40" t="s">
        <v>145</v>
      </c>
      <c r="S22" s="20">
        <v>42448</v>
      </c>
      <c r="T22" s="13">
        <v>84195.55</v>
      </c>
      <c r="U22" s="21"/>
      <c r="V22" s="22">
        <v>42448</v>
      </c>
      <c r="W22" s="15">
        <v>0</v>
      </c>
      <c r="X22" s="23"/>
      <c r="Y22" s="24">
        <v>0</v>
      </c>
      <c r="Z22" s="18">
        <v>0</v>
      </c>
      <c r="AA22" s="33"/>
      <c r="AD22" s="11">
        <v>42448</v>
      </c>
      <c r="AE22" s="12"/>
      <c r="AF22" s="40"/>
      <c r="AG22" s="20">
        <v>42448</v>
      </c>
      <c r="AH22" s="13"/>
      <c r="AI22" s="21"/>
      <c r="AJ22" s="22">
        <v>42448</v>
      </c>
      <c r="AK22" s="15"/>
      <c r="AL22" s="23"/>
      <c r="AM22" s="24">
        <v>0</v>
      </c>
      <c r="AN22" s="18"/>
      <c r="AO22"/>
      <c r="AR22" s="11">
        <v>42448</v>
      </c>
      <c r="AS22" s="12"/>
      <c r="AT22" s="40"/>
      <c r="AU22" s="20">
        <v>42448</v>
      </c>
      <c r="AV22" s="13"/>
      <c r="AW22" s="21"/>
      <c r="AX22" s="22">
        <v>42448</v>
      </c>
      <c r="AY22" s="15"/>
      <c r="AZ22" s="23"/>
      <c r="BA22" s="24">
        <v>0</v>
      </c>
      <c r="BB22" s="18"/>
      <c r="BC22"/>
      <c r="BD22" s="67"/>
    </row>
    <row r="23" spans="1:59" x14ac:dyDescent="0.25">
      <c r="A23" s="28"/>
      <c r="B23" s="11">
        <v>42449</v>
      </c>
      <c r="C23" s="12">
        <v>31496</v>
      </c>
      <c r="D23" s="40" t="s">
        <v>146</v>
      </c>
      <c r="E23" s="20">
        <v>42449</v>
      </c>
      <c r="F23" s="13">
        <v>31495.9</v>
      </c>
      <c r="G23" s="14"/>
      <c r="H23" s="22">
        <v>42449</v>
      </c>
      <c r="I23" s="15">
        <v>0</v>
      </c>
      <c r="J23" s="32"/>
      <c r="K23" s="13">
        <v>0</v>
      </c>
      <c r="L23" s="18">
        <v>0</v>
      </c>
      <c r="O23" s="28"/>
      <c r="P23" s="11">
        <v>42449</v>
      </c>
      <c r="Q23" s="12">
        <v>31496</v>
      </c>
      <c r="R23" s="40" t="s">
        <v>146</v>
      </c>
      <c r="S23" s="20">
        <v>42449</v>
      </c>
      <c r="T23" s="13">
        <v>31495.9</v>
      </c>
      <c r="U23" s="14"/>
      <c r="V23" s="22">
        <v>42449</v>
      </c>
      <c r="W23" s="15">
        <v>0</v>
      </c>
      <c r="X23" s="32"/>
      <c r="Y23" s="13">
        <v>0</v>
      </c>
      <c r="Z23" s="18">
        <v>0</v>
      </c>
      <c r="AA23" s="33"/>
      <c r="AC23" s="28"/>
      <c r="AD23" s="11">
        <v>42449</v>
      </c>
      <c r="AE23" s="12"/>
      <c r="AF23" s="40"/>
      <c r="AG23" s="20">
        <v>42449</v>
      </c>
      <c r="AH23" s="13"/>
      <c r="AI23" s="14"/>
      <c r="AJ23" s="22">
        <v>42449</v>
      </c>
      <c r="AK23" s="15"/>
      <c r="AL23" s="32"/>
      <c r="AM23" s="13">
        <v>0</v>
      </c>
      <c r="AN23" s="18"/>
      <c r="AO23"/>
      <c r="AQ23" s="28"/>
      <c r="AR23" s="11">
        <v>42449</v>
      </c>
      <c r="AS23" s="12"/>
      <c r="AT23" s="40"/>
      <c r="AU23" s="20">
        <v>42449</v>
      </c>
      <c r="AV23" s="13"/>
      <c r="AW23" s="14"/>
      <c r="AX23" s="22">
        <v>42449</v>
      </c>
      <c r="AY23" s="15"/>
      <c r="AZ23" s="32"/>
      <c r="BA23" s="13">
        <v>0</v>
      </c>
      <c r="BB23" s="18"/>
      <c r="BC23"/>
      <c r="BD23" s="67"/>
    </row>
    <row r="24" spans="1:59" x14ac:dyDescent="0.25">
      <c r="A24" s="28"/>
      <c r="B24" s="11">
        <v>42450</v>
      </c>
      <c r="C24" s="12">
        <v>51157.5</v>
      </c>
      <c r="D24" s="40" t="s">
        <v>146</v>
      </c>
      <c r="E24" s="20">
        <v>42450</v>
      </c>
      <c r="F24" s="13">
        <v>51157.599999999999</v>
      </c>
      <c r="G24" s="14"/>
      <c r="H24" s="22">
        <v>42450</v>
      </c>
      <c r="I24" s="15">
        <v>0</v>
      </c>
      <c r="J24" s="34"/>
      <c r="K24" s="24"/>
      <c r="L24" s="18">
        <v>0</v>
      </c>
      <c r="O24" s="28"/>
      <c r="P24" s="11">
        <v>42450</v>
      </c>
      <c r="Q24" s="12">
        <v>51157.5</v>
      </c>
      <c r="R24" s="40" t="s">
        <v>146</v>
      </c>
      <c r="S24" s="20">
        <v>42450</v>
      </c>
      <c r="T24" s="13">
        <v>51157.599999999999</v>
      </c>
      <c r="U24" s="14"/>
      <c r="V24" s="22">
        <v>42450</v>
      </c>
      <c r="W24" s="15">
        <v>0</v>
      </c>
      <c r="X24" s="34"/>
      <c r="Y24" s="24"/>
      <c r="Z24" s="18">
        <v>0</v>
      </c>
      <c r="AC24" s="28"/>
      <c r="AD24" s="11">
        <v>42450</v>
      </c>
      <c r="AE24" s="12"/>
      <c r="AF24" s="40"/>
      <c r="AG24" s="20">
        <v>42450</v>
      </c>
      <c r="AH24" s="13"/>
      <c r="AI24" s="14"/>
      <c r="AJ24" s="22">
        <v>42450</v>
      </c>
      <c r="AK24" s="15"/>
      <c r="AL24" s="34"/>
      <c r="AM24" s="24"/>
      <c r="AN24" s="18"/>
      <c r="AO24"/>
      <c r="AQ24" s="28"/>
      <c r="AR24" s="11">
        <v>42450</v>
      </c>
      <c r="AS24" s="12"/>
      <c r="AT24" s="40"/>
      <c r="AU24" s="20">
        <v>42450</v>
      </c>
      <c r="AV24" s="13"/>
      <c r="AW24" s="14"/>
      <c r="AX24" s="22">
        <v>42450</v>
      </c>
      <c r="AY24" s="15"/>
      <c r="AZ24" s="34"/>
      <c r="BA24" s="24"/>
      <c r="BB24" s="18"/>
      <c r="BC24"/>
      <c r="BD24" s="41"/>
    </row>
    <row r="25" spans="1:59" x14ac:dyDescent="0.25">
      <c r="B25" s="11">
        <v>42451</v>
      </c>
      <c r="C25" s="12">
        <v>76015.22</v>
      </c>
      <c r="D25" s="19" t="s">
        <v>154</v>
      </c>
      <c r="E25" s="20">
        <v>42451</v>
      </c>
      <c r="F25" s="13">
        <v>76015</v>
      </c>
      <c r="G25" s="14"/>
      <c r="H25" s="22">
        <v>42451</v>
      </c>
      <c r="I25" s="15">
        <v>0</v>
      </c>
      <c r="J25" s="23"/>
      <c r="K25" s="24"/>
      <c r="L25" s="18">
        <v>0</v>
      </c>
      <c r="P25" s="11">
        <v>42451</v>
      </c>
      <c r="Q25" s="232">
        <v>76015.22</v>
      </c>
      <c r="R25" s="19" t="s">
        <v>154</v>
      </c>
      <c r="S25" s="20">
        <v>42451</v>
      </c>
      <c r="T25" s="230">
        <v>76014.5</v>
      </c>
      <c r="U25" s="14"/>
      <c r="V25" s="22">
        <v>42451</v>
      </c>
      <c r="W25" s="231">
        <v>0</v>
      </c>
      <c r="X25" s="23"/>
      <c r="Y25" s="24"/>
      <c r="Z25" s="18">
        <v>0</v>
      </c>
      <c r="AD25" s="11">
        <v>42451</v>
      </c>
      <c r="AE25" s="12"/>
      <c r="AF25" s="19"/>
      <c r="AG25" s="20">
        <v>42451</v>
      </c>
      <c r="AH25" s="13"/>
      <c r="AI25" s="14"/>
      <c r="AJ25" s="22">
        <v>42451</v>
      </c>
      <c r="AK25" s="15"/>
      <c r="AL25" s="23"/>
      <c r="AM25" s="24"/>
      <c r="AN25" s="18"/>
      <c r="AO25" s="67"/>
      <c r="AR25" s="11">
        <v>42451</v>
      </c>
      <c r="AS25" s="12"/>
      <c r="AT25" s="19"/>
      <c r="AU25" s="20">
        <v>42451</v>
      </c>
      <c r="AV25" s="13"/>
      <c r="AW25" s="14"/>
      <c r="AX25" s="22">
        <v>42451</v>
      </c>
      <c r="AY25" s="15"/>
      <c r="AZ25" s="23"/>
      <c r="BA25" s="24"/>
      <c r="BB25" s="18"/>
      <c r="BC25"/>
      <c r="BD25" s="41"/>
    </row>
    <row r="26" spans="1:59" x14ac:dyDescent="0.25">
      <c r="B26" s="11">
        <v>42452</v>
      </c>
      <c r="C26" s="12">
        <v>37793.5</v>
      </c>
      <c r="D26" s="19" t="s">
        <v>155</v>
      </c>
      <c r="E26" s="20">
        <v>42452</v>
      </c>
      <c r="F26" s="13">
        <v>37793.5</v>
      </c>
      <c r="G26" s="14"/>
      <c r="H26" s="22">
        <v>42452</v>
      </c>
      <c r="I26" s="15">
        <v>0</v>
      </c>
      <c r="J26" s="23"/>
      <c r="K26" s="24"/>
      <c r="L26" s="18">
        <v>0</v>
      </c>
      <c r="P26" s="11">
        <v>42452</v>
      </c>
      <c r="Q26" s="12"/>
      <c r="R26" s="19"/>
      <c r="S26" s="20">
        <v>42452</v>
      </c>
      <c r="T26" s="13"/>
      <c r="U26" s="14"/>
      <c r="V26" s="22">
        <v>42452</v>
      </c>
      <c r="W26" s="15"/>
      <c r="X26" s="23"/>
      <c r="Y26" s="24"/>
      <c r="Z26" s="18"/>
      <c r="AD26" s="11">
        <v>42452</v>
      </c>
      <c r="AE26" s="12"/>
      <c r="AF26" s="19"/>
      <c r="AG26" s="20">
        <v>42452</v>
      </c>
      <c r="AH26" s="13"/>
      <c r="AI26" s="14"/>
      <c r="AJ26" s="22">
        <v>42452</v>
      </c>
      <c r="AK26" s="15"/>
      <c r="AL26" s="23"/>
      <c r="AM26" s="24"/>
      <c r="AN26" s="18"/>
      <c r="AO26" s="41"/>
      <c r="AR26" s="11">
        <v>42452</v>
      </c>
      <c r="AS26" s="12"/>
      <c r="AT26" s="19"/>
      <c r="AU26" s="20">
        <v>42452</v>
      </c>
      <c r="AV26" s="13"/>
      <c r="AW26" s="14"/>
      <c r="AX26" s="22">
        <v>42452</v>
      </c>
      <c r="AY26" s="15"/>
      <c r="AZ26" s="23"/>
      <c r="BA26" s="24"/>
      <c r="BB26" s="18"/>
      <c r="BC26"/>
      <c r="BD26" s="41"/>
    </row>
    <row r="27" spans="1:59" x14ac:dyDescent="0.25">
      <c r="B27" s="11">
        <v>42453</v>
      </c>
      <c r="C27" s="12">
        <v>56513.5</v>
      </c>
      <c r="D27" s="19" t="s">
        <v>155</v>
      </c>
      <c r="E27" s="20">
        <v>42453</v>
      </c>
      <c r="F27" s="13">
        <v>56513.5</v>
      </c>
      <c r="G27" s="14"/>
      <c r="H27" s="22">
        <v>42453</v>
      </c>
      <c r="I27" s="15">
        <v>0</v>
      </c>
      <c r="J27" s="23"/>
      <c r="K27" s="24"/>
      <c r="L27" s="18">
        <v>0</v>
      </c>
      <c r="P27" s="11">
        <v>42453</v>
      </c>
      <c r="Q27" s="12"/>
      <c r="R27" s="19"/>
      <c r="S27" s="20">
        <v>42453</v>
      </c>
      <c r="T27" s="13"/>
      <c r="U27" s="14"/>
      <c r="V27" s="22">
        <v>42453</v>
      </c>
      <c r="W27" s="15"/>
      <c r="X27" s="23"/>
      <c r="Y27" s="24"/>
      <c r="Z27" s="18"/>
      <c r="AD27" s="11">
        <v>42453</v>
      </c>
      <c r="AE27" s="12"/>
      <c r="AF27" s="19"/>
      <c r="AG27" s="20">
        <v>42453</v>
      </c>
      <c r="AH27" s="13"/>
      <c r="AI27" s="14"/>
      <c r="AJ27" s="22">
        <v>42453</v>
      </c>
      <c r="AK27" s="15"/>
      <c r="AL27" s="23"/>
      <c r="AM27" s="24"/>
      <c r="AN27" s="18"/>
      <c r="AO27" s="41"/>
      <c r="AR27" s="11">
        <v>42453</v>
      </c>
      <c r="AS27" s="12"/>
      <c r="AT27" s="19"/>
      <c r="AU27" s="20">
        <v>42453</v>
      </c>
      <c r="AV27" s="13"/>
      <c r="AW27" s="14"/>
      <c r="AX27" s="22">
        <v>42453</v>
      </c>
      <c r="AY27" s="15"/>
      <c r="AZ27" s="23"/>
      <c r="BA27" s="24"/>
      <c r="BB27" s="18"/>
      <c r="BC27"/>
      <c r="BD27" s="41"/>
    </row>
    <row r="28" spans="1:59" x14ac:dyDescent="0.25">
      <c r="B28" s="11">
        <v>42454</v>
      </c>
      <c r="C28" s="12">
        <v>4387</v>
      </c>
      <c r="D28" s="19" t="s">
        <v>155</v>
      </c>
      <c r="E28" s="20">
        <v>42454</v>
      </c>
      <c r="F28" s="13">
        <v>4453</v>
      </c>
      <c r="G28" s="14"/>
      <c r="H28" s="22">
        <v>42454</v>
      </c>
      <c r="I28" s="15">
        <v>66</v>
      </c>
      <c r="J28" s="23"/>
      <c r="K28" s="24"/>
      <c r="L28" s="18">
        <v>0</v>
      </c>
      <c r="P28" s="11">
        <v>42454</v>
      </c>
      <c r="Q28" s="12"/>
      <c r="R28" s="19"/>
      <c r="S28" s="20">
        <v>42454</v>
      </c>
      <c r="T28" s="13"/>
      <c r="U28" s="14"/>
      <c r="V28" s="22">
        <v>42454</v>
      </c>
      <c r="W28" s="15"/>
      <c r="X28" s="23"/>
      <c r="Y28" s="24"/>
      <c r="Z28" s="18"/>
      <c r="AD28" s="11">
        <v>42454</v>
      </c>
      <c r="AE28" s="12"/>
      <c r="AF28" s="19"/>
      <c r="AG28" s="20">
        <v>42454</v>
      </c>
      <c r="AH28" s="13"/>
      <c r="AI28" s="14"/>
      <c r="AJ28" s="22">
        <v>42454</v>
      </c>
      <c r="AK28" s="15"/>
      <c r="AL28" s="23"/>
      <c r="AM28" s="24"/>
      <c r="AN28" s="18"/>
      <c r="AO28" s="41"/>
      <c r="AR28" s="11">
        <v>42454</v>
      </c>
      <c r="AS28" s="12"/>
      <c r="AT28" s="19"/>
      <c r="AU28" s="20">
        <v>42454</v>
      </c>
      <c r="AV28" s="13"/>
      <c r="AW28" s="14"/>
      <c r="AX28" s="22">
        <v>42454</v>
      </c>
      <c r="AY28" s="15"/>
      <c r="AZ28" s="23"/>
      <c r="BA28" s="24"/>
      <c r="BB28" s="18"/>
      <c r="BC28"/>
      <c r="BD28" s="38"/>
    </row>
    <row r="29" spans="1:59" x14ac:dyDescent="0.25">
      <c r="B29" s="11">
        <v>42455</v>
      </c>
      <c r="C29" s="12">
        <v>76010.75</v>
      </c>
      <c r="D29" s="19" t="s">
        <v>169</v>
      </c>
      <c r="E29" s="20">
        <v>42455</v>
      </c>
      <c r="F29" s="13">
        <v>76010.5</v>
      </c>
      <c r="G29" s="14"/>
      <c r="H29" s="22">
        <v>42455</v>
      </c>
      <c r="I29" s="15">
        <v>0</v>
      </c>
      <c r="J29" s="23"/>
      <c r="K29" s="24"/>
      <c r="L29" s="18">
        <v>0</v>
      </c>
      <c r="P29" s="11">
        <v>42455</v>
      </c>
      <c r="Q29" s="12"/>
      <c r="R29" s="19"/>
      <c r="S29" s="20">
        <v>42455</v>
      </c>
      <c r="T29" s="13"/>
      <c r="U29" s="14"/>
      <c r="V29" s="22">
        <v>42455</v>
      </c>
      <c r="W29" s="15"/>
      <c r="X29" s="23"/>
      <c r="Y29" s="24"/>
      <c r="Z29" s="18"/>
      <c r="AD29" s="11">
        <v>42455</v>
      </c>
      <c r="AE29" s="12"/>
      <c r="AF29" s="19"/>
      <c r="AG29" s="20">
        <v>42455</v>
      </c>
      <c r="AH29" s="13"/>
      <c r="AI29" s="14"/>
      <c r="AJ29" s="22">
        <v>42455</v>
      </c>
      <c r="AK29" s="15"/>
      <c r="AL29" s="23"/>
      <c r="AM29" s="24"/>
      <c r="AN29" s="18"/>
      <c r="AO29" s="41"/>
      <c r="AR29" s="11">
        <v>42455</v>
      </c>
      <c r="AS29" s="12"/>
      <c r="AT29" s="19"/>
      <c r="AU29" s="20">
        <v>42455</v>
      </c>
      <c r="AV29" s="13"/>
      <c r="AW29" s="14"/>
      <c r="AX29" s="22">
        <v>42455</v>
      </c>
      <c r="AY29" s="15"/>
      <c r="AZ29" s="23"/>
      <c r="BA29" s="24"/>
      <c r="BB29" s="18"/>
      <c r="BC29"/>
      <c r="BD29" s="41"/>
      <c r="BE29" s="93" t="s">
        <v>100</v>
      </c>
      <c r="BF29" s="94">
        <v>101851</v>
      </c>
      <c r="BG29">
        <v>5512.1</v>
      </c>
    </row>
    <row r="30" spans="1:59" x14ac:dyDescent="0.25">
      <c r="B30" s="11">
        <v>42456</v>
      </c>
      <c r="C30" s="12">
        <v>63414.2</v>
      </c>
      <c r="D30" s="19" t="s">
        <v>156</v>
      </c>
      <c r="E30" s="20">
        <v>42456</v>
      </c>
      <c r="F30" s="13">
        <v>63414.2</v>
      </c>
      <c r="G30" s="14"/>
      <c r="H30" s="22">
        <v>42456</v>
      </c>
      <c r="I30" s="15">
        <v>0</v>
      </c>
      <c r="J30" s="23"/>
      <c r="K30" s="24"/>
      <c r="L30" s="18">
        <v>0</v>
      </c>
      <c r="P30" s="11">
        <v>42456</v>
      </c>
      <c r="Q30" s="12"/>
      <c r="R30" s="19"/>
      <c r="S30" s="20">
        <v>42456</v>
      </c>
      <c r="T30" s="13"/>
      <c r="U30" s="14"/>
      <c r="V30" s="22">
        <v>42456</v>
      </c>
      <c r="W30" s="15"/>
      <c r="X30" s="23"/>
      <c r="Y30" s="24"/>
      <c r="Z30" s="18"/>
      <c r="AD30" s="11">
        <v>42456</v>
      </c>
      <c r="AE30" s="12"/>
      <c r="AF30" s="19"/>
      <c r="AG30" s="20">
        <v>42456</v>
      </c>
      <c r="AH30" s="13"/>
      <c r="AI30" s="14"/>
      <c r="AJ30" s="22">
        <v>42456</v>
      </c>
      <c r="AK30" s="15"/>
      <c r="AL30" s="23"/>
      <c r="AM30" s="24"/>
      <c r="AN30" s="18"/>
      <c r="AO30" s="38"/>
      <c r="AR30" s="11">
        <v>42456</v>
      </c>
      <c r="AS30" s="12"/>
      <c r="AT30" s="19"/>
      <c r="AU30" s="20">
        <v>42456</v>
      </c>
      <c r="AV30" s="13"/>
      <c r="AW30" s="14"/>
      <c r="AX30" s="22">
        <v>42456</v>
      </c>
      <c r="AY30" s="15"/>
      <c r="AZ30" s="23"/>
      <c r="BA30" s="24"/>
      <c r="BB30" s="18"/>
      <c r="BC30"/>
      <c r="BD30" s="226"/>
      <c r="BE30" s="93" t="s">
        <v>106</v>
      </c>
      <c r="BF30" s="94">
        <v>0</v>
      </c>
    </row>
    <row r="31" spans="1:59" x14ac:dyDescent="0.25">
      <c r="B31" s="11">
        <v>42457</v>
      </c>
      <c r="C31" s="12">
        <v>72139.3</v>
      </c>
      <c r="D31" s="19" t="s">
        <v>157</v>
      </c>
      <c r="E31" s="20">
        <v>42457</v>
      </c>
      <c r="F31" s="13">
        <v>72138.8</v>
      </c>
      <c r="G31" s="14"/>
      <c r="H31" s="22">
        <v>42457</v>
      </c>
      <c r="I31" s="15">
        <v>0</v>
      </c>
      <c r="J31" s="23"/>
      <c r="K31" s="24"/>
      <c r="L31" s="18">
        <v>0</v>
      </c>
      <c r="P31" s="11">
        <v>42457</v>
      </c>
      <c r="Q31" s="12"/>
      <c r="R31" s="19"/>
      <c r="S31" s="20">
        <v>42457</v>
      </c>
      <c r="T31" s="13"/>
      <c r="U31" s="14"/>
      <c r="V31" s="22">
        <v>42457</v>
      </c>
      <c r="W31" s="15"/>
      <c r="X31" s="23"/>
      <c r="Y31" s="24"/>
      <c r="Z31" s="18"/>
      <c r="AD31" s="11">
        <v>42457</v>
      </c>
      <c r="AE31" s="12"/>
      <c r="AF31" s="19"/>
      <c r="AG31" s="20">
        <v>42457</v>
      </c>
      <c r="AH31" s="13"/>
      <c r="AI31" s="14"/>
      <c r="AJ31" s="22">
        <v>42457</v>
      </c>
      <c r="AK31" s="15"/>
      <c r="AL31" s="23"/>
      <c r="AM31" s="24"/>
      <c r="AN31" s="18"/>
      <c r="AO31" s="41"/>
      <c r="AR31" s="11">
        <v>42457</v>
      </c>
      <c r="AS31" s="12"/>
      <c r="AT31" s="19"/>
      <c r="AU31" s="20">
        <v>42457</v>
      </c>
      <c r="AV31" s="13"/>
      <c r="AW31" s="14"/>
      <c r="AX31" s="22">
        <v>42457</v>
      </c>
      <c r="AY31" s="15"/>
      <c r="AZ31" s="23"/>
      <c r="BA31" s="24"/>
      <c r="BB31" s="18"/>
      <c r="BC31"/>
      <c r="BD31" s="67"/>
      <c r="BE31" s="98" t="s">
        <v>105</v>
      </c>
      <c r="BF31" s="94">
        <v>0</v>
      </c>
    </row>
    <row r="32" spans="1:59" x14ac:dyDescent="0.25">
      <c r="B32" s="11">
        <v>42458</v>
      </c>
      <c r="C32" s="12">
        <v>33037.5</v>
      </c>
      <c r="D32" s="42" t="s">
        <v>158</v>
      </c>
      <c r="E32" s="20">
        <v>42458</v>
      </c>
      <c r="F32" s="13">
        <v>33037.5</v>
      </c>
      <c r="G32" s="14"/>
      <c r="H32" s="22">
        <v>42458</v>
      </c>
      <c r="I32" s="15">
        <v>0</v>
      </c>
      <c r="J32" s="23"/>
      <c r="K32" s="24"/>
      <c r="L32" s="18">
        <v>0</v>
      </c>
      <c r="P32" s="11">
        <v>42458</v>
      </c>
      <c r="Q32" s="12"/>
      <c r="R32" s="42"/>
      <c r="S32" s="20">
        <v>42458</v>
      </c>
      <c r="T32" s="13"/>
      <c r="U32" s="14"/>
      <c r="V32" s="22">
        <v>42458</v>
      </c>
      <c r="W32" s="15"/>
      <c r="X32" s="23"/>
      <c r="Y32" s="24"/>
      <c r="Z32" s="18"/>
      <c r="AD32" s="11">
        <v>42458</v>
      </c>
      <c r="AE32" s="12"/>
      <c r="AF32" s="42"/>
      <c r="AG32" s="20">
        <v>42458</v>
      </c>
      <c r="AH32" s="13"/>
      <c r="AI32" s="14"/>
      <c r="AJ32" s="22">
        <v>42458</v>
      </c>
      <c r="AK32" s="15"/>
      <c r="AL32" s="23"/>
      <c r="AM32" s="24"/>
      <c r="AN32" s="18"/>
      <c r="AO32" s="41"/>
      <c r="AR32" s="11">
        <v>42458</v>
      </c>
      <c r="AS32" s="12"/>
      <c r="AT32" s="42"/>
      <c r="AU32" s="20">
        <v>42458</v>
      </c>
      <c r="AV32" s="13"/>
      <c r="AW32" s="14"/>
      <c r="AX32" s="22">
        <v>42458</v>
      </c>
      <c r="AY32" s="15"/>
      <c r="AZ32" s="23"/>
      <c r="BA32" s="24"/>
      <c r="BB32" s="18"/>
      <c r="BC32"/>
      <c r="BE32" s="93" t="s">
        <v>107</v>
      </c>
      <c r="BF32" s="94">
        <v>0</v>
      </c>
    </row>
    <row r="33" spans="1:58" x14ac:dyDescent="0.25">
      <c r="B33" s="11">
        <v>42459</v>
      </c>
      <c r="C33" s="12">
        <v>91136.5</v>
      </c>
      <c r="D33" s="19" t="s">
        <v>159</v>
      </c>
      <c r="E33" s="20">
        <v>42459</v>
      </c>
      <c r="F33" s="13">
        <v>91136.6</v>
      </c>
      <c r="G33" s="14"/>
      <c r="H33" s="22">
        <v>42459</v>
      </c>
      <c r="I33" s="15">
        <v>0</v>
      </c>
      <c r="J33" s="23"/>
      <c r="K33" s="24"/>
      <c r="L33" s="18">
        <v>0</v>
      </c>
      <c r="P33" s="11">
        <v>42459</v>
      </c>
      <c r="Q33" s="12"/>
      <c r="R33" s="19"/>
      <c r="S33" s="20">
        <v>42459</v>
      </c>
      <c r="T33" s="13"/>
      <c r="U33" s="14"/>
      <c r="V33" s="22">
        <v>42459</v>
      </c>
      <c r="W33" s="15"/>
      <c r="X33" s="23"/>
      <c r="Y33" s="24"/>
      <c r="Z33" s="18"/>
      <c r="AD33" s="11">
        <v>42459</v>
      </c>
      <c r="AE33" s="12"/>
      <c r="AF33" s="19"/>
      <c r="AG33" s="20">
        <v>42459</v>
      </c>
      <c r="AH33" s="13"/>
      <c r="AI33" s="14"/>
      <c r="AJ33" s="22">
        <v>42459</v>
      </c>
      <c r="AK33" s="15"/>
      <c r="AL33" s="23"/>
      <c r="AM33" s="24"/>
      <c r="AN33" s="18"/>
      <c r="AO33" s="41"/>
      <c r="AR33" s="11">
        <v>42459</v>
      </c>
      <c r="AS33" s="12"/>
      <c r="AT33" s="19"/>
      <c r="AU33" s="20">
        <v>42459</v>
      </c>
      <c r="AV33" s="13"/>
      <c r="AW33" s="14"/>
      <c r="AX33" s="22">
        <v>42459</v>
      </c>
      <c r="AY33" s="15"/>
      <c r="AZ33" s="23"/>
      <c r="BA33" s="24"/>
      <c r="BB33" s="18"/>
      <c r="BC33"/>
      <c r="BE33" s="93" t="s">
        <v>108</v>
      </c>
      <c r="BF33" s="100">
        <v>0</v>
      </c>
    </row>
    <row r="34" spans="1:58" ht="15.75" thickBot="1" x14ac:dyDescent="0.3">
      <c r="A34" s="28"/>
      <c r="B34" s="11">
        <v>42460</v>
      </c>
      <c r="C34" s="12">
        <v>121879</v>
      </c>
      <c r="D34" s="19"/>
      <c r="E34" s="20">
        <v>42460</v>
      </c>
      <c r="F34" s="13">
        <v>121878.6</v>
      </c>
      <c r="G34" s="14"/>
      <c r="H34" s="22">
        <v>42460</v>
      </c>
      <c r="I34" s="15">
        <v>0</v>
      </c>
      <c r="J34" s="23"/>
      <c r="K34" s="24"/>
      <c r="L34" s="18">
        <v>0</v>
      </c>
      <c r="O34" s="28"/>
      <c r="P34" s="11">
        <v>42460</v>
      </c>
      <c r="Q34" s="12"/>
      <c r="R34" s="19"/>
      <c r="S34" s="20">
        <v>42460</v>
      </c>
      <c r="T34" s="13"/>
      <c r="U34" s="14"/>
      <c r="V34" s="22">
        <v>42460</v>
      </c>
      <c r="W34" s="15"/>
      <c r="X34" s="23"/>
      <c r="Y34" s="24"/>
      <c r="Z34" s="18"/>
      <c r="AC34" s="28"/>
      <c r="AD34" s="11">
        <v>42460</v>
      </c>
      <c r="AE34" s="12"/>
      <c r="AF34" s="19"/>
      <c r="AG34" s="20">
        <v>42460</v>
      </c>
      <c r="AH34" s="13"/>
      <c r="AI34" s="14"/>
      <c r="AJ34" s="22">
        <v>42460</v>
      </c>
      <c r="AK34" s="15"/>
      <c r="AL34" s="23"/>
      <c r="AM34" s="24"/>
      <c r="AN34" s="18"/>
      <c r="AO34" s="41"/>
      <c r="AQ34" s="28"/>
      <c r="AR34" s="11">
        <v>42460</v>
      </c>
      <c r="AS34" s="12"/>
      <c r="AT34" s="19"/>
      <c r="AU34" s="20">
        <v>42460</v>
      </c>
      <c r="AV34" s="13"/>
      <c r="AW34" s="14"/>
      <c r="AX34" s="22">
        <v>42460</v>
      </c>
      <c r="AY34" s="15"/>
      <c r="AZ34" s="23"/>
      <c r="BA34" s="24"/>
      <c r="BB34" s="18"/>
      <c r="BC34"/>
      <c r="BE34" s="93" t="s">
        <v>109</v>
      </c>
      <c r="BF34" s="94">
        <v>19179.03</v>
      </c>
    </row>
    <row r="35" spans="1:58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 s="41"/>
      <c r="AQ35" s="43"/>
      <c r="AR35" s="44"/>
      <c r="AS35" s="45">
        <v>0</v>
      </c>
      <c r="AT35" s="46"/>
      <c r="AU35" s="47"/>
      <c r="AV35" s="24">
        <v>0</v>
      </c>
      <c r="AX35" s="48"/>
      <c r="AY35" s="49"/>
      <c r="AZ35" s="23"/>
      <c r="BA35" s="24"/>
      <c r="BB35" s="50">
        <v>0</v>
      </c>
      <c r="BC35"/>
      <c r="BF35" s="46">
        <f>SUM(BF29:BF34)</f>
        <v>121030.03</v>
      </c>
    </row>
    <row r="36" spans="1:58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 s="41"/>
      <c r="AQ36" s="51"/>
      <c r="AR36" s="52" t="s">
        <v>0</v>
      </c>
      <c r="AS36" s="53">
        <v>0</v>
      </c>
      <c r="AT36" s="46"/>
      <c r="AU36" s="54"/>
      <c r="AV36" s="55">
        <v>0</v>
      </c>
      <c r="AX36" s="56"/>
      <c r="AY36" s="57">
        <v>0</v>
      </c>
      <c r="AZ36" s="58"/>
      <c r="BA36" s="55"/>
      <c r="BB36" s="59">
        <v>0</v>
      </c>
      <c r="BC36"/>
    </row>
    <row r="37" spans="1:58" x14ac:dyDescent="0.25">
      <c r="B37" s="60" t="s">
        <v>11</v>
      </c>
      <c r="C37" s="61">
        <f>SUM(C4:C36)</f>
        <v>1735347.73</v>
      </c>
      <c r="D37" s="46"/>
      <c r="E37" s="62" t="s">
        <v>11</v>
      </c>
      <c r="F37" s="63">
        <f>SUM(F4:F36)</f>
        <v>1849811.8900000004</v>
      </c>
      <c r="H37" s="1" t="s">
        <v>11</v>
      </c>
      <c r="I37" s="64">
        <f>SUM(I4:I36)</f>
        <v>515</v>
      </c>
      <c r="J37" s="64"/>
      <c r="K37" s="64">
        <f t="shared" ref="K37" si="0">SUM(K4:K36)</f>
        <v>64569.910000000011</v>
      </c>
      <c r="L37" s="2">
        <f>SUM(L4:L36)</f>
        <v>427265.5</v>
      </c>
      <c r="P37" s="60" t="s">
        <v>11</v>
      </c>
      <c r="Q37" s="61">
        <f>SUM(Q4:Q36)</f>
        <v>1179036.48</v>
      </c>
      <c r="R37" s="46"/>
      <c r="S37" s="62" t="s">
        <v>11</v>
      </c>
      <c r="T37" s="63">
        <f>SUM(T4:T36)</f>
        <v>1293435.1900000002</v>
      </c>
      <c r="V37" s="1" t="s">
        <v>11</v>
      </c>
      <c r="W37" s="64">
        <f>SUM(W4:W36)</f>
        <v>449</v>
      </c>
      <c r="X37" s="64"/>
      <c r="Y37" s="64">
        <f t="shared" ref="Y37" si="1">SUM(Y4:Y36)</f>
        <v>37829.289999999994</v>
      </c>
      <c r="Z37" s="2">
        <f>SUM(Z4:Z36)</f>
        <v>428265.5</v>
      </c>
      <c r="AD37" s="60" t="s">
        <v>11</v>
      </c>
      <c r="AE37" s="61">
        <f>SUM(AE4:AE36)</f>
        <v>739434.26</v>
      </c>
      <c r="AF37" s="46"/>
      <c r="AG37" s="62" t="s">
        <v>11</v>
      </c>
      <c r="AH37" s="63">
        <f>SUM(AH4:AH36)</f>
        <v>866395.14</v>
      </c>
      <c r="AJ37" s="1" t="s">
        <v>11</v>
      </c>
      <c r="AK37" s="64">
        <f>SUM(AK4:AK36)</f>
        <v>449</v>
      </c>
      <c r="AL37" s="64"/>
      <c r="AM37" s="64">
        <f t="shared" ref="AM37" si="2">SUM(AM4:AM36)</f>
        <v>33095.74</v>
      </c>
      <c r="AN37" s="2">
        <f>SUM(AN4:AN36)</f>
        <v>428265.5</v>
      </c>
      <c r="AO37" s="41"/>
      <c r="AR37" s="60" t="s">
        <v>11</v>
      </c>
      <c r="AS37" s="61">
        <f>SUM(AS4:AS36)</f>
        <v>400737.71</v>
      </c>
      <c r="AT37" s="46"/>
      <c r="AU37" s="62" t="s">
        <v>11</v>
      </c>
      <c r="AV37" s="63">
        <f>SUM(AV4:AV36)</f>
        <v>521537.64</v>
      </c>
      <c r="AX37" s="1" t="s">
        <v>11</v>
      </c>
      <c r="AY37" s="64">
        <f>SUM(AY4:AY36)</f>
        <v>383</v>
      </c>
      <c r="AZ37" s="64"/>
      <c r="BA37" s="64">
        <f t="shared" ref="BA37" si="3">SUM(BA4:BA36)</f>
        <v>26066.62</v>
      </c>
      <c r="BB37" s="2">
        <f>SUM(BB4:BB36)</f>
        <v>422170.5</v>
      </c>
      <c r="BC37"/>
      <c r="BE37" s="67"/>
    </row>
    <row r="38" spans="1:58" x14ac:dyDescent="0.25">
      <c r="A38" s="342"/>
      <c r="B38" s="342"/>
      <c r="C38" s="50"/>
      <c r="I38" s="64"/>
      <c r="K38" s="64"/>
      <c r="O38" s="342"/>
      <c r="P38" s="342"/>
      <c r="Q38" s="50"/>
      <c r="W38" s="64"/>
      <c r="Y38" s="64"/>
      <c r="AC38" s="342"/>
      <c r="AD38" s="342"/>
      <c r="AE38" s="50"/>
      <c r="AK38" s="64"/>
      <c r="AM38" s="64"/>
      <c r="AO38" s="226"/>
      <c r="AQ38" s="342"/>
      <c r="AR38" s="342"/>
      <c r="AS38" s="50"/>
      <c r="AY38" s="64"/>
      <c r="BA38" s="64"/>
      <c r="BC38"/>
      <c r="BE38" s="41"/>
    </row>
    <row r="39" spans="1:58" ht="15.75" x14ac:dyDescent="0.25">
      <c r="D39" s="67"/>
      <c r="E39" s="66"/>
      <c r="F39" s="66"/>
      <c r="H39" s="326" t="s">
        <v>12</v>
      </c>
      <c r="I39" s="327"/>
      <c r="J39" s="328">
        <f>I37+K37</f>
        <v>65084.910000000011</v>
      </c>
      <c r="K39" s="329"/>
      <c r="L39" s="68"/>
      <c r="O39" s="65"/>
      <c r="P39" s="66"/>
      <c r="Q39" s="50"/>
      <c r="R39" s="67"/>
      <c r="S39" s="66"/>
      <c r="T39" s="66"/>
      <c r="V39" s="326" t="s">
        <v>12</v>
      </c>
      <c r="W39" s="327"/>
      <c r="X39" s="328">
        <f>W37+Y37</f>
        <v>38278.289999999994</v>
      </c>
      <c r="Y39" s="329"/>
      <c r="Z39" s="68"/>
      <c r="AC39" s="65"/>
      <c r="AD39" s="66"/>
      <c r="AE39" s="50"/>
      <c r="AF39" s="67"/>
      <c r="AG39" s="66"/>
      <c r="AH39" s="66"/>
      <c r="AJ39" s="326" t="s">
        <v>12</v>
      </c>
      <c r="AK39" s="327"/>
      <c r="AL39" s="328">
        <f>AK37+AM37</f>
        <v>33544.74</v>
      </c>
      <c r="AM39" s="329"/>
      <c r="AN39" s="68"/>
      <c r="AO39"/>
      <c r="AQ39" s="65"/>
      <c r="AR39" s="66"/>
      <c r="AS39" s="50"/>
      <c r="AT39" s="67"/>
      <c r="AU39" s="66"/>
      <c r="AV39" s="66"/>
      <c r="AX39" s="326" t="s">
        <v>12</v>
      </c>
      <c r="AY39" s="327"/>
      <c r="AZ39" s="328">
        <f>AY37+BA37</f>
        <v>26449.62</v>
      </c>
      <c r="BA39" s="329"/>
      <c r="BB39" s="68"/>
      <c r="BC39"/>
      <c r="BE39" s="41"/>
    </row>
    <row r="40" spans="1:58" ht="15.75" x14ac:dyDescent="0.25">
      <c r="D40" s="331" t="s">
        <v>13</v>
      </c>
      <c r="E40" s="331"/>
      <c r="F40" s="69">
        <f>F37-J39</f>
        <v>1784726.9800000004</v>
      </c>
      <c r="I40" s="70"/>
      <c r="O40" s="330"/>
      <c r="P40" s="330"/>
      <c r="Q40" s="50"/>
      <c r="R40" s="331" t="s">
        <v>13</v>
      </c>
      <c r="S40" s="331"/>
      <c r="T40" s="69">
        <f>T37-X39-Q37</f>
        <v>76120.420000000158</v>
      </c>
      <c r="W40" s="70"/>
      <c r="AC40" s="330"/>
      <c r="AD40" s="330"/>
      <c r="AE40" s="50"/>
      <c r="AF40" s="331" t="s">
        <v>13</v>
      </c>
      <c r="AG40" s="331"/>
      <c r="AH40" s="69">
        <f>AH37-AL39-AE37</f>
        <v>93416.140000000014</v>
      </c>
      <c r="AK40" s="70"/>
      <c r="AO40"/>
      <c r="AQ40" s="330"/>
      <c r="AR40" s="330"/>
      <c r="AS40" s="50"/>
      <c r="AT40" s="331" t="s">
        <v>13</v>
      </c>
      <c r="AU40" s="331"/>
      <c r="AV40" s="69">
        <f>AV37-AZ39-AS37</f>
        <v>94350.31</v>
      </c>
      <c r="AY40" s="70"/>
      <c r="BC40"/>
      <c r="BE40" s="41"/>
    </row>
    <row r="41" spans="1:58" x14ac:dyDescent="0.25">
      <c r="D41" s="67"/>
      <c r="E41" s="66"/>
      <c r="F41" s="69">
        <v>0</v>
      </c>
      <c r="O41" s="67"/>
      <c r="P41" s="66"/>
      <c r="Q41" s="50"/>
      <c r="R41" s="67"/>
      <c r="S41" s="66"/>
      <c r="T41" s="69">
        <v>0</v>
      </c>
      <c r="AC41" s="67"/>
      <c r="AD41" s="66"/>
      <c r="AE41" s="50"/>
      <c r="AF41" s="67"/>
      <c r="AG41" s="66"/>
      <c r="AH41" s="69">
        <v>0</v>
      </c>
      <c r="AO41"/>
      <c r="AQ41" s="67"/>
      <c r="AR41" s="66"/>
      <c r="AS41" s="50"/>
      <c r="AT41" s="67"/>
      <c r="AU41" s="66"/>
      <c r="AV41" s="69">
        <v>0</v>
      </c>
      <c r="BC41"/>
      <c r="BE41" s="41"/>
    </row>
    <row r="42" spans="1:58" ht="15.75" thickBot="1" x14ac:dyDescent="0.3">
      <c r="E42" s="71" t="s">
        <v>14</v>
      </c>
      <c r="F42" s="50">
        <v>-1869955.87</v>
      </c>
      <c r="I42" s="72" t="s">
        <v>15</v>
      </c>
      <c r="J42" s="257"/>
      <c r="K42" s="258">
        <v>234143.62</v>
      </c>
      <c r="S42" s="71" t="s">
        <v>14</v>
      </c>
      <c r="T42" s="50">
        <v>0</v>
      </c>
      <c r="W42" s="72" t="s">
        <v>15</v>
      </c>
      <c r="X42" s="73"/>
      <c r="Y42" s="74">
        <v>290793.21999999997</v>
      </c>
      <c r="AG42" s="71" t="s">
        <v>14</v>
      </c>
      <c r="AH42" s="50">
        <v>-247646.64</v>
      </c>
      <c r="AK42" s="72" t="s">
        <v>15</v>
      </c>
      <c r="AL42" s="73"/>
      <c r="AM42" s="74">
        <v>277290.15999999997</v>
      </c>
      <c r="AO42"/>
      <c r="AU42" s="71" t="s">
        <v>14</v>
      </c>
      <c r="AV42" s="50">
        <v>-121030.03</v>
      </c>
      <c r="AY42" s="72" t="s">
        <v>15</v>
      </c>
      <c r="AZ42" s="73"/>
      <c r="BA42" s="74">
        <v>220574.97</v>
      </c>
      <c r="BC42"/>
      <c r="BE42" s="38"/>
    </row>
    <row r="43" spans="1:58" ht="15.75" thickTop="1" x14ac:dyDescent="0.25">
      <c r="E43" s="1" t="s">
        <v>16</v>
      </c>
      <c r="F43" s="64">
        <f>SUM(F40:F42)</f>
        <v>-85228.889999999665</v>
      </c>
      <c r="K43" s="64">
        <f>F45+K42</f>
        <v>176966.63000000032</v>
      </c>
      <c r="S43" s="1" t="s">
        <v>16</v>
      </c>
      <c r="T43" s="64">
        <f>SUM(T40:T42)</f>
        <v>76120.420000000158</v>
      </c>
      <c r="Y43" s="64">
        <f>T45+Y42</f>
        <v>410412.06000000011</v>
      </c>
      <c r="AG43" s="1" t="s">
        <v>16</v>
      </c>
      <c r="AH43" s="64">
        <f>SUM(AH40:AH42)</f>
        <v>-154230.5</v>
      </c>
      <c r="AM43" s="64">
        <f>AH45+AM42</f>
        <v>166558.07999999996</v>
      </c>
      <c r="AO43"/>
      <c r="AU43" s="1" t="s">
        <v>16</v>
      </c>
      <c r="AV43" s="64">
        <f>SUM(AV40:AV42)</f>
        <v>-26679.72</v>
      </c>
      <c r="BA43" s="64">
        <f>AV45+BA42</f>
        <v>222811.25</v>
      </c>
      <c r="BC43"/>
      <c r="BE43" s="41"/>
    </row>
    <row r="44" spans="1:58" ht="15.75" thickBot="1" x14ac:dyDescent="0.3">
      <c r="B44" s="2"/>
      <c r="D44" s="62" t="s">
        <v>17</v>
      </c>
      <c r="E44" s="62"/>
      <c r="F44" s="75">
        <v>28051.9</v>
      </c>
      <c r="I44" s="1" t="s">
        <v>1</v>
      </c>
      <c r="J44" s="76"/>
      <c r="K44" s="77">
        <f>-C3</f>
        <v>-221672.33</v>
      </c>
      <c r="R44" s="62" t="s">
        <v>17</v>
      </c>
      <c r="S44" s="62"/>
      <c r="T44" s="75">
        <v>43498.42</v>
      </c>
      <c r="W44" s="1" t="s">
        <v>1</v>
      </c>
      <c r="X44" s="76"/>
      <c r="Y44" s="77">
        <f>-Q3</f>
        <v>-221672.33</v>
      </c>
      <c r="AF44" s="62" t="s">
        <v>17</v>
      </c>
      <c r="AG44" s="62"/>
      <c r="AH44" s="75">
        <v>43498.42</v>
      </c>
      <c r="AK44" s="1" t="s">
        <v>1</v>
      </c>
      <c r="AL44" s="76"/>
      <c r="AM44" s="77">
        <f>-AE3</f>
        <v>-221672.33</v>
      </c>
      <c r="AO44"/>
      <c r="AT44" s="62" t="s">
        <v>17</v>
      </c>
      <c r="AU44" s="62"/>
      <c r="AV44" s="75">
        <v>28916</v>
      </c>
      <c r="AY44" s="1" t="s">
        <v>1</v>
      </c>
      <c r="AZ44" s="76"/>
      <c r="BA44" s="77">
        <f>-AS3</f>
        <v>-221672.33</v>
      </c>
      <c r="BC44"/>
      <c r="BE44" s="226"/>
    </row>
    <row r="45" spans="1:58" ht="20.25" thickTop="1" thickBot="1" x14ac:dyDescent="0.35">
      <c r="B45" s="2"/>
      <c r="E45" s="60" t="s">
        <v>18</v>
      </c>
      <c r="F45" s="78">
        <f>F44+F43</f>
        <v>-57176.989999999663</v>
      </c>
      <c r="I45" s="332" t="s">
        <v>175</v>
      </c>
      <c r="J45" s="333"/>
      <c r="K45" s="79">
        <f>K43+K44</f>
        <v>-44705.699999999662</v>
      </c>
      <c r="S45" s="60" t="s">
        <v>18</v>
      </c>
      <c r="T45" s="78">
        <f>T44+T43</f>
        <v>119618.84000000016</v>
      </c>
      <c r="W45" s="332" t="s">
        <v>19</v>
      </c>
      <c r="X45" s="333"/>
      <c r="Y45" s="79">
        <f>Y43+Y44</f>
        <v>188739.73000000013</v>
      </c>
      <c r="AG45" s="60" t="s">
        <v>18</v>
      </c>
      <c r="AH45" s="78">
        <f>AH44+AH43</f>
        <v>-110732.08</v>
      </c>
      <c r="AK45" s="332" t="s">
        <v>19</v>
      </c>
      <c r="AL45" s="333"/>
      <c r="AM45" s="79">
        <f>AM43+AM44</f>
        <v>-55114.250000000029</v>
      </c>
      <c r="AO45"/>
      <c r="AU45" s="60" t="s">
        <v>18</v>
      </c>
      <c r="AV45" s="78">
        <f>AV44+AV43</f>
        <v>2236.2799999999988</v>
      </c>
      <c r="AY45" s="332" t="s">
        <v>19</v>
      </c>
      <c r="AZ45" s="333"/>
      <c r="BA45" s="79">
        <f>BA43+BA44</f>
        <v>1138.9200000000128</v>
      </c>
      <c r="BC45"/>
    </row>
    <row r="46" spans="1:58" ht="15.75" thickTop="1" x14ac:dyDescent="0.25">
      <c r="B46" s="2"/>
      <c r="AO46"/>
      <c r="BC46"/>
    </row>
    <row r="47" spans="1:58" x14ac:dyDescent="0.25">
      <c r="B47" s="2"/>
    </row>
    <row r="48" spans="1:58" x14ac:dyDescent="0.25">
      <c r="B48" s="2"/>
    </row>
    <row r="49" spans="2:55" x14ac:dyDescent="0.25">
      <c r="B49" s="3"/>
      <c r="C49"/>
      <c r="E49"/>
      <c r="F49" t="s">
        <v>160</v>
      </c>
      <c r="H49"/>
      <c r="I49"/>
      <c r="J49"/>
      <c r="K49"/>
      <c r="L49"/>
      <c r="P49"/>
      <c r="Q49"/>
      <c r="S49"/>
      <c r="T49"/>
      <c r="V49"/>
      <c r="W49"/>
      <c r="X49"/>
      <c r="Y49"/>
      <c r="Z49"/>
      <c r="AD49"/>
      <c r="AE49"/>
      <c r="AG49"/>
      <c r="AH49"/>
      <c r="AJ49"/>
      <c r="AK49"/>
      <c r="AL49"/>
      <c r="AM49"/>
      <c r="AN49"/>
      <c r="AO49"/>
      <c r="AR49"/>
      <c r="AS49"/>
      <c r="AU49"/>
      <c r="AV49"/>
      <c r="AX49"/>
      <c r="AY49"/>
      <c r="AZ49"/>
      <c r="BA49"/>
      <c r="BB49"/>
      <c r="BC49"/>
    </row>
    <row r="50" spans="2:55" x14ac:dyDescent="0.25">
      <c r="B50" s="3"/>
      <c r="C50"/>
      <c r="E50"/>
      <c r="F50"/>
      <c r="H50"/>
      <c r="I50"/>
      <c r="J50"/>
      <c r="K50"/>
      <c r="L50"/>
      <c r="P50"/>
      <c r="Q50"/>
      <c r="S50"/>
      <c r="T50"/>
      <c r="V50"/>
      <c r="W50"/>
      <c r="X50"/>
      <c r="Y50"/>
      <c r="Z50"/>
      <c r="AD50"/>
      <c r="AE50"/>
      <c r="AG50"/>
      <c r="AH50"/>
      <c r="AJ50"/>
      <c r="AK50"/>
      <c r="AL50"/>
      <c r="AM50"/>
      <c r="AN50"/>
      <c r="AO50"/>
      <c r="AR50"/>
      <c r="AS50"/>
      <c r="AU50"/>
      <c r="AV50"/>
      <c r="AX50"/>
      <c r="AY50"/>
      <c r="AZ50"/>
      <c r="BA50"/>
      <c r="BB50"/>
      <c r="BC50"/>
    </row>
    <row r="51" spans="2:55" x14ac:dyDescent="0.25">
      <c r="B51" s="3"/>
      <c r="C51"/>
      <c r="E51"/>
      <c r="F51"/>
      <c r="H51" s="325"/>
      <c r="I51" s="325"/>
      <c r="J51" s="80"/>
      <c r="K51" s="81"/>
      <c r="L51"/>
      <c r="P51"/>
      <c r="Q51"/>
      <c r="S51"/>
      <c r="T51"/>
      <c r="V51" s="325"/>
      <c r="W51" s="325"/>
      <c r="X51" s="80"/>
      <c r="Y51" s="81"/>
      <c r="Z51"/>
      <c r="AD51"/>
      <c r="AE51"/>
      <c r="AG51"/>
      <c r="AH51"/>
      <c r="AJ51" s="325"/>
      <c r="AK51" s="325"/>
      <c r="AL51" s="80"/>
      <c r="AM51" s="81"/>
      <c r="AN51"/>
      <c r="AO51"/>
      <c r="AR51"/>
      <c r="AS51"/>
      <c r="AU51"/>
      <c r="AV51"/>
      <c r="AX51" s="325"/>
      <c r="AY51" s="325"/>
      <c r="AZ51" s="80"/>
      <c r="BA51" s="81"/>
      <c r="BB51"/>
      <c r="BC51"/>
    </row>
    <row r="52" spans="2:55" x14ac:dyDescent="0.25">
      <c r="B52" s="3"/>
      <c r="C52"/>
      <c r="E52"/>
      <c r="F52"/>
      <c r="H52"/>
      <c r="I52"/>
      <c r="J52"/>
      <c r="K52"/>
      <c r="L52"/>
      <c r="P52"/>
      <c r="Q52"/>
      <c r="S52"/>
      <c r="T52"/>
      <c r="V52"/>
      <c r="W52"/>
      <c r="X52"/>
      <c r="Y52"/>
      <c r="Z52"/>
      <c r="AD52"/>
      <c r="AE52"/>
      <c r="AG52"/>
      <c r="AH52"/>
      <c r="AJ52"/>
      <c r="AK52"/>
      <c r="AL52"/>
      <c r="AM52"/>
      <c r="AN52"/>
      <c r="AO52"/>
      <c r="AR52"/>
      <c r="AS52"/>
      <c r="AU52"/>
      <c r="AV52"/>
      <c r="AX52"/>
      <c r="AY52"/>
      <c r="AZ52"/>
      <c r="BA52"/>
      <c r="BB52"/>
      <c r="BC52"/>
    </row>
    <row r="53" spans="2:55" x14ac:dyDescent="0.25">
      <c r="B53" s="3"/>
      <c r="C53"/>
      <c r="E53"/>
      <c r="F53"/>
      <c r="H53"/>
      <c r="I53"/>
      <c r="J53"/>
      <c r="K53"/>
      <c r="L53"/>
      <c r="P53"/>
      <c r="Q53"/>
      <c r="S53"/>
      <c r="T53"/>
      <c r="V53"/>
      <c r="W53"/>
      <c r="X53"/>
      <c r="Y53"/>
      <c r="Z53"/>
      <c r="AD53"/>
      <c r="AE53"/>
      <c r="AG53"/>
      <c r="AH53"/>
      <c r="AJ53"/>
      <c r="AK53"/>
      <c r="AL53"/>
      <c r="AM53"/>
      <c r="AN53"/>
      <c r="AO53"/>
      <c r="AR53"/>
      <c r="AS53"/>
      <c r="AU53"/>
      <c r="AV53"/>
      <c r="AX53"/>
      <c r="AY53"/>
      <c r="AZ53"/>
      <c r="BA53"/>
      <c r="BB53"/>
      <c r="BC53"/>
    </row>
    <row r="54" spans="2:55" x14ac:dyDescent="0.25">
      <c r="B54" s="3"/>
      <c r="C54"/>
      <c r="E54"/>
      <c r="F54"/>
      <c r="H54"/>
      <c r="I54"/>
      <c r="J54"/>
      <c r="K54"/>
      <c r="L54"/>
      <c r="P54"/>
      <c r="Q54"/>
      <c r="S54"/>
      <c r="T54"/>
      <c r="V54"/>
      <c r="W54"/>
      <c r="X54"/>
      <c r="Y54"/>
      <c r="Z54"/>
      <c r="AD54"/>
      <c r="AE54"/>
      <c r="AG54"/>
      <c r="AH54"/>
      <c r="AJ54"/>
      <c r="AK54"/>
      <c r="AL54"/>
      <c r="AM54"/>
      <c r="AN54"/>
      <c r="AO54"/>
      <c r="AR54"/>
      <c r="AS54"/>
      <c r="AU54"/>
      <c r="AV54"/>
      <c r="AX54"/>
      <c r="AY54"/>
      <c r="AZ54"/>
      <c r="BA54"/>
      <c r="BB54"/>
      <c r="BC54"/>
    </row>
    <row r="55" spans="2:55" x14ac:dyDescent="0.25">
      <c r="B55"/>
      <c r="C55"/>
      <c r="E55"/>
      <c r="F55"/>
      <c r="H55"/>
      <c r="I55"/>
      <c r="J55"/>
      <c r="K55"/>
      <c r="L55"/>
      <c r="P55"/>
      <c r="Q55"/>
      <c r="S55"/>
      <c r="T55"/>
      <c r="V55"/>
      <c r="W55"/>
      <c r="X55"/>
      <c r="Y55"/>
      <c r="Z55"/>
      <c r="AD55"/>
      <c r="AE55"/>
      <c r="AG55"/>
      <c r="AH55"/>
      <c r="AJ55"/>
      <c r="AK55"/>
      <c r="AL55"/>
      <c r="AM55"/>
      <c r="AN55"/>
      <c r="AO55"/>
      <c r="AR55"/>
      <c r="AS55"/>
      <c r="AU55"/>
      <c r="AV55"/>
      <c r="AX55"/>
      <c r="AY55"/>
      <c r="AZ55"/>
      <c r="BA55"/>
      <c r="BB55"/>
      <c r="BC55"/>
    </row>
    <row r="56" spans="2:55" x14ac:dyDescent="0.25">
      <c r="B56"/>
      <c r="C56"/>
      <c r="E56"/>
      <c r="F56"/>
      <c r="H56"/>
      <c r="I56"/>
      <c r="J56"/>
      <c r="K56"/>
      <c r="L56"/>
      <c r="P56"/>
      <c r="Q56"/>
      <c r="S56"/>
      <c r="T56"/>
      <c r="V56"/>
      <c r="W56"/>
      <c r="X56"/>
      <c r="Y56"/>
      <c r="Z56"/>
      <c r="AD56"/>
      <c r="AE56"/>
      <c r="AG56"/>
      <c r="AH56"/>
      <c r="AJ56"/>
      <c r="AK56"/>
      <c r="AL56"/>
      <c r="AM56"/>
      <c r="AN56"/>
      <c r="AO56"/>
      <c r="AR56"/>
      <c r="AS56"/>
      <c r="AU56"/>
      <c r="AV56"/>
      <c r="AX56"/>
      <c r="AY56"/>
      <c r="AZ56"/>
      <c r="BA56"/>
      <c r="BB56"/>
      <c r="BC56"/>
    </row>
    <row r="57" spans="2:55" x14ac:dyDescent="0.25">
      <c r="B57"/>
      <c r="C57"/>
      <c r="E57"/>
      <c r="F57"/>
      <c r="H57"/>
      <c r="I57"/>
      <c r="J57"/>
      <c r="K57"/>
      <c r="L57"/>
      <c r="P57"/>
      <c r="Q57"/>
      <c r="S57"/>
      <c r="T57"/>
      <c r="V57"/>
      <c r="W57"/>
      <c r="X57"/>
      <c r="Y57"/>
      <c r="Z57"/>
      <c r="AD57"/>
      <c r="AE57"/>
      <c r="AG57"/>
      <c r="AH57"/>
      <c r="AJ57"/>
      <c r="AK57"/>
      <c r="AL57"/>
      <c r="AM57"/>
      <c r="AN57"/>
      <c r="AO57"/>
      <c r="AR57"/>
      <c r="AS57"/>
      <c r="AU57"/>
      <c r="AV57"/>
      <c r="AX57"/>
      <c r="AY57"/>
      <c r="AZ57"/>
      <c r="BA57"/>
      <c r="BB57"/>
      <c r="BC57"/>
    </row>
    <row r="58" spans="2:55" x14ac:dyDescent="0.25">
      <c r="B58"/>
      <c r="C58"/>
      <c r="E58"/>
      <c r="F58"/>
      <c r="H58"/>
      <c r="I58"/>
      <c r="J58"/>
      <c r="K58"/>
      <c r="L58"/>
      <c r="P58"/>
      <c r="Q58"/>
      <c r="S58"/>
      <c r="T58"/>
      <c r="V58"/>
      <c r="W58"/>
      <c r="X58"/>
      <c r="Y58"/>
      <c r="Z58"/>
      <c r="AD58"/>
      <c r="AE58"/>
      <c r="AG58"/>
      <c r="AH58"/>
      <c r="AJ58"/>
      <c r="AK58"/>
      <c r="AL58"/>
      <c r="AM58"/>
      <c r="AN58"/>
      <c r="AO58"/>
      <c r="AR58"/>
      <c r="AS58"/>
      <c r="AU58"/>
      <c r="AV58"/>
      <c r="AX58"/>
      <c r="AY58"/>
      <c r="AZ58"/>
      <c r="BA58"/>
      <c r="BB58"/>
      <c r="BC58"/>
    </row>
    <row r="59" spans="2:55" x14ac:dyDescent="0.25">
      <c r="B59"/>
      <c r="C59"/>
      <c r="E59"/>
      <c r="F59"/>
      <c r="H59"/>
      <c r="I59"/>
      <c r="J59"/>
      <c r="K59"/>
      <c r="L59"/>
      <c r="P59"/>
      <c r="Q59"/>
      <c r="S59"/>
      <c r="T59"/>
      <c r="V59"/>
      <c r="W59"/>
      <c r="X59"/>
      <c r="Y59"/>
      <c r="Z59"/>
      <c r="AD59"/>
      <c r="AE59"/>
      <c r="AG59"/>
      <c r="AH59"/>
      <c r="AJ59"/>
      <c r="AK59"/>
      <c r="AL59"/>
      <c r="AM59"/>
      <c r="AN59"/>
      <c r="AO59"/>
      <c r="AR59"/>
      <c r="AS59"/>
      <c r="AU59"/>
      <c r="AV59"/>
      <c r="AX59"/>
      <c r="AY59"/>
      <c r="AZ59"/>
      <c r="BA59"/>
      <c r="BB59"/>
      <c r="BC59"/>
    </row>
    <row r="60" spans="2:55" x14ac:dyDescent="0.25">
      <c r="B60"/>
      <c r="C60"/>
      <c r="E60"/>
      <c r="F60"/>
      <c r="H60"/>
      <c r="I60"/>
      <c r="J60"/>
      <c r="K60"/>
      <c r="L60"/>
      <c r="P60"/>
      <c r="Q60"/>
      <c r="S60"/>
      <c r="T60"/>
      <c r="V60"/>
      <c r="W60"/>
      <c r="X60"/>
      <c r="Y60"/>
      <c r="Z60"/>
      <c r="AD60"/>
      <c r="AE60"/>
      <c r="AG60"/>
      <c r="AH60"/>
      <c r="AJ60"/>
      <c r="AK60"/>
      <c r="AL60"/>
      <c r="AM60"/>
      <c r="AN60"/>
      <c r="AO60"/>
      <c r="AR60"/>
      <c r="AS60"/>
      <c r="AU60"/>
      <c r="AV60"/>
      <c r="AX60"/>
      <c r="AY60"/>
      <c r="AZ60"/>
      <c r="BA60"/>
      <c r="BB60"/>
      <c r="BC60"/>
    </row>
    <row r="61" spans="2:55" x14ac:dyDescent="0.25">
      <c r="B61"/>
      <c r="C61"/>
      <c r="E61"/>
      <c r="F61"/>
      <c r="H61"/>
      <c r="I61"/>
      <c r="J61"/>
      <c r="K61"/>
      <c r="L61"/>
      <c r="P61"/>
      <c r="Q61"/>
      <c r="S61"/>
      <c r="T61"/>
      <c r="V61"/>
      <c r="W61"/>
      <c r="X61"/>
      <c r="Y61"/>
      <c r="Z61"/>
      <c r="AD61"/>
      <c r="AE61"/>
      <c r="AG61"/>
      <c r="AH61"/>
      <c r="AJ61"/>
      <c r="AK61"/>
      <c r="AL61"/>
      <c r="AM61"/>
      <c r="AN61"/>
      <c r="AO61"/>
      <c r="AR61"/>
      <c r="AS61"/>
      <c r="AU61"/>
      <c r="AV61"/>
      <c r="AX61"/>
      <c r="AY61"/>
      <c r="AZ61"/>
      <c r="BA61"/>
      <c r="BB61"/>
      <c r="BC61"/>
    </row>
    <row r="62" spans="2:55" x14ac:dyDescent="0.25">
      <c r="B62"/>
      <c r="C62"/>
      <c r="E62"/>
      <c r="F62"/>
      <c r="H62"/>
      <c r="I62"/>
      <c r="J62"/>
      <c r="K62"/>
      <c r="L62"/>
      <c r="P62"/>
      <c r="Q62"/>
      <c r="S62"/>
      <c r="T62"/>
      <c r="V62"/>
      <c r="W62"/>
      <c r="X62"/>
      <c r="Y62"/>
      <c r="Z62"/>
      <c r="AD62"/>
      <c r="AE62"/>
      <c r="AG62"/>
      <c r="AH62"/>
      <c r="AJ62"/>
      <c r="AK62"/>
      <c r="AL62"/>
      <c r="AM62"/>
      <c r="AN62"/>
      <c r="AO62"/>
      <c r="AR62"/>
      <c r="AS62"/>
      <c r="AU62"/>
      <c r="AV62"/>
      <c r="AX62"/>
      <c r="AY62"/>
      <c r="AZ62"/>
      <c r="BA62"/>
      <c r="BB62"/>
      <c r="BC62"/>
    </row>
    <row r="63" spans="2:55" x14ac:dyDescent="0.25">
      <c r="B63"/>
      <c r="C63"/>
      <c r="E63"/>
      <c r="F63"/>
      <c r="H63"/>
      <c r="I63"/>
      <c r="J63"/>
      <c r="K63"/>
      <c r="L63"/>
      <c r="P63"/>
      <c r="Q63"/>
      <c r="S63"/>
      <c r="T63"/>
      <c r="V63"/>
      <c r="W63"/>
      <c r="X63"/>
      <c r="Y63"/>
      <c r="Z63"/>
      <c r="AD63"/>
      <c r="AE63"/>
      <c r="AG63"/>
      <c r="AH63"/>
      <c r="AJ63"/>
      <c r="AK63"/>
      <c r="AL63"/>
      <c r="AM63"/>
      <c r="AN63"/>
      <c r="AO63"/>
      <c r="AR63"/>
      <c r="AS63"/>
      <c r="AU63"/>
      <c r="AV63"/>
      <c r="AX63"/>
      <c r="AY63"/>
      <c r="AZ63"/>
      <c r="BA63"/>
      <c r="BB63"/>
      <c r="BC63"/>
    </row>
    <row r="64" spans="2:55" x14ac:dyDescent="0.25">
      <c r="B64"/>
      <c r="C64"/>
      <c r="E64"/>
      <c r="F64"/>
      <c r="H64"/>
      <c r="I64"/>
      <c r="J64"/>
      <c r="K64"/>
      <c r="L64"/>
      <c r="P64"/>
      <c r="Q64"/>
      <c r="S64"/>
      <c r="T64"/>
      <c r="V64"/>
      <c r="W64"/>
      <c r="X64"/>
      <c r="Y64"/>
      <c r="Z64"/>
      <c r="AD64"/>
      <c r="AE64"/>
      <c r="AG64"/>
      <c r="AH64"/>
      <c r="AJ64"/>
      <c r="AK64"/>
      <c r="AL64"/>
      <c r="AM64"/>
      <c r="AN64"/>
      <c r="AO64"/>
      <c r="AR64"/>
      <c r="AS64"/>
      <c r="AU64"/>
      <c r="AV64"/>
      <c r="AX64"/>
      <c r="AY64"/>
      <c r="AZ64"/>
      <c r="BA64"/>
      <c r="BB64"/>
      <c r="BC64"/>
    </row>
    <row r="65" spans="2:55" x14ac:dyDescent="0.25">
      <c r="B65"/>
      <c r="C65"/>
      <c r="E65"/>
      <c r="F65"/>
      <c r="H65"/>
      <c r="I65"/>
      <c r="J65"/>
      <c r="K65"/>
      <c r="L65"/>
      <c r="P65"/>
      <c r="Q65"/>
      <c r="S65"/>
      <c r="T65"/>
      <c r="V65"/>
      <c r="W65"/>
      <c r="X65"/>
      <c r="Y65"/>
      <c r="Z65"/>
      <c r="AD65"/>
      <c r="AE65"/>
      <c r="AG65"/>
      <c r="AH65"/>
      <c r="AJ65"/>
      <c r="AK65"/>
      <c r="AL65"/>
      <c r="AM65"/>
      <c r="AN65"/>
      <c r="AO65"/>
      <c r="AR65"/>
      <c r="AS65"/>
      <c r="AU65"/>
      <c r="AV65"/>
      <c r="AX65"/>
      <c r="AY65"/>
      <c r="AZ65"/>
      <c r="BA65"/>
      <c r="BB65"/>
      <c r="BC65"/>
    </row>
    <row r="66" spans="2:55" x14ac:dyDescent="0.25">
      <c r="B66"/>
      <c r="C66"/>
      <c r="E66"/>
      <c r="F66"/>
      <c r="H66"/>
      <c r="I66"/>
      <c r="J66"/>
      <c r="K66"/>
      <c r="L66"/>
      <c r="P66"/>
      <c r="Q66"/>
      <c r="S66"/>
      <c r="T66"/>
      <c r="V66"/>
      <c r="W66"/>
      <c r="X66"/>
      <c r="Y66"/>
      <c r="Z66"/>
      <c r="AD66"/>
      <c r="AE66"/>
      <c r="AG66"/>
      <c r="AH66"/>
      <c r="AJ66"/>
      <c r="AK66"/>
      <c r="AL66"/>
      <c r="AM66"/>
      <c r="AN66"/>
      <c r="AO66"/>
      <c r="AR66"/>
      <c r="AS66"/>
      <c r="AU66"/>
      <c r="AV66"/>
      <c r="AX66"/>
      <c r="AY66"/>
      <c r="AZ66"/>
      <c r="BA66"/>
      <c r="BB66"/>
      <c r="BC66"/>
    </row>
    <row r="67" spans="2:55" x14ac:dyDescent="0.25">
      <c r="B67"/>
      <c r="C67"/>
      <c r="E67"/>
      <c r="F67"/>
      <c r="H67"/>
      <c r="I67"/>
      <c r="J67"/>
      <c r="K67"/>
      <c r="L67"/>
      <c r="P67"/>
      <c r="Q67"/>
      <c r="S67"/>
      <c r="T67"/>
      <c r="V67"/>
      <c r="W67"/>
      <c r="X67"/>
      <c r="Y67"/>
      <c r="Z67"/>
      <c r="AD67"/>
      <c r="AE67"/>
      <c r="AG67"/>
      <c r="AH67"/>
      <c r="AJ67"/>
      <c r="AK67"/>
      <c r="AL67"/>
      <c r="AM67"/>
      <c r="AN67"/>
      <c r="AO67"/>
      <c r="AR67"/>
      <c r="AS67"/>
      <c r="AU67"/>
      <c r="AV67"/>
      <c r="AX67"/>
      <c r="AY67"/>
      <c r="AZ67"/>
      <c r="BA67"/>
      <c r="BB67"/>
      <c r="BC67"/>
    </row>
    <row r="68" spans="2:55" x14ac:dyDescent="0.25">
      <c r="B68"/>
      <c r="C68"/>
      <c r="E68"/>
      <c r="F68"/>
      <c r="H68"/>
      <c r="I68"/>
      <c r="J68"/>
      <c r="K68"/>
      <c r="L68"/>
      <c r="P68"/>
      <c r="Q68"/>
      <c r="S68"/>
      <c r="T68"/>
      <c r="V68"/>
      <c r="W68"/>
      <c r="X68"/>
      <c r="Y68"/>
      <c r="Z68"/>
      <c r="AD68"/>
      <c r="AE68"/>
      <c r="AG68"/>
      <c r="AH68"/>
      <c r="AJ68"/>
      <c r="AK68"/>
      <c r="AL68"/>
      <c r="AM68"/>
      <c r="AN68"/>
      <c r="AO68"/>
      <c r="AR68"/>
      <c r="AS68"/>
      <c r="AU68"/>
      <c r="AV68"/>
      <c r="AX68"/>
      <c r="AY68"/>
      <c r="AZ68"/>
      <c r="BA68"/>
      <c r="BB68"/>
      <c r="BC68"/>
    </row>
    <row r="69" spans="2:55" x14ac:dyDescent="0.25">
      <c r="B69"/>
      <c r="C69"/>
      <c r="E69"/>
      <c r="F69"/>
      <c r="H69"/>
      <c r="I69"/>
      <c r="J69"/>
      <c r="K69"/>
      <c r="L69"/>
      <c r="P69"/>
      <c r="Q69"/>
      <c r="S69"/>
      <c r="T69"/>
      <c r="V69"/>
      <c r="W69"/>
      <c r="X69"/>
      <c r="Y69"/>
      <c r="Z69"/>
      <c r="AD69"/>
      <c r="AE69"/>
      <c r="AG69"/>
      <c r="AH69"/>
      <c r="AJ69"/>
      <c r="AK69"/>
      <c r="AL69"/>
      <c r="AM69"/>
      <c r="AN69"/>
      <c r="AO69"/>
      <c r="AR69"/>
      <c r="AS69"/>
      <c r="AU69"/>
      <c r="AV69"/>
      <c r="AX69"/>
      <c r="AY69"/>
      <c r="AZ69"/>
      <c r="BA69"/>
      <c r="BB69"/>
      <c r="BC69"/>
    </row>
    <row r="70" spans="2:55" x14ac:dyDescent="0.25">
      <c r="B70"/>
      <c r="C70"/>
      <c r="E70"/>
      <c r="F70"/>
      <c r="H70"/>
      <c r="I70"/>
      <c r="J70"/>
      <c r="K70"/>
      <c r="L70"/>
      <c r="P70"/>
      <c r="Q70"/>
      <c r="S70"/>
      <c r="T70"/>
      <c r="V70"/>
      <c r="W70"/>
      <c r="X70"/>
      <c r="Y70"/>
      <c r="Z70"/>
      <c r="AD70"/>
      <c r="AE70"/>
      <c r="AG70"/>
      <c r="AH70"/>
      <c r="AJ70"/>
      <c r="AK70"/>
      <c r="AL70"/>
      <c r="AM70"/>
      <c r="AN70"/>
      <c r="AO70"/>
      <c r="AR70"/>
      <c r="AS70"/>
      <c r="AU70"/>
      <c r="AV70"/>
      <c r="AX70"/>
      <c r="AY70"/>
      <c r="AZ70"/>
      <c r="BA70"/>
      <c r="BB70"/>
      <c r="BC70"/>
    </row>
    <row r="71" spans="2:55" x14ac:dyDescent="0.25">
      <c r="B71"/>
      <c r="C71"/>
      <c r="E71"/>
      <c r="F71"/>
      <c r="H71"/>
      <c r="I71"/>
      <c r="J71"/>
      <c r="K71"/>
      <c r="L71"/>
      <c r="P71"/>
      <c r="Q71"/>
      <c r="S71"/>
      <c r="T71"/>
      <c r="V71"/>
      <c r="W71"/>
      <c r="X71"/>
      <c r="Y71"/>
      <c r="Z71"/>
      <c r="AD71"/>
      <c r="AE71"/>
      <c r="AG71"/>
      <c r="AH71"/>
      <c r="AJ71"/>
      <c r="AK71"/>
      <c r="AL71"/>
      <c r="AM71"/>
      <c r="AN71"/>
      <c r="AO71"/>
      <c r="AR71"/>
      <c r="AS71"/>
      <c r="AU71"/>
      <c r="AV71"/>
      <c r="AX71"/>
      <c r="AY71"/>
      <c r="AZ71"/>
      <c r="BA71"/>
      <c r="BB71"/>
      <c r="BC71"/>
    </row>
    <row r="72" spans="2:55" x14ac:dyDescent="0.25">
      <c r="B72"/>
      <c r="C72"/>
      <c r="E72"/>
      <c r="F72"/>
      <c r="H72"/>
      <c r="I72"/>
      <c r="J72"/>
      <c r="K72"/>
      <c r="L72"/>
      <c r="P72"/>
      <c r="Q72"/>
      <c r="S72"/>
      <c r="T72"/>
      <c r="V72"/>
      <c r="W72"/>
      <c r="X72"/>
      <c r="Y72"/>
      <c r="Z72"/>
      <c r="AD72"/>
      <c r="AE72"/>
      <c r="AG72"/>
      <c r="AH72"/>
      <c r="AJ72"/>
      <c r="AK72"/>
      <c r="AL72"/>
      <c r="AM72"/>
      <c r="AN72"/>
      <c r="AO72"/>
      <c r="AR72"/>
      <c r="AS72"/>
      <c r="AU72"/>
      <c r="AV72"/>
      <c r="AX72"/>
      <c r="AY72"/>
      <c r="AZ72"/>
      <c r="BA72"/>
      <c r="BB72"/>
      <c r="BC72"/>
    </row>
    <row r="73" spans="2:55" x14ac:dyDescent="0.25">
      <c r="B73"/>
      <c r="C73"/>
      <c r="E73"/>
      <c r="F73"/>
      <c r="H73"/>
      <c r="I73"/>
      <c r="J73"/>
      <c r="K73"/>
      <c r="L73"/>
      <c r="P73"/>
      <c r="Q73"/>
      <c r="S73"/>
      <c r="T73"/>
      <c r="V73"/>
      <c r="W73"/>
      <c r="X73"/>
      <c r="Y73"/>
      <c r="Z73"/>
      <c r="AD73"/>
      <c r="AE73"/>
      <c r="AG73"/>
      <c r="AH73"/>
      <c r="AJ73"/>
      <c r="AK73"/>
      <c r="AL73"/>
      <c r="AM73"/>
      <c r="AN73"/>
      <c r="AO73"/>
      <c r="AR73"/>
      <c r="AS73"/>
      <c r="AU73"/>
      <c r="AV73"/>
      <c r="AX73"/>
      <c r="AY73"/>
      <c r="AZ73"/>
      <c r="BA73"/>
      <c r="BB73"/>
      <c r="BC73"/>
    </row>
    <row r="74" spans="2:55" x14ac:dyDescent="0.25">
      <c r="B74"/>
      <c r="C74"/>
      <c r="E74"/>
      <c r="F74"/>
      <c r="H74"/>
      <c r="I74"/>
      <c r="J74"/>
      <c r="K74"/>
      <c r="L74"/>
      <c r="P74"/>
      <c r="Q74"/>
      <c r="S74"/>
      <c r="T74"/>
      <c r="V74"/>
      <c r="W74"/>
      <c r="X74"/>
      <c r="Y74"/>
      <c r="Z74"/>
      <c r="AD74"/>
      <c r="AE74"/>
      <c r="AG74"/>
      <c r="AH74"/>
      <c r="AJ74"/>
      <c r="AK74"/>
      <c r="AL74"/>
      <c r="AM74"/>
      <c r="AN74"/>
      <c r="AO74"/>
      <c r="AR74"/>
      <c r="AS74"/>
      <c r="AU74"/>
      <c r="AV74"/>
      <c r="AX74"/>
      <c r="AY74"/>
      <c r="AZ74"/>
      <c r="BA74"/>
      <c r="BB74"/>
      <c r="BC74"/>
    </row>
    <row r="75" spans="2:55" x14ac:dyDescent="0.25">
      <c r="B75"/>
      <c r="C75"/>
      <c r="E75"/>
      <c r="F75"/>
      <c r="H75"/>
      <c r="I75"/>
      <c r="J75"/>
      <c r="K75"/>
      <c r="L75"/>
      <c r="P75"/>
      <c r="Q75"/>
      <c r="S75"/>
      <c r="T75"/>
      <c r="V75"/>
      <c r="W75"/>
      <c r="X75"/>
      <c r="Y75"/>
      <c r="Z75"/>
      <c r="AD75"/>
      <c r="AE75"/>
      <c r="AG75"/>
      <c r="AH75"/>
      <c r="AJ75"/>
      <c r="AK75"/>
      <c r="AL75"/>
      <c r="AM75"/>
      <c r="AN75"/>
      <c r="AO75"/>
      <c r="AR75"/>
      <c r="AS75"/>
      <c r="AU75"/>
      <c r="AV75"/>
      <c r="AX75"/>
      <c r="AY75"/>
      <c r="AZ75"/>
      <c r="BA75"/>
      <c r="BB75"/>
      <c r="BC75"/>
    </row>
    <row r="76" spans="2:55" x14ac:dyDescent="0.25">
      <c r="B76"/>
      <c r="C76"/>
      <c r="E76"/>
      <c r="F76"/>
      <c r="H76"/>
      <c r="I76"/>
      <c r="J76"/>
      <c r="K76"/>
      <c r="L76"/>
      <c r="P76"/>
      <c r="Q76"/>
      <c r="S76"/>
      <c r="T76"/>
      <c r="V76"/>
      <c r="W76"/>
      <c r="X76"/>
      <c r="Y76"/>
      <c r="Z76"/>
      <c r="AD76"/>
      <c r="AE76"/>
      <c r="AG76"/>
      <c r="AH76"/>
      <c r="AJ76"/>
      <c r="AK76"/>
      <c r="AL76"/>
      <c r="AM76"/>
      <c r="AN76"/>
      <c r="AO76"/>
      <c r="AR76"/>
      <c r="AS76"/>
      <c r="AU76"/>
      <c r="AV76"/>
      <c r="AX76"/>
      <c r="AY76"/>
      <c r="AZ76"/>
      <c r="BA76"/>
      <c r="BB76"/>
      <c r="BC76"/>
    </row>
    <row r="77" spans="2:55" x14ac:dyDescent="0.25">
      <c r="B77"/>
      <c r="C77"/>
      <c r="E77"/>
      <c r="F77"/>
      <c r="H77"/>
      <c r="I77"/>
      <c r="J77"/>
      <c r="K77"/>
      <c r="L77"/>
      <c r="P77"/>
      <c r="Q77"/>
      <c r="S77"/>
      <c r="T77"/>
      <c r="V77"/>
      <c r="W77"/>
      <c r="X77"/>
      <c r="Y77"/>
      <c r="Z77"/>
      <c r="AD77"/>
      <c r="AE77"/>
      <c r="AG77"/>
      <c r="AH77"/>
      <c r="AJ77"/>
      <c r="AK77"/>
      <c r="AL77"/>
      <c r="AM77"/>
      <c r="AN77"/>
      <c r="AO77"/>
      <c r="AR77"/>
      <c r="AS77"/>
      <c r="AU77"/>
      <c r="AV77"/>
      <c r="AX77"/>
      <c r="AY77"/>
      <c r="AZ77"/>
      <c r="BA77"/>
      <c r="BB77"/>
      <c r="BC77"/>
    </row>
    <row r="78" spans="2:55" x14ac:dyDescent="0.25">
      <c r="B78"/>
      <c r="C78"/>
      <c r="E78"/>
      <c r="F78"/>
      <c r="H78"/>
      <c r="I78"/>
      <c r="J78"/>
      <c r="K78"/>
      <c r="L78"/>
      <c r="P78"/>
      <c r="Q78"/>
      <c r="S78"/>
      <c r="T78"/>
      <c r="V78"/>
      <c r="W78"/>
      <c r="X78"/>
      <c r="Y78"/>
      <c r="Z78"/>
      <c r="AD78"/>
      <c r="AE78"/>
      <c r="AG78"/>
      <c r="AH78"/>
      <c r="AJ78"/>
      <c r="AK78"/>
      <c r="AL78"/>
      <c r="AM78"/>
      <c r="AN78"/>
      <c r="AO78"/>
      <c r="AR78"/>
      <c r="AS78"/>
      <c r="AU78"/>
      <c r="AV78"/>
      <c r="AX78"/>
      <c r="AY78"/>
      <c r="AZ78"/>
      <c r="BA78"/>
      <c r="BB78"/>
      <c r="BC78"/>
    </row>
    <row r="79" spans="2:55" x14ac:dyDescent="0.25">
      <c r="B79"/>
      <c r="C79"/>
      <c r="E79"/>
      <c r="F79"/>
      <c r="H79"/>
      <c r="I79"/>
      <c r="J79"/>
      <c r="K79"/>
      <c r="L79"/>
      <c r="P79"/>
      <c r="Q79"/>
      <c r="S79"/>
      <c r="T79"/>
      <c r="V79"/>
      <c r="W79"/>
      <c r="X79"/>
      <c r="Y79"/>
      <c r="Z79"/>
      <c r="AD79"/>
      <c r="AE79"/>
      <c r="AG79"/>
      <c r="AH79"/>
      <c r="AJ79"/>
      <c r="AK79"/>
      <c r="AL79"/>
      <c r="AM79"/>
      <c r="AN79"/>
      <c r="AO79"/>
      <c r="AR79"/>
      <c r="AS79"/>
      <c r="AU79"/>
      <c r="AV79"/>
      <c r="AX79"/>
      <c r="AY79"/>
      <c r="AZ79"/>
      <c r="BA79"/>
      <c r="BB79"/>
      <c r="BC79"/>
    </row>
    <row r="80" spans="2:55" x14ac:dyDescent="0.25">
      <c r="B80"/>
      <c r="C80"/>
      <c r="E80"/>
      <c r="F80"/>
      <c r="H80"/>
      <c r="I80"/>
      <c r="J80"/>
      <c r="K80"/>
      <c r="L80"/>
      <c r="P80"/>
      <c r="Q80"/>
      <c r="S80"/>
      <c r="T80"/>
      <c r="V80"/>
      <c r="W80"/>
      <c r="X80"/>
      <c r="Y80"/>
      <c r="Z80"/>
      <c r="AD80"/>
      <c r="AE80"/>
      <c r="AG80"/>
      <c r="AH80"/>
      <c r="AJ80"/>
      <c r="AK80"/>
      <c r="AL80"/>
      <c r="AM80"/>
      <c r="AN80"/>
      <c r="AO80"/>
      <c r="AR80"/>
      <c r="AS80"/>
      <c r="AU80"/>
      <c r="AV80"/>
      <c r="AX80"/>
      <c r="AY80"/>
      <c r="AZ80"/>
      <c r="BA80"/>
      <c r="BB80"/>
      <c r="BC80"/>
    </row>
    <row r="81" spans="2:55" x14ac:dyDescent="0.25">
      <c r="B81"/>
      <c r="C81"/>
      <c r="E81"/>
      <c r="F81"/>
      <c r="H81"/>
      <c r="I81"/>
      <c r="J81"/>
      <c r="K81"/>
      <c r="L81"/>
      <c r="P81"/>
      <c r="Q81"/>
      <c r="S81"/>
      <c r="T81"/>
      <c r="V81"/>
      <c r="W81"/>
      <c r="X81"/>
      <c r="Y81"/>
      <c r="Z81"/>
      <c r="AD81"/>
      <c r="AE81"/>
      <c r="AG81"/>
      <c r="AH81"/>
      <c r="AJ81"/>
      <c r="AK81"/>
      <c r="AL81"/>
      <c r="AM81"/>
      <c r="AN81"/>
      <c r="AO81"/>
      <c r="AR81"/>
      <c r="AS81"/>
      <c r="AU81"/>
      <c r="AV81"/>
      <c r="AX81"/>
      <c r="AY81"/>
      <c r="AZ81"/>
      <c r="BA81"/>
      <c r="BB81"/>
      <c r="BC81"/>
    </row>
    <row r="82" spans="2:55" x14ac:dyDescent="0.25">
      <c r="B82"/>
      <c r="C82"/>
      <c r="E82"/>
      <c r="F82"/>
      <c r="H82"/>
      <c r="I82"/>
      <c r="J82"/>
      <c r="K82"/>
      <c r="L82"/>
      <c r="P82"/>
      <c r="Q82"/>
      <c r="S82"/>
      <c r="T82"/>
      <c r="V82"/>
      <c r="W82"/>
      <c r="X82"/>
      <c r="Y82"/>
      <c r="Z82"/>
      <c r="AD82"/>
      <c r="AE82"/>
      <c r="AG82"/>
      <c r="AH82"/>
      <c r="AJ82"/>
      <c r="AK82"/>
      <c r="AL82"/>
      <c r="AM82"/>
      <c r="AN82"/>
      <c r="AO82"/>
      <c r="AR82"/>
      <c r="AS82"/>
      <c r="AU82"/>
      <c r="AV82"/>
      <c r="AX82"/>
      <c r="AY82"/>
      <c r="AZ82"/>
      <c r="BA82"/>
      <c r="BB82"/>
      <c r="BC82"/>
    </row>
    <row r="83" spans="2:55" x14ac:dyDescent="0.25">
      <c r="B83"/>
      <c r="C83"/>
      <c r="E83"/>
      <c r="F83"/>
      <c r="H83"/>
      <c r="I83"/>
      <c r="J83"/>
      <c r="K83"/>
      <c r="L83"/>
      <c r="P83"/>
      <c r="Q83"/>
      <c r="S83"/>
      <c r="T83"/>
      <c r="V83"/>
      <c r="W83"/>
      <c r="X83"/>
      <c r="Y83"/>
      <c r="Z83"/>
      <c r="AD83"/>
      <c r="AE83"/>
      <c r="AG83"/>
      <c r="AH83"/>
      <c r="AJ83"/>
      <c r="AK83"/>
      <c r="AL83"/>
      <c r="AM83"/>
      <c r="AN83"/>
      <c r="AO83"/>
      <c r="AR83"/>
      <c r="AS83"/>
      <c r="AU83"/>
      <c r="AV83"/>
      <c r="AX83"/>
      <c r="AY83"/>
      <c r="AZ83"/>
      <c r="BA83"/>
      <c r="BB83"/>
      <c r="BC83"/>
    </row>
    <row r="84" spans="2:55" x14ac:dyDescent="0.25">
      <c r="B84"/>
      <c r="C84"/>
      <c r="E84"/>
      <c r="F84"/>
      <c r="H84"/>
      <c r="I84"/>
      <c r="J84"/>
      <c r="K84"/>
      <c r="L84"/>
      <c r="P84"/>
      <c r="Q84"/>
      <c r="S84"/>
      <c r="T84"/>
      <c r="V84"/>
      <c r="W84"/>
      <c r="X84"/>
      <c r="Y84"/>
      <c r="Z84"/>
      <c r="AD84"/>
      <c r="AE84"/>
      <c r="AG84"/>
      <c r="AH84"/>
      <c r="AJ84"/>
      <c r="AK84"/>
      <c r="AL84"/>
      <c r="AM84"/>
      <c r="AN84"/>
      <c r="AO84"/>
      <c r="AR84"/>
      <c r="AS84"/>
      <c r="AU84"/>
      <c r="AV84"/>
      <c r="AX84"/>
      <c r="AY84"/>
      <c r="AZ84"/>
      <c r="BA84"/>
      <c r="BB84"/>
      <c r="BC84"/>
    </row>
    <row r="85" spans="2:55" x14ac:dyDescent="0.25">
      <c r="B85"/>
      <c r="C85"/>
      <c r="E85"/>
      <c r="F85"/>
      <c r="H85"/>
      <c r="I85"/>
      <c r="J85"/>
      <c r="K85"/>
      <c r="L85"/>
      <c r="P85"/>
      <c r="Q85"/>
      <c r="S85"/>
      <c r="T85"/>
      <c r="V85"/>
      <c r="W85"/>
      <c r="X85"/>
      <c r="Y85"/>
      <c r="Z85"/>
      <c r="AD85"/>
      <c r="AE85"/>
      <c r="AG85"/>
      <c r="AH85"/>
      <c r="AJ85"/>
      <c r="AK85"/>
      <c r="AL85"/>
      <c r="AM85"/>
      <c r="AN85"/>
      <c r="AO85"/>
      <c r="AR85"/>
      <c r="AS85"/>
      <c r="AU85"/>
      <c r="AV85"/>
      <c r="AX85"/>
      <c r="AY85"/>
      <c r="AZ85"/>
      <c r="BA85"/>
      <c r="BB85"/>
      <c r="BC85"/>
    </row>
    <row r="86" spans="2:55" x14ac:dyDescent="0.25">
      <c r="B86"/>
      <c r="C86"/>
      <c r="E86"/>
      <c r="F86"/>
      <c r="H86"/>
      <c r="I86"/>
      <c r="J86"/>
      <c r="K86"/>
      <c r="L86"/>
      <c r="P86"/>
      <c r="Q86"/>
      <c r="S86"/>
      <c r="T86"/>
      <c r="V86"/>
      <c r="W86"/>
      <c r="X86"/>
      <c r="Y86"/>
      <c r="Z86"/>
      <c r="AD86"/>
      <c r="AE86"/>
      <c r="AG86"/>
      <c r="AH86"/>
      <c r="AJ86"/>
      <c r="AK86"/>
      <c r="AL86"/>
      <c r="AM86"/>
      <c r="AN86"/>
      <c r="AO86"/>
      <c r="AR86"/>
      <c r="AS86"/>
      <c r="AU86"/>
      <c r="AV86"/>
      <c r="AX86"/>
      <c r="AY86"/>
      <c r="AZ86"/>
      <c r="BA86"/>
      <c r="BB86"/>
      <c r="BC86"/>
    </row>
    <row r="87" spans="2:55" x14ac:dyDescent="0.25">
      <c r="B87"/>
      <c r="C87"/>
      <c r="E87"/>
      <c r="F87"/>
      <c r="H87"/>
      <c r="I87"/>
      <c r="J87"/>
      <c r="K87"/>
      <c r="L87"/>
      <c r="P87"/>
      <c r="Q87"/>
      <c r="S87"/>
      <c r="T87"/>
      <c r="V87"/>
      <c r="W87"/>
      <c r="X87"/>
      <c r="Y87"/>
      <c r="Z87"/>
      <c r="AD87"/>
      <c r="AE87"/>
      <c r="AG87"/>
      <c r="AH87"/>
      <c r="AJ87"/>
      <c r="AK87"/>
      <c r="AL87"/>
      <c r="AM87"/>
      <c r="AN87"/>
      <c r="AO87"/>
      <c r="AR87"/>
      <c r="AS87"/>
      <c r="AU87"/>
      <c r="AV87"/>
      <c r="AX87"/>
      <c r="AY87"/>
      <c r="AZ87"/>
      <c r="BA87"/>
      <c r="BB87"/>
      <c r="BC87"/>
    </row>
    <row r="88" spans="2:55" x14ac:dyDescent="0.25">
      <c r="B88"/>
      <c r="C88"/>
      <c r="E88"/>
      <c r="F88"/>
      <c r="H88"/>
      <c r="I88"/>
      <c r="J88"/>
      <c r="K88"/>
      <c r="L88"/>
      <c r="P88"/>
      <c r="Q88"/>
      <c r="S88"/>
      <c r="T88"/>
      <c r="V88"/>
      <c r="W88"/>
      <c r="X88"/>
      <c r="Y88"/>
      <c r="Z88"/>
      <c r="AD88"/>
      <c r="AE88"/>
      <c r="AG88"/>
      <c r="AH88"/>
      <c r="AJ88"/>
      <c r="AK88"/>
      <c r="AL88"/>
      <c r="AM88"/>
      <c r="AN88"/>
      <c r="AO88"/>
      <c r="AR88"/>
      <c r="AS88"/>
      <c r="AU88"/>
      <c r="AV88"/>
      <c r="AX88"/>
      <c r="AY88"/>
      <c r="AZ88"/>
      <c r="BA88"/>
      <c r="BB88"/>
      <c r="BC88"/>
    </row>
    <row r="89" spans="2:55" x14ac:dyDescent="0.25">
      <c r="B89"/>
      <c r="C89"/>
      <c r="E89"/>
      <c r="F89"/>
      <c r="H89"/>
      <c r="I89"/>
      <c r="J89"/>
      <c r="K89"/>
      <c r="L89"/>
      <c r="P89"/>
      <c r="Q89"/>
      <c r="S89"/>
      <c r="T89"/>
      <c r="V89"/>
      <c r="W89"/>
      <c r="X89"/>
      <c r="Y89"/>
      <c r="Z89"/>
      <c r="AD89"/>
      <c r="AE89"/>
      <c r="AG89"/>
      <c r="AH89"/>
      <c r="AJ89"/>
      <c r="AK89"/>
      <c r="AL89"/>
      <c r="AM89"/>
      <c r="AN89"/>
      <c r="AO89"/>
      <c r="AR89"/>
      <c r="AS89"/>
      <c r="AU89"/>
      <c r="AV89"/>
      <c r="AX89"/>
      <c r="AY89"/>
      <c r="AZ89"/>
      <c r="BA89"/>
      <c r="BB89"/>
      <c r="BC89"/>
    </row>
    <row r="90" spans="2:55" x14ac:dyDescent="0.25">
      <c r="B90"/>
      <c r="C90"/>
      <c r="E90"/>
      <c r="F90"/>
      <c r="H90"/>
      <c r="I90"/>
      <c r="J90"/>
      <c r="K90"/>
      <c r="L90"/>
      <c r="P90"/>
      <c r="Q90"/>
      <c r="S90"/>
      <c r="T90"/>
      <c r="V90"/>
      <c r="W90"/>
      <c r="X90"/>
      <c r="Y90"/>
      <c r="Z90"/>
      <c r="AD90"/>
      <c r="AE90"/>
      <c r="AG90"/>
      <c r="AH90"/>
      <c r="AJ90"/>
      <c r="AK90"/>
      <c r="AL90"/>
      <c r="AM90"/>
      <c r="AN90"/>
      <c r="AO90"/>
      <c r="AR90"/>
      <c r="AS90"/>
      <c r="AU90"/>
      <c r="AV90"/>
      <c r="AX90"/>
      <c r="AY90"/>
      <c r="AZ90"/>
      <c r="BA90"/>
      <c r="BB90"/>
      <c r="BC90"/>
    </row>
    <row r="91" spans="2:55" x14ac:dyDescent="0.25">
      <c r="B91"/>
      <c r="C91"/>
      <c r="E91"/>
      <c r="F91"/>
      <c r="H91"/>
      <c r="I91"/>
      <c r="J91"/>
      <c r="K91"/>
      <c r="L91"/>
      <c r="P91"/>
      <c r="Q91"/>
      <c r="S91"/>
      <c r="T91"/>
      <c r="V91"/>
      <c r="W91"/>
      <c r="X91"/>
      <c r="Y91"/>
      <c r="Z91"/>
      <c r="AD91"/>
      <c r="AE91"/>
      <c r="AG91"/>
      <c r="AH91"/>
      <c r="AJ91"/>
      <c r="AK91"/>
      <c r="AL91"/>
      <c r="AM91"/>
      <c r="AN91"/>
      <c r="AO91"/>
      <c r="AR91"/>
      <c r="AS91"/>
      <c r="AU91"/>
      <c r="AV91"/>
      <c r="AX91"/>
      <c r="AY91"/>
      <c r="AZ91"/>
      <c r="BA91"/>
      <c r="BB91"/>
      <c r="BC91"/>
    </row>
    <row r="92" spans="2:55" x14ac:dyDescent="0.25">
      <c r="B92"/>
      <c r="C92"/>
      <c r="E92"/>
      <c r="F92"/>
      <c r="H92"/>
      <c r="I92"/>
      <c r="J92"/>
      <c r="K92"/>
      <c r="L92"/>
      <c r="P92"/>
      <c r="Q92"/>
      <c r="S92"/>
      <c r="T92"/>
      <c r="V92"/>
      <c r="W92"/>
      <c r="X92"/>
      <c r="Y92"/>
      <c r="Z92"/>
      <c r="AD92"/>
      <c r="AE92"/>
      <c r="AG92"/>
      <c r="AH92"/>
      <c r="AJ92"/>
      <c r="AK92"/>
      <c r="AL92"/>
      <c r="AM92"/>
      <c r="AN92"/>
      <c r="AO92"/>
      <c r="AR92"/>
      <c r="AS92"/>
      <c r="AU92"/>
      <c r="AV92"/>
      <c r="AX92"/>
      <c r="AY92"/>
      <c r="AZ92"/>
      <c r="BA92"/>
      <c r="BB92"/>
      <c r="BC92"/>
    </row>
    <row r="93" spans="2:55" x14ac:dyDescent="0.25">
      <c r="B93"/>
      <c r="C93"/>
      <c r="E93"/>
      <c r="F93"/>
      <c r="H93"/>
      <c r="I93"/>
      <c r="J93"/>
      <c r="K93"/>
      <c r="L93"/>
      <c r="P93"/>
      <c r="Q93"/>
      <c r="S93"/>
      <c r="T93"/>
      <c r="V93"/>
      <c r="W93"/>
      <c r="X93"/>
      <c r="Y93"/>
      <c r="Z93"/>
      <c r="AD93"/>
      <c r="AE93"/>
      <c r="AG93"/>
      <c r="AH93"/>
      <c r="AJ93"/>
      <c r="AK93"/>
      <c r="AL93"/>
      <c r="AM93"/>
      <c r="AN93"/>
      <c r="AO93"/>
      <c r="AR93"/>
      <c r="AS93"/>
      <c r="AU93"/>
      <c r="AV93"/>
      <c r="AX93"/>
      <c r="AY93"/>
      <c r="AZ93"/>
      <c r="BA93"/>
      <c r="BB93"/>
      <c r="BC93"/>
    </row>
    <row r="94" spans="2:55" x14ac:dyDescent="0.25">
      <c r="B94"/>
      <c r="C94"/>
      <c r="E94"/>
      <c r="F94"/>
      <c r="H94"/>
      <c r="I94"/>
      <c r="J94"/>
      <c r="K94"/>
      <c r="L94"/>
      <c r="P94"/>
      <c r="Q94"/>
      <c r="S94"/>
      <c r="T94"/>
      <c r="V94"/>
      <c r="W94"/>
      <c r="X94"/>
      <c r="Y94"/>
      <c r="Z94"/>
      <c r="AD94"/>
      <c r="AE94"/>
      <c r="AG94"/>
      <c r="AH94"/>
      <c r="AJ94"/>
      <c r="AK94"/>
      <c r="AL94"/>
      <c r="AM94"/>
      <c r="AN94"/>
      <c r="AO94"/>
      <c r="AR94"/>
      <c r="AS94"/>
      <c r="AU94"/>
      <c r="AV94"/>
      <c r="AX94"/>
      <c r="AY94"/>
      <c r="AZ94"/>
      <c r="BA94"/>
      <c r="BB94"/>
      <c r="BC94"/>
    </row>
    <row r="95" spans="2:55" x14ac:dyDescent="0.25">
      <c r="B95"/>
      <c r="C95"/>
      <c r="E95"/>
      <c r="F95"/>
      <c r="H95"/>
      <c r="I95"/>
      <c r="J95"/>
      <c r="K95"/>
      <c r="L95"/>
      <c r="P95"/>
      <c r="Q95"/>
      <c r="S95"/>
      <c r="T95"/>
      <c r="V95"/>
      <c r="W95"/>
      <c r="X95"/>
      <c r="Y95"/>
      <c r="Z95"/>
      <c r="AD95"/>
      <c r="AE95"/>
      <c r="AG95"/>
      <c r="AH95"/>
      <c r="AJ95"/>
      <c r="AK95"/>
      <c r="AL95"/>
      <c r="AM95"/>
      <c r="AN95"/>
      <c r="AO95"/>
      <c r="AR95"/>
      <c r="AS95"/>
      <c r="AU95"/>
      <c r="AV95"/>
      <c r="AX95"/>
      <c r="AY95"/>
      <c r="AZ95"/>
      <c r="BA95"/>
      <c r="BB95"/>
      <c r="BC95"/>
    </row>
    <row r="96" spans="2:55" x14ac:dyDescent="0.25">
      <c r="B96"/>
      <c r="C96"/>
      <c r="E96"/>
      <c r="F96"/>
      <c r="H96"/>
      <c r="I96"/>
      <c r="J96"/>
      <c r="K96"/>
      <c r="L96"/>
      <c r="P96"/>
      <c r="Q96"/>
      <c r="S96"/>
      <c r="T96"/>
      <c r="V96"/>
      <c r="W96"/>
      <c r="X96"/>
      <c r="Y96"/>
      <c r="Z96"/>
      <c r="AD96"/>
      <c r="AE96"/>
      <c r="AG96"/>
      <c r="AH96"/>
      <c r="AJ96"/>
      <c r="AK96"/>
      <c r="AL96"/>
      <c r="AM96"/>
      <c r="AN96"/>
      <c r="AO96"/>
      <c r="AR96"/>
      <c r="AS96"/>
      <c r="AU96"/>
      <c r="AV96"/>
      <c r="AX96"/>
      <c r="AY96"/>
      <c r="AZ96"/>
      <c r="BA96"/>
      <c r="BB96"/>
      <c r="BC96"/>
    </row>
    <row r="97" spans="2:55" x14ac:dyDescent="0.25">
      <c r="B97"/>
      <c r="C97"/>
      <c r="E97"/>
      <c r="F97"/>
      <c r="H97"/>
      <c r="I97"/>
      <c r="J97"/>
      <c r="K97"/>
      <c r="L97"/>
      <c r="P97"/>
      <c r="Q97"/>
      <c r="S97"/>
      <c r="T97"/>
      <c r="V97"/>
      <c r="W97"/>
      <c r="X97"/>
      <c r="Y97"/>
      <c r="Z97"/>
      <c r="AD97"/>
      <c r="AE97"/>
      <c r="AG97"/>
      <c r="AH97"/>
      <c r="AJ97"/>
      <c r="AK97"/>
      <c r="AL97"/>
      <c r="AM97"/>
      <c r="AN97"/>
      <c r="AO97"/>
      <c r="AR97"/>
      <c r="AS97"/>
      <c r="AU97"/>
      <c r="AV97"/>
      <c r="AX97"/>
      <c r="AY97"/>
      <c r="AZ97"/>
      <c r="BA97"/>
      <c r="BB97"/>
      <c r="BC97"/>
    </row>
    <row r="98" spans="2:55" x14ac:dyDescent="0.25">
      <c r="B98"/>
      <c r="C98"/>
      <c r="E98"/>
      <c r="F98"/>
      <c r="H98"/>
      <c r="I98"/>
      <c r="J98"/>
      <c r="K98"/>
      <c r="L98"/>
      <c r="P98"/>
      <c r="Q98"/>
      <c r="S98"/>
      <c r="T98"/>
      <c r="V98"/>
      <c r="W98"/>
      <c r="X98"/>
      <c r="Y98"/>
      <c r="Z98"/>
      <c r="AD98"/>
      <c r="AE98"/>
      <c r="AG98"/>
      <c r="AH98"/>
      <c r="AJ98"/>
      <c r="AK98"/>
      <c r="AL98"/>
      <c r="AM98"/>
      <c r="AN98"/>
      <c r="AO98"/>
      <c r="AR98"/>
      <c r="AS98"/>
      <c r="AU98"/>
      <c r="AV98"/>
      <c r="AX98"/>
      <c r="AY98"/>
      <c r="AZ98"/>
      <c r="BA98"/>
      <c r="BB98"/>
      <c r="BC98"/>
    </row>
    <row r="99" spans="2:55" x14ac:dyDescent="0.25">
      <c r="B99"/>
      <c r="C99"/>
      <c r="E99"/>
      <c r="F99"/>
      <c r="H99"/>
      <c r="I99"/>
      <c r="J99"/>
      <c r="K99"/>
      <c r="L99"/>
      <c r="P99"/>
      <c r="Q99"/>
      <c r="S99"/>
      <c r="T99"/>
      <c r="V99"/>
      <c r="W99"/>
      <c r="X99"/>
      <c r="Y99"/>
      <c r="Z99"/>
      <c r="AD99"/>
      <c r="AE99"/>
      <c r="AG99"/>
      <c r="AH99"/>
      <c r="AJ99"/>
      <c r="AK99"/>
      <c r="AL99"/>
      <c r="AM99"/>
      <c r="AN99"/>
      <c r="AO99"/>
      <c r="AR99"/>
      <c r="AS99"/>
      <c r="AU99"/>
      <c r="AV99"/>
      <c r="AX99"/>
      <c r="AY99"/>
      <c r="AZ99"/>
      <c r="BA99"/>
      <c r="BB99"/>
      <c r="BC99"/>
    </row>
    <row r="100" spans="2:55" x14ac:dyDescent="0.25">
      <c r="B100"/>
      <c r="C100"/>
      <c r="E100"/>
      <c r="F100"/>
      <c r="H100"/>
      <c r="I100"/>
      <c r="J100"/>
      <c r="K100"/>
      <c r="L100"/>
      <c r="P100"/>
      <c r="Q100"/>
      <c r="S100"/>
      <c r="T100"/>
      <c r="V100"/>
      <c r="W100"/>
      <c r="X100"/>
      <c r="Y100"/>
      <c r="Z100"/>
      <c r="AD100"/>
      <c r="AE100"/>
      <c r="AG100"/>
      <c r="AH100"/>
      <c r="AJ100"/>
      <c r="AK100"/>
      <c r="AL100"/>
      <c r="AM100"/>
      <c r="AN100"/>
      <c r="AO100"/>
      <c r="AR100"/>
      <c r="AS100"/>
      <c r="AU100"/>
      <c r="AV100"/>
      <c r="AX100"/>
      <c r="AY100"/>
      <c r="AZ100"/>
      <c r="BA100"/>
      <c r="BB100"/>
      <c r="BC100"/>
    </row>
    <row r="101" spans="2:55" x14ac:dyDescent="0.25">
      <c r="B101"/>
      <c r="C101"/>
      <c r="E101"/>
      <c r="F101"/>
      <c r="H101"/>
      <c r="I101"/>
      <c r="J101"/>
      <c r="K101"/>
      <c r="L101"/>
      <c r="P101"/>
      <c r="Q101"/>
      <c r="S101"/>
      <c r="T101"/>
      <c r="V101"/>
      <c r="W101"/>
      <c r="X101"/>
      <c r="Y101"/>
      <c r="Z101"/>
      <c r="AD101"/>
      <c r="AE101"/>
      <c r="AG101"/>
      <c r="AH101"/>
      <c r="AJ101"/>
      <c r="AK101"/>
      <c r="AL101"/>
      <c r="AM101"/>
      <c r="AN101"/>
      <c r="AO101"/>
      <c r="AR101"/>
      <c r="AS101"/>
      <c r="AU101"/>
      <c r="AV101"/>
      <c r="AX101"/>
      <c r="AY101"/>
      <c r="AZ101"/>
      <c r="BA101"/>
      <c r="BB101"/>
      <c r="BC101"/>
    </row>
    <row r="102" spans="2:55" x14ac:dyDescent="0.25">
      <c r="B102"/>
      <c r="C102"/>
      <c r="E102"/>
      <c r="F102"/>
      <c r="H102"/>
      <c r="I102"/>
      <c r="J102"/>
      <c r="K102"/>
      <c r="L102"/>
      <c r="P102"/>
      <c r="Q102"/>
      <c r="S102"/>
      <c r="T102"/>
      <c r="V102"/>
      <c r="W102"/>
      <c r="X102"/>
      <c r="Y102"/>
      <c r="Z102"/>
      <c r="AD102"/>
      <c r="AE102"/>
      <c r="AG102"/>
      <c r="AH102"/>
      <c r="AJ102"/>
      <c r="AK102"/>
      <c r="AL102"/>
      <c r="AM102"/>
      <c r="AN102"/>
      <c r="AO102"/>
      <c r="AR102"/>
      <c r="AS102"/>
      <c r="AU102"/>
      <c r="AV102"/>
      <c r="AX102"/>
      <c r="AY102"/>
      <c r="AZ102"/>
      <c r="BA102"/>
      <c r="BB102"/>
      <c r="BC102"/>
    </row>
    <row r="103" spans="2:55" x14ac:dyDescent="0.25">
      <c r="B103"/>
      <c r="C103"/>
      <c r="E103"/>
      <c r="F103"/>
      <c r="H103"/>
      <c r="I103"/>
      <c r="J103"/>
      <c r="K103"/>
      <c r="L103"/>
      <c r="P103"/>
      <c r="Q103"/>
      <c r="S103"/>
      <c r="T103"/>
      <c r="V103"/>
      <c r="W103"/>
      <c r="X103"/>
      <c r="Y103"/>
      <c r="Z103"/>
      <c r="AD103"/>
      <c r="AE103"/>
      <c r="AG103"/>
      <c r="AH103"/>
      <c r="AJ103"/>
      <c r="AK103"/>
      <c r="AL103"/>
      <c r="AM103"/>
      <c r="AN103"/>
      <c r="AO103"/>
      <c r="AR103"/>
      <c r="AS103"/>
      <c r="AU103"/>
      <c r="AV103"/>
      <c r="AX103"/>
      <c r="AY103"/>
      <c r="AZ103"/>
      <c r="BA103"/>
      <c r="BB103"/>
      <c r="BC103"/>
    </row>
    <row r="104" spans="2:55" x14ac:dyDescent="0.25">
      <c r="B104"/>
      <c r="C104"/>
      <c r="E104"/>
      <c r="F104"/>
      <c r="H104"/>
      <c r="I104"/>
      <c r="J104"/>
      <c r="K104"/>
      <c r="L104"/>
      <c r="P104"/>
      <c r="Q104"/>
      <c r="S104"/>
      <c r="T104"/>
      <c r="V104"/>
      <c r="W104"/>
      <c r="X104"/>
      <c r="Y104"/>
      <c r="Z104"/>
      <c r="AD104"/>
      <c r="AE104"/>
      <c r="AG104"/>
      <c r="AH104"/>
      <c r="AJ104"/>
      <c r="AK104"/>
      <c r="AL104"/>
      <c r="AM104"/>
      <c r="AN104"/>
      <c r="AO104"/>
      <c r="AR104"/>
      <c r="AS104"/>
      <c r="AU104"/>
      <c r="AV104"/>
      <c r="AX104"/>
      <c r="AY104"/>
      <c r="AZ104"/>
      <c r="BA104"/>
      <c r="BB104"/>
      <c r="BC104"/>
    </row>
    <row r="105" spans="2:55" x14ac:dyDescent="0.25">
      <c r="B105"/>
      <c r="C105"/>
      <c r="E105"/>
      <c r="F105"/>
      <c r="H105"/>
      <c r="I105"/>
      <c r="J105"/>
      <c r="K105"/>
      <c r="L105"/>
      <c r="P105"/>
      <c r="Q105"/>
      <c r="S105"/>
      <c r="T105"/>
      <c r="V105"/>
      <c r="W105"/>
      <c r="X105"/>
      <c r="Y105"/>
      <c r="Z105"/>
      <c r="AD105"/>
      <c r="AE105"/>
      <c r="AG105"/>
      <c r="AH105"/>
      <c r="AJ105"/>
      <c r="AK105"/>
      <c r="AL105"/>
      <c r="AM105"/>
      <c r="AN105"/>
      <c r="AO105"/>
      <c r="AR105"/>
      <c r="AS105"/>
      <c r="AU105"/>
      <c r="AV105"/>
      <c r="AX105"/>
      <c r="AY105"/>
      <c r="AZ105"/>
      <c r="BA105"/>
      <c r="BB105"/>
      <c r="BC105"/>
    </row>
    <row r="106" spans="2:55" x14ac:dyDescent="0.25">
      <c r="B106"/>
      <c r="C106"/>
      <c r="E106"/>
      <c r="F106"/>
      <c r="H106"/>
      <c r="I106"/>
      <c r="J106"/>
      <c r="K106"/>
      <c r="L106"/>
      <c r="P106"/>
      <c r="Q106"/>
      <c r="S106"/>
      <c r="T106"/>
      <c r="V106"/>
      <c r="W106"/>
      <c r="X106"/>
      <c r="Y106"/>
      <c r="Z106"/>
      <c r="AD106"/>
      <c r="AE106"/>
      <c r="AG106"/>
      <c r="AH106"/>
      <c r="AJ106"/>
      <c r="AK106"/>
      <c r="AL106"/>
      <c r="AM106"/>
      <c r="AN106"/>
      <c r="AO106"/>
      <c r="AR106"/>
      <c r="AS106"/>
      <c r="AU106"/>
      <c r="AV106"/>
      <c r="AX106"/>
      <c r="AY106"/>
      <c r="AZ106"/>
      <c r="BA106"/>
      <c r="BB106"/>
      <c r="BC106"/>
    </row>
    <row r="107" spans="2:55" x14ac:dyDescent="0.25">
      <c r="B107"/>
      <c r="C107"/>
      <c r="E107"/>
      <c r="F107"/>
      <c r="H107"/>
      <c r="I107"/>
      <c r="J107"/>
      <c r="K107"/>
      <c r="L107"/>
      <c r="P107"/>
      <c r="Q107"/>
      <c r="S107"/>
      <c r="T107"/>
      <c r="V107"/>
      <c r="W107"/>
      <c r="X107"/>
      <c r="Y107"/>
      <c r="Z107"/>
      <c r="AD107"/>
      <c r="AE107"/>
      <c r="AG107"/>
      <c r="AH107"/>
      <c r="AJ107"/>
      <c r="AK107"/>
      <c r="AL107"/>
      <c r="AM107"/>
      <c r="AN107"/>
      <c r="AO107"/>
      <c r="AR107"/>
      <c r="AS107"/>
      <c r="AU107"/>
      <c r="AV107"/>
      <c r="AX107"/>
      <c r="AY107"/>
      <c r="AZ107"/>
      <c r="BA107"/>
      <c r="BB107"/>
      <c r="BC107"/>
    </row>
    <row r="108" spans="2:55" x14ac:dyDescent="0.25">
      <c r="B108"/>
      <c r="C108"/>
      <c r="E108"/>
      <c r="F108"/>
      <c r="H108"/>
      <c r="I108"/>
      <c r="J108"/>
      <c r="K108"/>
      <c r="L108"/>
      <c r="P108"/>
      <c r="Q108"/>
      <c r="S108"/>
      <c r="T108"/>
      <c r="V108"/>
      <c r="W108"/>
      <c r="X108"/>
      <c r="Y108"/>
      <c r="Z108"/>
      <c r="AD108"/>
      <c r="AE108"/>
      <c r="AG108"/>
      <c r="AH108"/>
      <c r="AJ108"/>
      <c r="AK108"/>
      <c r="AL108"/>
      <c r="AM108"/>
      <c r="AN108"/>
      <c r="AO108"/>
      <c r="AR108"/>
      <c r="AS108"/>
      <c r="AU108"/>
      <c r="AV108"/>
      <c r="AX108"/>
      <c r="AY108"/>
      <c r="AZ108"/>
      <c r="BA108"/>
      <c r="BB108"/>
      <c r="BC108"/>
    </row>
    <row r="109" spans="2:55" x14ac:dyDescent="0.25">
      <c r="B109"/>
      <c r="C109"/>
      <c r="E109"/>
      <c r="F109"/>
      <c r="H109"/>
      <c r="I109"/>
      <c r="J109"/>
      <c r="K109"/>
      <c r="L109"/>
      <c r="P109"/>
      <c r="Q109"/>
      <c r="S109"/>
      <c r="T109"/>
      <c r="V109"/>
      <c r="W109"/>
      <c r="X109"/>
      <c r="Y109"/>
      <c r="Z109"/>
      <c r="AD109"/>
      <c r="AE109"/>
      <c r="AG109"/>
      <c r="AH109"/>
      <c r="AJ109"/>
      <c r="AK109"/>
      <c r="AL109"/>
      <c r="AM109"/>
      <c r="AN109"/>
      <c r="AO109"/>
      <c r="AR109"/>
      <c r="AS109"/>
      <c r="AU109"/>
      <c r="AV109"/>
      <c r="AX109"/>
      <c r="AY109"/>
      <c r="AZ109"/>
      <c r="BA109"/>
      <c r="BB109"/>
      <c r="BC109"/>
    </row>
    <row r="110" spans="2:55" x14ac:dyDescent="0.25">
      <c r="B110"/>
      <c r="C110"/>
      <c r="E110"/>
      <c r="F110"/>
      <c r="H110"/>
      <c r="I110"/>
      <c r="J110"/>
      <c r="K110"/>
      <c r="L110"/>
      <c r="P110"/>
      <c r="Q110"/>
      <c r="S110"/>
      <c r="T110"/>
      <c r="V110"/>
      <c r="W110"/>
      <c r="X110"/>
      <c r="Y110"/>
      <c r="Z110"/>
      <c r="AD110"/>
      <c r="AE110"/>
      <c r="AG110"/>
      <c r="AH110"/>
      <c r="AJ110"/>
      <c r="AK110"/>
      <c r="AL110"/>
      <c r="AM110"/>
      <c r="AN110"/>
      <c r="AO110"/>
      <c r="AR110"/>
      <c r="AS110"/>
      <c r="AU110"/>
      <c r="AV110"/>
      <c r="AX110"/>
      <c r="AY110"/>
      <c r="AZ110"/>
      <c r="BA110"/>
      <c r="BB110"/>
      <c r="BC110"/>
    </row>
    <row r="111" spans="2:55" x14ac:dyDescent="0.25">
      <c r="B111"/>
      <c r="C111"/>
      <c r="E111"/>
      <c r="F111"/>
      <c r="H111"/>
      <c r="I111"/>
      <c r="J111"/>
      <c r="K111"/>
      <c r="L111"/>
      <c r="P111"/>
      <c r="Q111"/>
      <c r="S111"/>
      <c r="T111"/>
      <c r="V111"/>
      <c r="W111"/>
      <c r="X111"/>
      <c r="Y111"/>
      <c r="Z111"/>
      <c r="AD111"/>
      <c r="AE111"/>
      <c r="AG111"/>
      <c r="AH111"/>
      <c r="AJ111"/>
      <c r="AK111"/>
      <c r="AL111"/>
      <c r="AM111"/>
      <c r="AN111"/>
      <c r="AO111"/>
      <c r="AR111"/>
      <c r="AS111"/>
      <c r="AU111"/>
      <c r="AV111"/>
      <c r="AX111"/>
      <c r="AY111"/>
      <c r="AZ111"/>
      <c r="BA111"/>
      <c r="BB111"/>
      <c r="BC111"/>
    </row>
  </sheetData>
  <mergeCells count="42">
    <mergeCell ref="V51:W51"/>
    <mergeCell ref="V39:W39"/>
    <mergeCell ref="X39:Y39"/>
    <mergeCell ref="O40:P40"/>
    <mergeCell ref="R40:S40"/>
    <mergeCell ref="W45:X45"/>
    <mergeCell ref="Q1:X1"/>
    <mergeCell ref="S3:T3"/>
    <mergeCell ref="W3:Y3"/>
    <mergeCell ref="X20:X21"/>
    <mergeCell ref="O38:P38"/>
    <mergeCell ref="AQ40:AR40"/>
    <mergeCell ref="AT40:AU40"/>
    <mergeCell ref="AY45:AZ45"/>
    <mergeCell ref="AX51:AY51"/>
    <mergeCell ref="AS1:AZ1"/>
    <mergeCell ref="AU3:AV3"/>
    <mergeCell ref="AY3:BA3"/>
    <mergeCell ref="AQ38:AR38"/>
    <mergeCell ref="AX39:AY39"/>
    <mergeCell ref="AZ39:BA39"/>
    <mergeCell ref="AE1:AL1"/>
    <mergeCell ref="AG3:AH3"/>
    <mergeCell ref="AK3:AM3"/>
    <mergeCell ref="AL20:AL21"/>
    <mergeCell ref="AC38:AD38"/>
    <mergeCell ref="AJ51:AK51"/>
    <mergeCell ref="AJ39:AK39"/>
    <mergeCell ref="AL39:AM39"/>
    <mergeCell ref="AC40:AD40"/>
    <mergeCell ref="AF40:AG40"/>
    <mergeCell ref="AK45:AL45"/>
    <mergeCell ref="C1:J1"/>
    <mergeCell ref="E3:F3"/>
    <mergeCell ref="I3:K3"/>
    <mergeCell ref="J20:J21"/>
    <mergeCell ref="A38:B38"/>
    <mergeCell ref="H51:I51"/>
    <mergeCell ref="H39:I39"/>
    <mergeCell ref="J39:K39"/>
    <mergeCell ref="D40:E40"/>
    <mergeCell ref="I45:J45"/>
  </mergeCells>
  <pageMargins left="0.70866141732283472" right="0.31496062992125984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A83"/>
  <sheetViews>
    <sheetView topLeftCell="A13" workbookViewId="0">
      <selection activeCell="E34" sqref="E34"/>
    </sheetView>
  </sheetViews>
  <sheetFormatPr baseColWidth="10" defaultRowHeight="15.75" x14ac:dyDescent="0.25"/>
  <cols>
    <col min="2" max="2" width="11.85546875" style="83" bestFit="1" customWidth="1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9" max="9" width="12.5703125" style="33" bestFit="1" customWidth="1"/>
    <col min="11" max="11" width="16.28515625" customWidth="1"/>
    <col min="14" max="14" width="20.140625" bestFit="1" customWidth="1"/>
    <col min="20" max="20" width="12.5703125" bestFit="1" customWidth="1"/>
    <col min="22" max="22" width="19" customWidth="1"/>
    <col min="25" max="25" width="20.140625" bestFit="1" customWidth="1"/>
  </cols>
  <sheetData>
    <row r="1" spans="1:27" ht="19.5" customHeight="1" thickBot="1" x14ac:dyDescent="0.35">
      <c r="J1" s="343">
        <v>1</v>
      </c>
      <c r="K1" s="86" t="s">
        <v>28</v>
      </c>
      <c r="L1" s="86"/>
      <c r="M1" s="110"/>
      <c r="N1" s="148">
        <v>42433</v>
      </c>
      <c r="O1" s="112"/>
      <c r="T1" s="33"/>
      <c r="U1" s="343">
        <v>1</v>
      </c>
      <c r="V1" s="86" t="s">
        <v>28</v>
      </c>
      <c r="W1" s="86"/>
      <c r="X1" s="110"/>
      <c r="Y1" s="195">
        <v>42460</v>
      </c>
      <c r="Z1" s="112"/>
    </row>
    <row r="2" spans="1:27" ht="19.5" customHeight="1" thickBot="1" x14ac:dyDescent="0.35">
      <c r="B2" s="176"/>
      <c r="C2" s="177"/>
      <c r="D2" s="178" t="s">
        <v>21</v>
      </c>
      <c r="E2" s="179"/>
      <c r="F2" s="180"/>
      <c r="G2" s="181"/>
      <c r="J2" s="344"/>
      <c r="K2" s="113"/>
      <c r="L2" s="113"/>
      <c r="M2" s="114"/>
      <c r="N2" s="115"/>
      <c r="O2" s="112"/>
      <c r="T2" s="33"/>
      <c r="U2" s="344"/>
      <c r="V2" s="113"/>
      <c r="W2" s="113"/>
      <c r="X2" s="114"/>
      <c r="Y2" s="115"/>
      <c r="Z2" s="112"/>
    </row>
    <row r="3" spans="1:27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J3" s="116" t="s">
        <v>23</v>
      </c>
      <c r="K3" s="116" t="s">
        <v>24</v>
      </c>
      <c r="L3" s="116"/>
      <c r="M3" s="117" t="s">
        <v>29</v>
      </c>
      <c r="N3" s="118" t="s">
        <v>30</v>
      </c>
      <c r="O3" s="119"/>
      <c r="T3" s="3"/>
      <c r="U3" s="116" t="s">
        <v>23</v>
      </c>
      <c r="V3" s="116" t="s">
        <v>24</v>
      </c>
      <c r="W3" s="116"/>
      <c r="X3" s="117" t="s">
        <v>29</v>
      </c>
      <c r="Y3" s="118" t="s">
        <v>30</v>
      </c>
      <c r="Z3" s="119"/>
    </row>
    <row r="4" spans="1:27" x14ac:dyDescent="0.25">
      <c r="A4" s="14"/>
      <c r="B4" s="92">
        <v>42430</v>
      </c>
      <c r="C4" s="93" t="s">
        <v>100</v>
      </c>
      <c r="D4" s="94">
        <v>107363.8</v>
      </c>
      <c r="E4" s="225" t="s">
        <v>131</v>
      </c>
      <c r="F4" s="94">
        <f>101851.7+5512.1</f>
        <v>107363.8</v>
      </c>
      <c r="G4" s="158">
        <f t="shared" ref="G4:G28" si="0">D4-F4</f>
        <v>0</v>
      </c>
      <c r="H4" s="146"/>
      <c r="I4" s="165"/>
      <c r="J4" s="93" t="s">
        <v>95</v>
      </c>
      <c r="K4" s="94">
        <v>3349.34</v>
      </c>
      <c r="L4" s="120" t="s">
        <v>36</v>
      </c>
      <c r="M4" s="121" t="s">
        <v>31</v>
      </c>
      <c r="N4" s="122">
        <v>40301</v>
      </c>
      <c r="O4" s="123">
        <v>42403</v>
      </c>
      <c r="P4" s="159">
        <v>42401</v>
      </c>
      <c r="T4" s="3">
        <f>45412+10487</f>
        <v>55899</v>
      </c>
      <c r="U4" s="93" t="s">
        <v>112</v>
      </c>
      <c r="V4" s="237">
        <v>55899.05</v>
      </c>
      <c r="W4" s="120" t="s">
        <v>36</v>
      </c>
      <c r="X4" s="121">
        <v>3261638</v>
      </c>
      <c r="Y4" s="122">
        <v>45412</v>
      </c>
      <c r="Z4" s="123">
        <v>42443</v>
      </c>
    </row>
    <row r="5" spans="1:27" x14ac:dyDescent="0.25">
      <c r="A5" s="14"/>
      <c r="B5" s="96">
        <v>42433</v>
      </c>
      <c r="C5" s="93" t="s">
        <v>106</v>
      </c>
      <c r="D5" s="94">
        <v>176147.29</v>
      </c>
      <c r="E5" s="95">
        <v>42448</v>
      </c>
      <c r="F5" s="94">
        <v>176147.29</v>
      </c>
      <c r="G5" s="97">
        <f t="shared" si="0"/>
        <v>0</v>
      </c>
      <c r="H5" s="146"/>
      <c r="I5" s="165"/>
      <c r="J5" s="93" t="s">
        <v>98</v>
      </c>
      <c r="K5" s="94">
        <v>23418.36</v>
      </c>
      <c r="L5" s="124"/>
      <c r="M5" s="125" t="s">
        <v>31</v>
      </c>
      <c r="N5" s="126">
        <v>38633</v>
      </c>
      <c r="O5" s="127">
        <v>42403</v>
      </c>
      <c r="P5" s="159">
        <v>42401</v>
      </c>
      <c r="T5" s="3">
        <v>4456</v>
      </c>
      <c r="U5" s="93" t="s">
        <v>130</v>
      </c>
      <c r="V5" s="94">
        <v>4456</v>
      </c>
      <c r="W5" s="124"/>
      <c r="X5" s="125">
        <v>3261639</v>
      </c>
      <c r="Y5" s="126">
        <v>14943</v>
      </c>
      <c r="Z5" s="127">
        <v>42444</v>
      </c>
    </row>
    <row r="6" spans="1:27" x14ac:dyDescent="0.25">
      <c r="A6" s="14"/>
      <c r="B6" s="96">
        <v>42434</v>
      </c>
      <c r="C6" s="98" t="s">
        <v>105</v>
      </c>
      <c r="D6" s="94">
        <v>5682.6</v>
      </c>
      <c r="E6" s="95">
        <v>42448</v>
      </c>
      <c r="F6" s="94">
        <v>5682.6</v>
      </c>
      <c r="G6" s="97">
        <f t="shared" si="0"/>
        <v>0</v>
      </c>
      <c r="H6" s="38"/>
      <c r="I6" s="165"/>
      <c r="J6" s="93" t="s">
        <v>99</v>
      </c>
      <c r="K6" s="94">
        <v>180743.8</v>
      </c>
      <c r="L6" s="124"/>
      <c r="M6" s="125">
        <v>3358234</v>
      </c>
      <c r="N6" s="126">
        <v>30000</v>
      </c>
      <c r="O6" s="127">
        <v>42405</v>
      </c>
      <c r="T6" s="3">
        <f>35005+50000+40826.5+22483.5+30</f>
        <v>148345</v>
      </c>
      <c r="U6" s="93" t="s">
        <v>118</v>
      </c>
      <c r="V6" s="94">
        <v>148344.85999999999</v>
      </c>
      <c r="W6" s="124"/>
      <c r="X6" s="125">
        <v>3261641</v>
      </c>
      <c r="Y6" s="126">
        <v>35005</v>
      </c>
      <c r="Z6" s="127">
        <v>42445</v>
      </c>
    </row>
    <row r="7" spans="1:27" x14ac:dyDescent="0.25">
      <c r="A7" s="14"/>
      <c r="B7" s="96">
        <v>42436</v>
      </c>
      <c r="C7" s="93" t="s">
        <v>107</v>
      </c>
      <c r="D7" s="94">
        <v>118814.6</v>
      </c>
      <c r="E7" s="95">
        <v>42448</v>
      </c>
      <c r="F7" s="94">
        <v>118814.6</v>
      </c>
      <c r="G7" s="99">
        <f>D7-F7</f>
        <v>0</v>
      </c>
      <c r="H7" s="38"/>
      <c r="I7" s="165"/>
      <c r="J7" s="217" t="s">
        <v>101</v>
      </c>
      <c r="K7" s="218">
        <v>13582.8</v>
      </c>
      <c r="L7" s="124"/>
      <c r="M7" s="125">
        <v>3358235</v>
      </c>
      <c r="N7" s="126">
        <v>52960</v>
      </c>
      <c r="O7" s="127">
        <v>42404</v>
      </c>
      <c r="T7" s="3">
        <v>7774.8</v>
      </c>
      <c r="U7" s="93" t="s">
        <v>119</v>
      </c>
      <c r="V7" s="94">
        <v>7774.8</v>
      </c>
      <c r="W7" s="124"/>
      <c r="X7" s="125">
        <v>3261642</v>
      </c>
      <c r="Y7" s="126">
        <v>50000</v>
      </c>
      <c r="Z7" s="127">
        <v>42445</v>
      </c>
    </row>
    <row r="8" spans="1:27" x14ac:dyDescent="0.25">
      <c r="A8" s="14"/>
      <c r="B8" s="96">
        <v>42437</v>
      </c>
      <c r="C8" s="93" t="s">
        <v>108</v>
      </c>
      <c r="D8" s="100">
        <v>53612.12</v>
      </c>
      <c r="E8" s="95">
        <v>42450</v>
      </c>
      <c r="F8" s="100">
        <v>53612.12</v>
      </c>
      <c r="G8" s="97">
        <f>D8-F8</f>
        <v>0</v>
      </c>
      <c r="H8" s="38"/>
      <c r="I8" s="165"/>
      <c r="J8" s="93" t="s">
        <v>100</v>
      </c>
      <c r="K8" s="94">
        <v>101851.7</v>
      </c>
      <c r="L8" s="124" t="s">
        <v>88</v>
      </c>
      <c r="M8" s="125">
        <v>3358237</v>
      </c>
      <c r="N8" s="126">
        <v>28904.5</v>
      </c>
      <c r="O8" s="127">
        <v>42402</v>
      </c>
      <c r="T8" s="3">
        <f>40618+68978</f>
        <v>109596</v>
      </c>
      <c r="U8" s="93" t="s">
        <v>120</v>
      </c>
      <c r="V8" s="94">
        <v>109596</v>
      </c>
      <c r="W8" s="124"/>
      <c r="X8" s="125">
        <v>3261643</v>
      </c>
      <c r="Y8" s="126">
        <v>40826.5</v>
      </c>
      <c r="Z8" s="127">
        <v>42446</v>
      </c>
    </row>
    <row r="9" spans="1:27" x14ac:dyDescent="0.25">
      <c r="A9" s="82"/>
      <c r="B9" s="96">
        <v>42438</v>
      </c>
      <c r="C9" s="93" t="s">
        <v>109</v>
      </c>
      <c r="D9" s="94">
        <v>57598.03</v>
      </c>
      <c r="E9" s="95">
        <v>42450</v>
      </c>
      <c r="F9" s="94">
        <v>57598.03</v>
      </c>
      <c r="G9" s="99">
        <f>D9-F9</f>
        <v>0</v>
      </c>
      <c r="H9" s="38"/>
      <c r="I9" s="165"/>
      <c r="J9" s="93"/>
      <c r="K9" s="94">
        <v>0</v>
      </c>
      <c r="L9" s="128"/>
      <c r="M9" s="125">
        <v>3358236</v>
      </c>
      <c r="N9" s="126">
        <v>33139</v>
      </c>
      <c r="O9" s="127">
        <v>42403</v>
      </c>
      <c r="T9" s="3">
        <f>5843.5+31496+51157.5+25943.5</f>
        <v>114440.5</v>
      </c>
      <c r="U9" s="93" t="s">
        <v>133</v>
      </c>
      <c r="V9" s="94">
        <v>114441</v>
      </c>
      <c r="W9" s="128"/>
      <c r="X9" s="125">
        <v>3261644</v>
      </c>
      <c r="Y9" s="126">
        <v>25000</v>
      </c>
      <c r="Z9" s="127">
        <v>42447</v>
      </c>
    </row>
    <row r="10" spans="1:27" ht="15.75" customHeight="1" x14ac:dyDescent="0.25">
      <c r="A10" s="14"/>
      <c r="B10" s="96">
        <v>42440</v>
      </c>
      <c r="C10" s="93" t="s">
        <v>110</v>
      </c>
      <c r="D10" s="94">
        <v>152524.75</v>
      </c>
      <c r="E10" s="95">
        <v>42450</v>
      </c>
      <c r="F10" s="94">
        <v>152524.75</v>
      </c>
      <c r="G10" s="99">
        <f>D10-F10</f>
        <v>0</v>
      </c>
      <c r="H10" s="38"/>
      <c r="I10" s="165"/>
      <c r="J10" s="93"/>
      <c r="K10" s="94">
        <v>0</v>
      </c>
      <c r="L10" s="129"/>
      <c r="M10" s="125">
        <v>3358230</v>
      </c>
      <c r="N10" s="126">
        <v>50000</v>
      </c>
      <c r="O10" s="127">
        <v>42407</v>
      </c>
      <c r="T10" s="3">
        <v>9374.2000000000007</v>
      </c>
      <c r="U10" s="93" t="s">
        <v>134</v>
      </c>
      <c r="V10" s="94">
        <v>9374.2000000000007</v>
      </c>
      <c r="W10" s="129"/>
      <c r="X10" s="125" t="s">
        <v>149</v>
      </c>
      <c r="Y10" s="126">
        <v>30</v>
      </c>
      <c r="Z10" s="127">
        <v>42445</v>
      </c>
    </row>
    <row r="11" spans="1:27" ht="15" x14ac:dyDescent="0.25">
      <c r="A11" s="14"/>
      <c r="B11" s="96">
        <v>42440</v>
      </c>
      <c r="C11" s="93" t="s">
        <v>111</v>
      </c>
      <c r="D11" s="94">
        <v>27349.45</v>
      </c>
      <c r="E11" s="196">
        <v>42450</v>
      </c>
      <c r="F11" s="94">
        <v>27349.45</v>
      </c>
      <c r="G11" s="99">
        <f>D11-F11</f>
        <v>0</v>
      </c>
      <c r="H11" s="38"/>
      <c r="I11" s="165"/>
      <c r="J11" s="93"/>
      <c r="K11" s="94">
        <v>0</v>
      </c>
      <c r="L11" s="124"/>
      <c r="M11" s="130">
        <v>3358231</v>
      </c>
      <c r="N11" s="131">
        <v>49008.5</v>
      </c>
      <c r="O11" s="127">
        <v>42406</v>
      </c>
      <c r="T11" s="3">
        <v>38130.6</v>
      </c>
      <c r="U11" s="93" t="s">
        <v>135</v>
      </c>
      <c r="V11" s="94">
        <v>38130.6</v>
      </c>
      <c r="W11" s="124"/>
      <c r="X11" s="130" t="s">
        <v>31</v>
      </c>
      <c r="Y11" s="131">
        <v>13952</v>
      </c>
      <c r="Z11" s="127">
        <v>42451</v>
      </c>
      <c r="AA11" s="159">
        <v>42447</v>
      </c>
    </row>
    <row r="12" spans="1:27" thickBot="1" x14ac:dyDescent="0.3">
      <c r="A12" s="14"/>
      <c r="B12" s="96">
        <v>42441</v>
      </c>
      <c r="C12" s="93" t="s">
        <v>112</v>
      </c>
      <c r="D12" s="94">
        <v>134584.9</v>
      </c>
      <c r="E12" s="95" t="s">
        <v>150</v>
      </c>
      <c r="F12" s="94">
        <f>78685.85+55899.05</f>
        <v>134584.90000000002</v>
      </c>
      <c r="G12" s="99">
        <f t="shared" si="0"/>
        <v>0</v>
      </c>
      <c r="H12" s="38"/>
      <c r="I12" s="165"/>
      <c r="J12" s="172"/>
      <c r="K12" s="173">
        <v>0</v>
      </c>
      <c r="L12" s="219"/>
      <c r="M12" s="198"/>
      <c r="N12" s="199">
        <v>0</v>
      </c>
      <c r="O12" s="220"/>
      <c r="T12" s="3">
        <f>1478.5+37793.5</f>
        <v>39272</v>
      </c>
      <c r="U12" s="93" t="s">
        <v>136</v>
      </c>
      <c r="V12" s="237">
        <v>39272</v>
      </c>
      <c r="W12" s="124" t="s">
        <v>37</v>
      </c>
      <c r="X12" s="130">
        <v>3261645</v>
      </c>
      <c r="Y12" s="131">
        <v>31924.5</v>
      </c>
      <c r="Z12" s="127">
        <v>42447</v>
      </c>
    </row>
    <row r="13" spans="1:27" thickTop="1" x14ac:dyDescent="0.25">
      <c r="A13" s="14"/>
      <c r="B13" s="96">
        <v>42441</v>
      </c>
      <c r="C13" s="93" t="s">
        <v>129</v>
      </c>
      <c r="D13" s="94">
        <v>602.5</v>
      </c>
      <c r="E13" s="95">
        <v>42450</v>
      </c>
      <c r="F13" s="94">
        <v>602.5</v>
      </c>
      <c r="G13" s="99">
        <f t="shared" si="0"/>
        <v>0</v>
      </c>
      <c r="H13" s="146"/>
      <c r="I13" s="165"/>
      <c r="J13" s="161"/>
      <c r="K13" s="221">
        <f>SUM(K4:K12)</f>
        <v>322946</v>
      </c>
      <c r="L13" s="213"/>
      <c r="M13" s="215"/>
      <c r="N13" s="165">
        <f>SUM(N4:N12)</f>
        <v>322946</v>
      </c>
      <c r="O13" s="206"/>
      <c r="T13" s="3">
        <v>447.5</v>
      </c>
      <c r="U13" s="93" t="s">
        <v>137</v>
      </c>
      <c r="V13" s="94">
        <v>447.5</v>
      </c>
      <c r="W13" s="124"/>
      <c r="X13" s="130">
        <v>3261647</v>
      </c>
      <c r="Y13" s="131">
        <v>49195.5</v>
      </c>
      <c r="Z13" s="127">
        <v>42448</v>
      </c>
    </row>
    <row r="14" spans="1:27" ht="15" x14ac:dyDescent="0.25">
      <c r="A14" s="14"/>
      <c r="B14" s="96">
        <v>42443</v>
      </c>
      <c r="C14" s="93" t="s">
        <v>130</v>
      </c>
      <c r="D14" s="94">
        <v>4456</v>
      </c>
      <c r="E14" s="95">
        <v>42460</v>
      </c>
      <c r="F14" s="94">
        <v>4456</v>
      </c>
      <c r="G14" s="99">
        <f t="shared" si="0"/>
        <v>0</v>
      </c>
      <c r="H14" s="147"/>
      <c r="I14" s="165"/>
      <c r="J14" s="161"/>
      <c r="K14" s="216"/>
      <c r="L14" s="213"/>
      <c r="M14" s="215"/>
      <c r="N14" s="165"/>
      <c r="O14" s="206"/>
      <c r="T14" s="3">
        <v>10015.120000000001</v>
      </c>
      <c r="U14" s="93" t="s">
        <v>138</v>
      </c>
      <c r="V14" s="94">
        <v>10015.120000000001</v>
      </c>
      <c r="W14" s="124"/>
      <c r="X14" s="130">
        <v>3261646</v>
      </c>
      <c r="Y14" s="131">
        <v>35000</v>
      </c>
      <c r="Z14" s="127">
        <v>42448</v>
      </c>
    </row>
    <row r="15" spans="1:27" thickBot="1" x14ac:dyDescent="0.3">
      <c r="A15" s="14"/>
      <c r="B15" s="96">
        <v>42444</v>
      </c>
      <c r="C15" s="93" t="s">
        <v>118</v>
      </c>
      <c r="D15" s="94">
        <v>148344.85999999999</v>
      </c>
      <c r="E15" s="95">
        <v>42460</v>
      </c>
      <c r="F15" s="94">
        <v>148344.85999999999</v>
      </c>
      <c r="G15" s="99">
        <f>D15-F15</f>
        <v>0</v>
      </c>
      <c r="H15" s="147"/>
      <c r="I15" s="165"/>
      <c r="J15" s="161"/>
      <c r="K15" s="216"/>
      <c r="L15" s="213"/>
      <c r="M15" s="215"/>
      <c r="N15" s="165"/>
      <c r="O15" s="206"/>
      <c r="T15" s="3">
        <v>0</v>
      </c>
      <c r="U15" s="93"/>
      <c r="V15" s="94">
        <v>0</v>
      </c>
      <c r="W15" s="124"/>
      <c r="X15" s="130">
        <v>3261648</v>
      </c>
      <c r="Y15" s="131">
        <v>31496</v>
      </c>
      <c r="Z15" s="127">
        <v>42449</v>
      </c>
    </row>
    <row r="16" spans="1:27" ht="19.5" thickBot="1" x14ac:dyDescent="0.35">
      <c r="A16" s="14"/>
      <c r="B16" s="96">
        <v>42445</v>
      </c>
      <c r="C16" s="93" t="s">
        <v>119</v>
      </c>
      <c r="D16" s="94">
        <v>7774.8</v>
      </c>
      <c r="E16" s="95">
        <v>42460</v>
      </c>
      <c r="F16" s="94">
        <v>7774.8</v>
      </c>
      <c r="G16" s="99">
        <f>D16-F16</f>
        <v>0</v>
      </c>
      <c r="J16" s="343">
        <v>1</v>
      </c>
      <c r="K16" s="86" t="s">
        <v>28</v>
      </c>
      <c r="L16" s="86"/>
      <c r="M16" s="110"/>
      <c r="N16" s="197">
        <v>42448</v>
      </c>
      <c r="O16" s="112"/>
      <c r="P16" s="159"/>
      <c r="T16" s="33">
        <v>0</v>
      </c>
      <c r="U16" s="93"/>
      <c r="V16" s="94">
        <v>0</v>
      </c>
      <c r="W16" s="240"/>
      <c r="X16" s="241" t="s">
        <v>31</v>
      </c>
      <c r="Y16" s="242">
        <v>14074</v>
      </c>
      <c r="Z16" s="243">
        <v>42452</v>
      </c>
      <c r="AA16" s="159">
        <v>42450</v>
      </c>
    </row>
    <row r="17" spans="1:26" ht="16.5" thickBot="1" x14ac:dyDescent="0.3">
      <c r="A17" s="14"/>
      <c r="B17" s="96">
        <v>42446</v>
      </c>
      <c r="C17" s="93" t="s">
        <v>120</v>
      </c>
      <c r="D17" s="94">
        <v>109596</v>
      </c>
      <c r="E17" s="95">
        <v>42460</v>
      </c>
      <c r="F17" s="94">
        <v>109596</v>
      </c>
      <c r="G17" s="97">
        <f>D17-F17</f>
        <v>0</v>
      </c>
      <c r="J17" s="344"/>
      <c r="K17" s="113"/>
      <c r="L17" s="113"/>
      <c r="M17" s="114"/>
      <c r="N17" s="115"/>
      <c r="O17" s="112"/>
      <c r="T17" s="3">
        <v>0</v>
      </c>
      <c r="U17" s="192"/>
      <c r="V17" s="194">
        <v>0</v>
      </c>
      <c r="W17" s="192"/>
      <c r="X17" s="193">
        <v>3261649</v>
      </c>
      <c r="Y17" s="194">
        <v>37084</v>
      </c>
      <c r="Z17" s="244">
        <v>42450</v>
      </c>
    </row>
    <row r="18" spans="1:26" ht="16.5" thickBot="1" x14ac:dyDescent="0.3">
      <c r="A18" s="14"/>
      <c r="B18" s="96">
        <v>42448</v>
      </c>
      <c r="C18" s="93" t="s">
        <v>133</v>
      </c>
      <c r="D18" s="94">
        <v>114441</v>
      </c>
      <c r="E18" s="95">
        <v>42460</v>
      </c>
      <c r="F18" s="94">
        <v>114441</v>
      </c>
      <c r="G18" s="97">
        <f>D18-F18</f>
        <v>0</v>
      </c>
      <c r="J18" s="116" t="s">
        <v>23</v>
      </c>
      <c r="K18" s="116" t="s">
        <v>24</v>
      </c>
      <c r="L18" s="116"/>
      <c r="M18" s="117" t="s">
        <v>29</v>
      </c>
      <c r="N18" s="118" t="s">
        <v>30</v>
      </c>
      <c r="O18" s="119"/>
      <c r="T18" s="224">
        <f>SUM(T4:T17)</f>
        <v>537750.72</v>
      </c>
      <c r="U18" s="192"/>
      <c r="V18" s="194">
        <v>0</v>
      </c>
      <c r="W18" s="192"/>
      <c r="X18" s="193">
        <v>3261650</v>
      </c>
      <c r="Y18" s="194">
        <v>44000</v>
      </c>
      <c r="Z18" s="244">
        <v>42451</v>
      </c>
    </row>
    <row r="19" spans="1:26" ht="16.5" thickTop="1" x14ac:dyDescent="0.25">
      <c r="A19" s="14"/>
      <c r="B19" s="96">
        <v>42448</v>
      </c>
      <c r="C19" s="93" t="s">
        <v>134</v>
      </c>
      <c r="D19" s="94">
        <v>9374.2000000000007</v>
      </c>
      <c r="E19" s="95">
        <v>42460</v>
      </c>
      <c r="F19" s="94">
        <v>9374.2000000000007</v>
      </c>
      <c r="G19" s="99">
        <f>D19-F19</f>
        <v>0</v>
      </c>
      <c r="J19" s="93" t="s">
        <v>100</v>
      </c>
      <c r="K19" s="190">
        <v>5512.1</v>
      </c>
      <c r="L19" s="120" t="s">
        <v>36</v>
      </c>
      <c r="M19" s="121" t="s">
        <v>31</v>
      </c>
      <c r="N19" s="122">
        <v>70650</v>
      </c>
      <c r="O19" s="123">
        <v>42432</v>
      </c>
      <c r="U19" s="192"/>
      <c r="V19" s="194">
        <v>0</v>
      </c>
      <c r="W19" s="192"/>
      <c r="X19" s="193">
        <v>3261651</v>
      </c>
      <c r="Y19" s="194">
        <v>32015</v>
      </c>
      <c r="Z19" s="244">
        <v>42451</v>
      </c>
    </row>
    <row r="20" spans="1:26" x14ac:dyDescent="0.25">
      <c r="A20" s="14"/>
      <c r="B20" s="96">
        <v>42449</v>
      </c>
      <c r="C20" s="93" t="s">
        <v>135</v>
      </c>
      <c r="D20" s="94">
        <v>38130.6</v>
      </c>
      <c r="E20" s="95">
        <v>42460</v>
      </c>
      <c r="F20" s="94">
        <v>38130.6</v>
      </c>
      <c r="G20" s="97">
        <f t="shared" si="0"/>
        <v>0</v>
      </c>
      <c r="J20" s="93" t="s">
        <v>106</v>
      </c>
      <c r="K20" s="190">
        <v>176147.29</v>
      </c>
      <c r="L20" s="124"/>
      <c r="M20" s="125" t="s">
        <v>31</v>
      </c>
      <c r="N20" s="126">
        <v>100000</v>
      </c>
      <c r="O20" s="127">
        <v>42432</v>
      </c>
      <c r="P20" s="159"/>
      <c r="U20" s="192"/>
      <c r="V20" s="194">
        <v>0</v>
      </c>
      <c r="W20" s="192"/>
      <c r="X20" s="193">
        <v>3261653</v>
      </c>
      <c r="Y20" s="194">
        <v>18099</v>
      </c>
      <c r="Z20" s="244">
        <v>42452</v>
      </c>
    </row>
    <row r="21" spans="1:26" x14ac:dyDescent="0.25">
      <c r="A21" s="14"/>
      <c r="B21" s="96">
        <v>42450</v>
      </c>
      <c r="C21" s="93" t="s">
        <v>136</v>
      </c>
      <c r="D21" s="94">
        <v>162464</v>
      </c>
      <c r="E21" s="102" t="s">
        <v>194</v>
      </c>
      <c r="F21" s="101">
        <f>39272+123192</f>
        <v>162464</v>
      </c>
      <c r="G21" s="97">
        <f t="shared" si="0"/>
        <v>0</v>
      </c>
      <c r="J21" s="98" t="s">
        <v>105</v>
      </c>
      <c r="K21" s="190">
        <v>5682.6</v>
      </c>
      <c r="L21" s="124"/>
      <c r="M21" s="125">
        <v>3483814</v>
      </c>
      <c r="N21" s="126">
        <v>11009.5</v>
      </c>
      <c r="O21" s="127">
        <v>42433</v>
      </c>
      <c r="P21" s="159"/>
      <c r="U21" s="192"/>
      <c r="V21" s="245">
        <v>0</v>
      </c>
      <c r="W21" s="192"/>
      <c r="X21" s="193">
        <v>3261652</v>
      </c>
      <c r="Y21" s="246">
        <v>19694.5</v>
      </c>
      <c r="Z21" s="244">
        <v>42452</v>
      </c>
    </row>
    <row r="22" spans="1:26" x14ac:dyDescent="0.25">
      <c r="A22" s="14"/>
      <c r="B22" s="96">
        <v>42447</v>
      </c>
      <c r="C22" s="93" t="s">
        <v>137</v>
      </c>
      <c r="D22" s="94">
        <v>447.5</v>
      </c>
      <c r="E22" s="95">
        <v>42460</v>
      </c>
      <c r="F22" s="94">
        <v>447.5</v>
      </c>
      <c r="G22" s="97">
        <f t="shared" si="0"/>
        <v>0</v>
      </c>
      <c r="J22" s="93" t="s">
        <v>107</v>
      </c>
      <c r="K22" s="190">
        <v>118814.6</v>
      </c>
      <c r="L22" s="124"/>
      <c r="M22" s="125">
        <v>3483816</v>
      </c>
      <c r="N22" s="126">
        <v>5682.5</v>
      </c>
      <c r="O22" s="127">
        <v>42434</v>
      </c>
      <c r="U22" s="192"/>
      <c r="V22" s="192">
        <v>0</v>
      </c>
      <c r="W22" s="192"/>
      <c r="X22" s="192"/>
      <c r="Y22" s="194">
        <v>0</v>
      </c>
      <c r="Z22" s="192"/>
    </row>
    <row r="23" spans="1:26" x14ac:dyDescent="0.25">
      <c r="A23" s="14"/>
      <c r="B23" s="96">
        <v>42451</v>
      </c>
      <c r="C23" s="93" t="s">
        <v>138</v>
      </c>
      <c r="D23" s="94">
        <v>10015.120000000001</v>
      </c>
      <c r="E23" s="95">
        <v>42460</v>
      </c>
      <c r="F23" s="94">
        <v>10015.120000000001</v>
      </c>
      <c r="G23" s="97">
        <f t="shared" si="0"/>
        <v>0</v>
      </c>
      <c r="J23" s="93"/>
      <c r="K23" s="100"/>
      <c r="L23" s="124"/>
      <c r="M23" s="125">
        <v>3483821</v>
      </c>
      <c r="N23" s="126">
        <v>43000</v>
      </c>
      <c r="O23" s="127">
        <v>42436</v>
      </c>
      <c r="V23" s="108">
        <f>SUM(V4:V22)</f>
        <v>537751.13</v>
      </c>
      <c r="W23" s="247"/>
      <c r="X23" s="247"/>
      <c r="Y23" s="248">
        <f>SUM(Y4:Y22)</f>
        <v>537751</v>
      </c>
    </row>
    <row r="24" spans="1:26" x14ac:dyDescent="0.25">
      <c r="A24" s="14"/>
      <c r="B24" s="96">
        <v>42453</v>
      </c>
      <c r="C24" s="93" t="s">
        <v>139</v>
      </c>
      <c r="D24" s="94">
        <v>80326.5</v>
      </c>
      <c r="E24" s="102">
        <v>42479</v>
      </c>
      <c r="F24" s="101">
        <v>80326.5</v>
      </c>
      <c r="G24" s="97">
        <f t="shared" si="0"/>
        <v>0</v>
      </c>
      <c r="J24" s="93"/>
      <c r="K24" s="94"/>
      <c r="L24" s="128"/>
      <c r="M24" s="125">
        <v>3483822</v>
      </c>
      <c r="N24" s="126">
        <v>60000</v>
      </c>
      <c r="O24" s="127">
        <v>42436</v>
      </c>
      <c r="P24" s="67"/>
    </row>
    <row r="25" spans="1:26" x14ac:dyDescent="0.25">
      <c r="A25" s="14"/>
      <c r="B25" s="96">
        <v>42453</v>
      </c>
      <c r="C25" s="93" t="s">
        <v>140</v>
      </c>
      <c r="D25" s="94">
        <v>355.25</v>
      </c>
      <c r="E25" s="102">
        <v>42479</v>
      </c>
      <c r="F25" s="101">
        <v>355.25</v>
      </c>
      <c r="G25" s="97">
        <f t="shared" si="0"/>
        <v>0</v>
      </c>
      <c r="J25" s="93"/>
      <c r="K25" s="94"/>
      <c r="L25" s="129"/>
      <c r="M25" s="125">
        <v>3483823</v>
      </c>
      <c r="N25" s="126">
        <v>15814.5</v>
      </c>
      <c r="O25" s="127">
        <v>42436</v>
      </c>
      <c r="P25" s="67"/>
    </row>
    <row r="26" spans="1:26" ht="15" x14ac:dyDescent="0.25">
      <c r="A26" s="14"/>
      <c r="B26" s="96">
        <v>42455</v>
      </c>
      <c r="C26" s="93" t="s">
        <v>147</v>
      </c>
      <c r="D26" s="94">
        <v>145231</v>
      </c>
      <c r="E26" s="102">
        <v>42479</v>
      </c>
      <c r="F26" s="101">
        <v>145231</v>
      </c>
      <c r="G26" s="97">
        <f t="shared" si="0"/>
        <v>0</v>
      </c>
      <c r="J26" s="93"/>
      <c r="K26" s="94"/>
      <c r="L26" s="124"/>
      <c r="M26" s="130"/>
      <c r="N26" s="131"/>
      <c r="O26" s="127"/>
      <c r="P26" s="67"/>
    </row>
    <row r="27" spans="1:26" thickBot="1" x14ac:dyDescent="0.3">
      <c r="A27" s="14"/>
      <c r="B27" s="252">
        <v>42457</v>
      </c>
      <c r="C27" s="250" t="s">
        <v>153</v>
      </c>
      <c r="D27" s="94">
        <v>725</v>
      </c>
      <c r="E27" s="102">
        <v>42479</v>
      </c>
      <c r="F27" s="101">
        <v>725</v>
      </c>
      <c r="G27" s="97">
        <f t="shared" si="0"/>
        <v>0</v>
      </c>
      <c r="J27" s="172"/>
      <c r="K27" s="173">
        <v>0</v>
      </c>
      <c r="L27" s="219"/>
      <c r="M27" s="198"/>
      <c r="N27" s="199">
        <v>0</v>
      </c>
      <c r="O27" s="220"/>
    </row>
    <row r="28" spans="1:26" ht="16.5" thickTop="1" thickBot="1" x14ac:dyDescent="0.3">
      <c r="B28" s="249">
        <v>42458</v>
      </c>
      <c r="C28" s="251" t="s">
        <v>148</v>
      </c>
      <c r="D28" s="105">
        <v>196280</v>
      </c>
      <c r="E28" s="266">
        <v>42479</v>
      </c>
      <c r="F28" s="265">
        <v>196280</v>
      </c>
      <c r="G28" s="107">
        <f t="shared" si="0"/>
        <v>0</v>
      </c>
      <c r="J28" s="161"/>
      <c r="K28" s="221">
        <f>SUM(K19:K27)</f>
        <v>306156.59000000003</v>
      </c>
      <c r="L28" s="213"/>
      <c r="M28" s="215"/>
      <c r="N28" s="165">
        <f>SUM(N19:N27)</f>
        <v>306156.5</v>
      </c>
      <c r="O28" s="206"/>
      <c r="P28" s="147"/>
      <c r="Q28" s="147"/>
    </row>
    <row r="29" spans="1:26" ht="20.25" customHeight="1" thickTop="1" x14ac:dyDescent="0.3">
      <c r="B29"/>
      <c r="C29"/>
      <c r="D29" s="108">
        <f>SUM(D4:D28)</f>
        <v>1862241.8700000003</v>
      </c>
      <c r="E29" s="108"/>
      <c r="F29" s="109">
        <f>SUM(F4:F28)</f>
        <v>1862241.8700000003</v>
      </c>
      <c r="G29" s="109">
        <f>SUM(G4:G28)</f>
        <v>0</v>
      </c>
      <c r="J29" s="345"/>
      <c r="K29" s="203"/>
      <c r="L29" s="203"/>
      <c r="M29" s="204"/>
      <c r="N29" s="205"/>
      <c r="O29" s="206"/>
      <c r="P29" s="147"/>
      <c r="Q29" s="147"/>
    </row>
    <row r="30" spans="1:26" ht="15.75" customHeight="1" thickBot="1" x14ac:dyDescent="0.3">
      <c r="J30" s="345"/>
      <c r="K30" s="207"/>
      <c r="L30" s="207"/>
      <c r="M30" s="208"/>
      <c r="N30" s="209"/>
      <c r="O30" s="206"/>
      <c r="P30" s="147"/>
      <c r="Q30" s="147"/>
    </row>
    <row r="31" spans="1:26" ht="19.5" thickBot="1" x14ac:dyDescent="0.35">
      <c r="J31" s="343">
        <v>1</v>
      </c>
      <c r="K31" s="86" t="s">
        <v>28</v>
      </c>
      <c r="L31" s="86"/>
      <c r="M31" s="110"/>
      <c r="N31" s="195">
        <v>42450</v>
      </c>
      <c r="O31" s="112"/>
      <c r="P31" s="147"/>
      <c r="Q31" s="147"/>
    </row>
    <row r="32" spans="1:26" ht="12.75" customHeight="1" thickBot="1" x14ac:dyDescent="0.3">
      <c r="B32" s="256">
        <v>42438</v>
      </c>
      <c r="C32" s="50">
        <v>2550</v>
      </c>
      <c r="D32" s="50" t="s">
        <v>170</v>
      </c>
      <c r="J32" s="344"/>
      <c r="K32" s="113"/>
      <c r="L32" s="113"/>
      <c r="M32" s="114"/>
      <c r="N32" s="115"/>
      <c r="O32" s="112"/>
      <c r="P32" s="147"/>
      <c r="Q32" s="147"/>
    </row>
    <row r="33" spans="2:17" ht="16.5" thickBot="1" x14ac:dyDescent="0.3">
      <c r="B33" s="253">
        <v>42455</v>
      </c>
      <c r="C33" s="255">
        <v>2437</v>
      </c>
      <c r="D33" s="50" t="s">
        <v>170</v>
      </c>
      <c r="E33"/>
      <c r="F33"/>
      <c r="G33"/>
      <c r="H33"/>
      <c r="I33" s="3"/>
      <c r="J33" s="116" t="s">
        <v>23</v>
      </c>
      <c r="K33" s="116" t="s">
        <v>24</v>
      </c>
      <c r="L33" s="116"/>
      <c r="M33" s="117" t="s">
        <v>29</v>
      </c>
      <c r="N33" s="118" t="s">
        <v>30</v>
      </c>
      <c r="O33" s="119"/>
      <c r="P33" s="147"/>
      <c r="Q33" s="147"/>
    </row>
    <row r="34" spans="2:17" ht="16.5" thickTop="1" x14ac:dyDescent="0.25">
      <c r="B34" s="254">
        <v>42457</v>
      </c>
      <c r="C34" s="50">
        <v>2439</v>
      </c>
      <c r="D34" s="50" t="s">
        <v>171</v>
      </c>
      <c r="E34"/>
      <c r="F34"/>
      <c r="G34"/>
      <c r="H34"/>
      <c r="I34" s="3">
        <v>53612.12</v>
      </c>
      <c r="J34" s="93" t="s">
        <v>108</v>
      </c>
      <c r="K34" s="235">
        <v>53612.12</v>
      </c>
      <c r="L34" s="120"/>
      <c r="M34" s="121">
        <v>3261630</v>
      </c>
      <c r="N34" s="122">
        <v>69000</v>
      </c>
      <c r="O34" s="123">
        <v>42438</v>
      </c>
      <c r="P34" s="147"/>
      <c r="Q34" s="147"/>
    </row>
    <row r="35" spans="2:17" ht="16.5" thickBot="1" x14ac:dyDescent="0.3">
      <c r="B35" s="159">
        <v>42458</v>
      </c>
      <c r="C35" s="259">
        <v>288</v>
      </c>
      <c r="D35" s="2" t="s">
        <v>173</v>
      </c>
      <c r="E35"/>
      <c r="F35"/>
      <c r="G35"/>
      <c r="H35"/>
      <c r="I35" s="3">
        <f>38419+19179</f>
        <v>57598</v>
      </c>
      <c r="J35" s="93" t="s">
        <v>109</v>
      </c>
      <c r="K35" s="132">
        <v>57598.03</v>
      </c>
      <c r="L35" s="124"/>
      <c r="M35" s="125">
        <v>32161633</v>
      </c>
      <c r="N35" s="126">
        <v>23031</v>
      </c>
      <c r="O35" s="127">
        <v>42438</v>
      </c>
      <c r="P35" s="147"/>
      <c r="Q35" s="147"/>
    </row>
    <row r="36" spans="2:17" ht="16.5" thickTop="1" x14ac:dyDescent="0.25">
      <c r="B36"/>
      <c r="C36" s="2">
        <f>SUM(C32:C35)</f>
        <v>7714</v>
      </c>
      <c r="D36" s="2"/>
      <c r="E36"/>
      <c r="F36"/>
      <c r="G36"/>
      <c r="H36"/>
      <c r="I36" s="3">
        <f>18547.55+56694+77283.2</f>
        <v>152524.75</v>
      </c>
      <c r="J36" s="93" t="s">
        <v>110</v>
      </c>
      <c r="K36" s="132">
        <v>152524.75</v>
      </c>
      <c r="L36" s="124"/>
      <c r="M36" s="125">
        <v>3483825</v>
      </c>
      <c r="N36" s="126">
        <v>25000</v>
      </c>
      <c r="O36" s="127">
        <v>42439</v>
      </c>
      <c r="P36" s="147"/>
      <c r="Q36" s="147"/>
    </row>
    <row r="37" spans="2:17" x14ac:dyDescent="0.25">
      <c r="B37"/>
      <c r="C37"/>
      <c r="E37"/>
      <c r="F37"/>
      <c r="G37"/>
      <c r="H37"/>
      <c r="I37" s="3">
        <v>27349.45</v>
      </c>
      <c r="J37" s="93" t="s">
        <v>111</v>
      </c>
      <c r="K37" s="132">
        <v>27349.45</v>
      </c>
      <c r="L37" s="124"/>
      <c r="M37" s="125">
        <v>3261631</v>
      </c>
      <c r="N37" s="126">
        <v>25581</v>
      </c>
      <c r="O37" s="127">
        <v>42438</v>
      </c>
      <c r="P37" s="147"/>
      <c r="Q37" s="147"/>
    </row>
    <row r="38" spans="2:17" x14ac:dyDescent="0.25">
      <c r="B38"/>
      <c r="C38"/>
      <c r="E38"/>
      <c r="F38"/>
      <c r="G38"/>
      <c r="H38"/>
      <c r="I38" s="3">
        <f>24484.85+54201</f>
        <v>78685.850000000006</v>
      </c>
      <c r="J38" s="93" t="s">
        <v>112</v>
      </c>
      <c r="K38" s="132">
        <v>78685.850000000006</v>
      </c>
      <c r="L38" s="124" t="s">
        <v>37</v>
      </c>
      <c r="M38" s="125">
        <v>3261632</v>
      </c>
      <c r="N38" s="126">
        <v>14495</v>
      </c>
      <c r="O38" s="127">
        <v>42439</v>
      </c>
      <c r="P38" s="147"/>
      <c r="Q38" s="147"/>
    </row>
    <row r="39" spans="2:17" x14ac:dyDescent="0.25">
      <c r="B39"/>
      <c r="C39"/>
      <c r="E39"/>
      <c r="F39"/>
      <c r="G39"/>
      <c r="H39"/>
      <c r="I39" s="3">
        <v>602.5</v>
      </c>
      <c r="J39" s="93" t="s">
        <v>129</v>
      </c>
      <c r="K39" s="132">
        <v>602.5</v>
      </c>
      <c r="L39" s="128"/>
      <c r="M39" s="125">
        <v>3261634</v>
      </c>
      <c r="N39" s="126">
        <v>56694</v>
      </c>
      <c r="O39" s="127">
        <v>42440</v>
      </c>
      <c r="P39" s="147"/>
      <c r="Q39" s="147"/>
    </row>
    <row r="40" spans="2:17" x14ac:dyDescent="0.25">
      <c r="B40"/>
      <c r="C40"/>
      <c r="E40"/>
      <c r="F40"/>
      <c r="G40"/>
      <c r="H40"/>
      <c r="I40" s="3">
        <v>0</v>
      </c>
      <c r="J40" s="93"/>
      <c r="K40" s="132"/>
      <c r="L40" s="129"/>
      <c r="M40" s="125">
        <v>3261635</v>
      </c>
      <c r="N40" s="126">
        <v>51000</v>
      </c>
      <c r="O40" s="127">
        <v>42441</v>
      </c>
      <c r="P40" s="147"/>
      <c r="Q40" s="147"/>
    </row>
    <row r="41" spans="2:17" ht="15" x14ac:dyDescent="0.25">
      <c r="B41"/>
      <c r="C41"/>
      <c r="E41"/>
      <c r="F41"/>
      <c r="G41"/>
      <c r="H41"/>
      <c r="I41" s="3">
        <v>0</v>
      </c>
      <c r="J41" s="93"/>
      <c r="K41" s="132"/>
      <c r="L41" s="124"/>
      <c r="M41" s="130">
        <v>3261636</v>
      </c>
      <c r="N41" s="131">
        <v>51370.5</v>
      </c>
      <c r="O41" s="127">
        <v>42441</v>
      </c>
      <c r="P41" s="147"/>
      <c r="Q41" s="147"/>
    </row>
    <row r="42" spans="2:17" ht="15" x14ac:dyDescent="0.25">
      <c r="B42"/>
      <c r="C42"/>
      <c r="E42"/>
      <c r="F42"/>
      <c r="G42"/>
      <c r="H42"/>
      <c r="I42" s="3">
        <v>0</v>
      </c>
      <c r="J42" s="233"/>
      <c r="K42" s="234">
        <v>0</v>
      </c>
      <c r="L42" s="124"/>
      <c r="M42" s="130" t="s">
        <v>31</v>
      </c>
      <c r="N42" s="131">
        <v>9923.5</v>
      </c>
      <c r="O42" s="127">
        <v>42440</v>
      </c>
      <c r="P42" s="147"/>
      <c r="Q42" s="147"/>
    </row>
    <row r="43" spans="2:17" ht="15" x14ac:dyDescent="0.25">
      <c r="B43"/>
      <c r="C43"/>
      <c r="E43"/>
      <c r="F43"/>
      <c r="G43"/>
      <c r="H43"/>
      <c r="I43" s="3">
        <v>0</v>
      </c>
      <c r="J43" s="233"/>
      <c r="K43" s="234">
        <v>0</v>
      </c>
      <c r="L43" s="124"/>
      <c r="M43" s="130" t="s">
        <v>31</v>
      </c>
      <c r="N43" s="131">
        <v>23554.5</v>
      </c>
      <c r="O43" s="127">
        <v>42444</v>
      </c>
      <c r="P43" s="147"/>
      <c r="Q43" s="147"/>
    </row>
    <row r="44" spans="2:17" ht="15" x14ac:dyDescent="0.25">
      <c r="B44"/>
      <c r="C44"/>
      <c r="E44"/>
      <c r="F44"/>
      <c r="G44"/>
      <c r="H44"/>
      <c r="I44" s="3">
        <v>0</v>
      </c>
      <c r="J44" s="233"/>
      <c r="K44" s="234">
        <v>0</v>
      </c>
      <c r="L44" s="124"/>
      <c r="M44" s="130">
        <v>3261637</v>
      </c>
      <c r="N44" s="131">
        <v>20723</v>
      </c>
      <c r="O44" s="127">
        <v>42442</v>
      </c>
      <c r="P44" s="147"/>
      <c r="Q44" s="147"/>
    </row>
    <row r="45" spans="2:17" ht="15" x14ac:dyDescent="0.25">
      <c r="B45"/>
      <c r="C45"/>
      <c r="E45"/>
      <c r="F45"/>
      <c r="G45"/>
      <c r="H45"/>
      <c r="I45" s="3">
        <v>0</v>
      </c>
      <c r="J45" s="233"/>
      <c r="K45" s="234">
        <v>0</v>
      </c>
      <c r="L45" s="124"/>
      <c r="M45" s="130"/>
      <c r="N45" s="131">
        <v>0.2</v>
      </c>
      <c r="O45" s="127"/>
      <c r="P45" s="147"/>
      <c r="Q45" s="147"/>
    </row>
    <row r="46" spans="2:17" x14ac:dyDescent="0.25">
      <c r="I46" s="33">
        <f>SUM(I34:I45)</f>
        <v>370372.67000000004</v>
      </c>
      <c r="J46" s="147"/>
      <c r="K46" s="236">
        <f>SUM(K34:K45)</f>
        <v>370372.70000000007</v>
      </c>
      <c r="L46" s="210"/>
      <c r="M46" s="211"/>
      <c r="N46" s="200">
        <f>SUM(N34:N45)</f>
        <v>370372.7</v>
      </c>
      <c r="O46" s="202"/>
      <c r="P46" s="147"/>
      <c r="Q46" s="147"/>
    </row>
    <row r="47" spans="2:17" ht="18.75" x14ac:dyDescent="0.3">
      <c r="J47" s="147"/>
      <c r="K47" s="200"/>
      <c r="L47" s="201"/>
      <c r="M47" s="201"/>
      <c r="N47" s="201"/>
      <c r="O47" s="202"/>
      <c r="P47" s="147"/>
      <c r="Q47" s="147"/>
    </row>
    <row r="48" spans="2:17" x14ac:dyDescent="0.25">
      <c r="J48" s="147"/>
      <c r="K48" s="147"/>
      <c r="L48" s="147"/>
      <c r="M48" s="147"/>
      <c r="N48" s="147"/>
      <c r="O48" s="147"/>
      <c r="P48" s="147"/>
      <c r="Q48" s="147"/>
    </row>
    <row r="49" spans="2:17" x14ac:dyDescent="0.25">
      <c r="J49" s="147"/>
      <c r="K49" s="147"/>
      <c r="L49" s="147"/>
      <c r="M49" s="147"/>
      <c r="N49" s="147"/>
      <c r="O49" s="147"/>
      <c r="P49" s="147"/>
      <c r="Q49" s="147"/>
    </row>
    <row r="50" spans="2:17" ht="18.75" x14ac:dyDescent="0.3">
      <c r="J50" s="345"/>
      <c r="K50" s="203"/>
      <c r="L50" s="203"/>
      <c r="M50" s="204"/>
      <c r="N50" s="205"/>
      <c r="O50" s="206"/>
      <c r="P50" s="147"/>
      <c r="Q50" s="147"/>
    </row>
    <row r="51" spans="2:17" x14ac:dyDescent="0.25">
      <c r="J51" s="345"/>
      <c r="K51" s="207"/>
      <c r="L51" s="207"/>
      <c r="M51" s="208"/>
      <c r="N51" s="209"/>
      <c r="O51" s="206"/>
      <c r="P51" s="147"/>
      <c r="Q51" s="147"/>
    </row>
    <row r="52" spans="2:17" x14ac:dyDescent="0.25">
      <c r="J52" s="210"/>
      <c r="K52" s="210"/>
      <c r="L52" s="210"/>
      <c r="M52" s="211"/>
      <c r="N52" s="200"/>
      <c r="O52" s="95"/>
      <c r="P52" s="147"/>
      <c r="Q52" s="147"/>
    </row>
    <row r="53" spans="2:17" x14ac:dyDescent="0.25">
      <c r="J53" s="161"/>
      <c r="K53" s="41"/>
      <c r="L53" s="212"/>
      <c r="M53" s="208"/>
      <c r="N53" s="209"/>
      <c r="O53" s="206"/>
      <c r="P53" s="147"/>
      <c r="Q53" s="147"/>
    </row>
    <row r="54" spans="2:17" x14ac:dyDescent="0.25">
      <c r="B54"/>
      <c r="C54"/>
      <c r="E54"/>
      <c r="F54" s="14"/>
      <c r="J54" s="161"/>
      <c r="K54" s="38"/>
      <c r="L54" s="213"/>
      <c r="M54" s="208"/>
      <c r="N54" s="209"/>
      <c r="O54" s="206"/>
      <c r="P54" s="147"/>
      <c r="Q54" s="147"/>
    </row>
    <row r="55" spans="2:17" x14ac:dyDescent="0.25">
      <c r="B55"/>
      <c r="C55"/>
      <c r="E55"/>
      <c r="F55" s="14"/>
      <c r="J55" s="161"/>
      <c r="K55" s="41"/>
      <c r="L55" s="213"/>
      <c r="M55" s="208"/>
      <c r="N55" s="209"/>
      <c r="O55" s="206"/>
      <c r="P55" s="147"/>
      <c r="Q55" s="147"/>
    </row>
    <row r="56" spans="2:17" x14ac:dyDescent="0.25">
      <c r="B56"/>
      <c r="C56"/>
      <c r="E56"/>
      <c r="F56" s="14"/>
      <c r="J56" s="161"/>
      <c r="K56" s="41"/>
      <c r="L56" s="213"/>
      <c r="M56" s="208"/>
      <c r="N56" s="209"/>
      <c r="O56" s="206"/>
      <c r="P56" s="147"/>
      <c r="Q56" s="147"/>
    </row>
    <row r="57" spans="2:17" x14ac:dyDescent="0.25">
      <c r="B57"/>
      <c r="C57"/>
      <c r="E57"/>
      <c r="F57" s="14"/>
      <c r="J57" s="161"/>
      <c r="K57" s="41"/>
      <c r="L57" s="213"/>
      <c r="M57" s="208"/>
      <c r="N57" s="209"/>
      <c r="O57" s="206"/>
      <c r="P57" s="147"/>
      <c r="Q57" s="147"/>
    </row>
    <row r="58" spans="2:17" x14ac:dyDescent="0.25">
      <c r="B58"/>
      <c r="C58"/>
      <c r="E58"/>
      <c r="F58" s="14"/>
      <c r="J58" s="161"/>
      <c r="K58" s="41"/>
      <c r="L58" s="213"/>
      <c r="M58" s="208"/>
      <c r="N58" s="209"/>
      <c r="O58" s="206"/>
      <c r="P58" s="147"/>
      <c r="Q58" s="147"/>
    </row>
    <row r="59" spans="2:17" x14ac:dyDescent="0.25">
      <c r="B59"/>
      <c r="C59"/>
      <c r="E59"/>
      <c r="F59" s="14"/>
      <c r="J59" s="161"/>
      <c r="K59" s="41"/>
      <c r="L59" s="214"/>
      <c r="M59" s="208"/>
      <c r="N59" s="209"/>
      <c r="O59" s="206"/>
      <c r="P59" s="147"/>
      <c r="Q59" s="147"/>
    </row>
    <row r="60" spans="2:17" ht="15" x14ac:dyDescent="0.25">
      <c r="B60"/>
      <c r="C60"/>
      <c r="E60"/>
      <c r="F60" s="14"/>
      <c r="J60" s="161"/>
      <c r="K60" s="41"/>
      <c r="L60" s="213"/>
      <c r="M60" s="215"/>
      <c r="N60" s="165"/>
      <c r="O60" s="206"/>
      <c r="P60" s="147"/>
      <c r="Q60" s="147"/>
    </row>
    <row r="61" spans="2:17" ht="15" x14ac:dyDescent="0.25">
      <c r="B61"/>
      <c r="C61"/>
      <c r="E61"/>
      <c r="F61" s="14"/>
      <c r="J61" s="161"/>
      <c r="K61" s="41"/>
      <c r="L61" s="213"/>
      <c r="M61" s="215"/>
      <c r="N61" s="165"/>
      <c r="O61" s="206"/>
      <c r="P61" s="147"/>
      <c r="Q61" s="147"/>
    </row>
    <row r="62" spans="2:17" ht="15" x14ac:dyDescent="0.25">
      <c r="B62"/>
      <c r="C62"/>
      <c r="E62"/>
      <c r="F62" s="14"/>
      <c r="J62" s="161"/>
      <c r="K62" s="216"/>
      <c r="L62" s="213"/>
      <c r="M62" s="215"/>
      <c r="N62" s="165"/>
      <c r="O62" s="206"/>
      <c r="P62" s="147"/>
      <c r="Q62" s="147"/>
    </row>
    <row r="63" spans="2:17" ht="15" x14ac:dyDescent="0.25">
      <c r="B63"/>
      <c r="C63"/>
      <c r="E63"/>
      <c r="F63" s="14"/>
      <c r="J63" s="161"/>
      <c r="K63" s="216"/>
      <c r="L63" s="213"/>
      <c r="M63" s="215"/>
      <c r="N63" s="165"/>
      <c r="O63" s="206"/>
      <c r="P63" s="147"/>
      <c r="Q63" s="147"/>
    </row>
    <row r="64" spans="2:17" ht="15" x14ac:dyDescent="0.25">
      <c r="B64"/>
      <c r="C64"/>
      <c r="E64"/>
      <c r="F64" s="14"/>
      <c r="G64"/>
      <c r="H64"/>
      <c r="I64" s="3"/>
      <c r="J64" s="161"/>
      <c r="K64" s="216"/>
      <c r="L64" s="213"/>
      <c r="M64" s="215"/>
      <c r="N64" s="165"/>
      <c r="O64" s="206"/>
      <c r="P64" s="147"/>
      <c r="Q64" s="147"/>
    </row>
    <row r="65" spans="2:17" ht="15" x14ac:dyDescent="0.25">
      <c r="B65"/>
      <c r="C65"/>
      <c r="E65"/>
      <c r="F65" s="14"/>
      <c r="G65"/>
      <c r="H65"/>
      <c r="I65" s="3"/>
      <c r="J65" s="161"/>
      <c r="K65" s="216"/>
      <c r="L65" s="213"/>
      <c r="M65" s="215"/>
      <c r="N65" s="165"/>
      <c r="O65" s="206"/>
      <c r="P65" s="147"/>
      <c r="Q65" s="147"/>
    </row>
    <row r="66" spans="2:17" ht="15" x14ac:dyDescent="0.25">
      <c r="B66"/>
      <c r="C66"/>
      <c r="E66"/>
      <c r="F66" s="14"/>
      <c r="G66"/>
      <c r="H66"/>
      <c r="I66" s="3"/>
      <c r="J66" s="161"/>
      <c r="K66" s="216"/>
      <c r="L66" s="213"/>
      <c r="M66" s="215"/>
      <c r="N66" s="165"/>
      <c r="O66" s="206"/>
      <c r="P66" s="147"/>
      <c r="Q66" s="147"/>
    </row>
    <row r="67" spans="2:17" ht="15" x14ac:dyDescent="0.25">
      <c r="B67"/>
      <c r="C67"/>
      <c r="E67"/>
      <c r="F67" s="14"/>
      <c r="G67"/>
      <c r="H67"/>
      <c r="I67" s="3"/>
      <c r="J67" s="147"/>
      <c r="K67" s="147"/>
      <c r="L67" s="147"/>
      <c r="M67" s="215"/>
      <c r="N67" s="165"/>
      <c r="O67" s="206"/>
      <c r="P67" s="147"/>
      <c r="Q67" s="147"/>
    </row>
    <row r="68" spans="2:17" ht="15" x14ac:dyDescent="0.25">
      <c r="B68"/>
      <c r="C68"/>
      <c r="E68"/>
      <c r="F68" s="14"/>
      <c r="G68"/>
      <c r="H68"/>
      <c r="I68" s="3"/>
      <c r="J68" s="147"/>
      <c r="K68" s="147"/>
      <c r="L68" s="147"/>
      <c r="M68" s="215"/>
      <c r="N68" s="165"/>
      <c r="O68" s="206"/>
      <c r="P68" s="147"/>
      <c r="Q68" s="147"/>
    </row>
    <row r="69" spans="2:17" ht="15" x14ac:dyDescent="0.25">
      <c r="B69"/>
      <c r="C69"/>
      <c r="E69"/>
      <c r="F69" s="14"/>
      <c r="G69"/>
      <c r="H69"/>
      <c r="I69" s="3"/>
      <c r="J69" s="147"/>
      <c r="K69" s="147"/>
      <c r="L69" s="147"/>
      <c r="M69" s="215"/>
      <c r="N69" s="165"/>
      <c r="O69" s="206"/>
      <c r="P69" s="147"/>
      <c r="Q69" s="147"/>
    </row>
    <row r="70" spans="2:17" ht="15" x14ac:dyDescent="0.25">
      <c r="B70"/>
      <c r="C70"/>
      <c r="E70"/>
      <c r="F70" s="14"/>
      <c r="G70"/>
      <c r="H70"/>
      <c r="I70" s="3"/>
      <c r="J70" s="147"/>
      <c r="K70" s="147"/>
      <c r="L70" s="147"/>
      <c r="M70" s="215"/>
      <c r="N70" s="165"/>
      <c r="O70" s="206"/>
      <c r="P70" s="147"/>
      <c r="Q70" s="147"/>
    </row>
    <row r="71" spans="2:17" ht="15" x14ac:dyDescent="0.25">
      <c r="B71"/>
      <c r="C71"/>
      <c r="E71"/>
      <c r="F71" s="14"/>
      <c r="G71"/>
      <c r="H71"/>
      <c r="I71" s="3"/>
      <c r="J71" s="147"/>
      <c r="K71" s="147"/>
      <c r="L71" s="147"/>
      <c r="M71" s="215"/>
      <c r="N71" s="165"/>
      <c r="O71" s="202"/>
      <c r="P71" s="147"/>
      <c r="Q71" s="147"/>
    </row>
    <row r="72" spans="2:17" ht="18.75" x14ac:dyDescent="0.3">
      <c r="B72"/>
      <c r="C72"/>
      <c r="E72"/>
      <c r="F72" s="14"/>
      <c r="G72"/>
      <c r="H72"/>
      <c r="I72" s="3"/>
      <c r="J72" s="147"/>
      <c r="K72" s="200"/>
      <c r="L72" s="201"/>
      <c r="M72" s="201"/>
      <c r="N72" s="201"/>
      <c r="O72" s="202"/>
      <c r="P72" s="147"/>
      <c r="Q72" s="147"/>
    </row>
    <row r="73" spans="2:17" ht="15" x14ac:dyDescent="0.25">
      <c r="B73"/>
      <c r="C73"/>
      <c r="E73"/>
      <c r="F73" s="14"/>
      <c r="G73"/>
      <c r="H73"/>
      <c r="I73" s="3"/>
      <c r="J73" s="147"/>
      <c r="K73" s="147"/>
      <c r="L73" s="147"/>
      <c r="M73" s="147"/>
      <c r="N73" s="147"/>
      <c r="O73" s="147"/>
      <c r="P73" s="147"/>
      <c r="Q73" s="147"/>
    </row>
    <row r="74" spans="2:17" ht="15" x14ac:dyDescent="0.25">
      <c r="B74"/>
      <c r="C74"/>
      <c r="E74"/>
      <c r="F74" s="14"/>
      <c r="G74"/>
      <c r="H74"/>
      <c r="I74" s="3"/>
      <c r="J74" s="147"/>
      <c r="K74" s="147"/>
      <c r="L74" s="147"/>
      <c r="M74" s="147"/>
      <c r="N74" s="147"/>
      <c r="O74" s="147"/>
      <c r="P74" s="147"/>
      <c r="Q74" s="147"/>
    </row>
    <row r="75" spans="2:17" ht="15" x14ac:dyDescent="0.25">
      <c r="B75"/>
      <c r="C75"/>
      <c r="E75"/>
      <c r="F75" s="14"/>
      <c r="G75"/>
      <c r="H75"/>
      <c r="I75" s="3"/>
      <c r="J75" s="147"/>
      <c r="K75" s="147"/>
      <c r="L75" s="147"/>
      <c r="M75" s="147"/>
      <c r="N75" s="147"/>
      <c r="O75" s="147"/>
      <c r="P75" s="147"/>
      <c r="Q75" s="147"/>
    </row>
    <row r="76" spans="2:17" ht="15" x14ac:dyDescent="0.25">
      <c r="B76"/>
      <c r="C76"/>
      <c r="E76"/>
      <c r="F76" s="14"/>
      <c r="G76"/>
      <c r="H76"/>
      <c r="I76" s="3"/>
      <c r="J76" s="147"/>
      <c r="K76" s="147"/>
      <c r="L76" s="147"/>
      <c r="M76" s="147"/>
      <c r="N76" s="147"/>
      <c r="O76" s="147"/>
      <c r="P76" s="147"/>
      <c r="Q76" s="147"/>
    </row>
    <row r="77" spans="2:17" ht="15" x14ac:dyDescent="0.25">
      <c r="B77"/>
      <c r="C77"/>
      <c r="E77"/>
      <c r="F77" s="14"/>
      <c r="G77"/>
      <c r="H77"/>
      <c r="I77" s="3"/>
      <c r="J77" s="147"/>
      <c r="K77" s="147"/>
      <c r="L77" s="147"/>
      <c r="M77" s="147"/>
      <c r="N77" s="147"/>
      <c r="O77" s="147"/>
      <c r="P77" s="147"/>
      <c r="Q77" s="147"/>
    </row>
    <row r="78" spans="2:17" ht="15" x14ac:dyDescent="0.25">
      <c r="B78"/>
      <c r="C78"/>
      <c r="E78"/>
      <c r="F78" s="14"/>
      <c r="G78"/>
      <c r="H78"/>
      <c r="I78" s="3"/>
      <c r="J78" s="147"/>
      <c r="K78" s="147"/>
      <c r="L78" s="147"/>
      <c r="M78" s="147"/>
      <c r="N78" s="147"/>
      <c r="O78" s="147"/>
      <c r="P78" s="147"/>
      <c r="Q78" s="147"/>
    </row>
    <row r="79" spans="2:17" ht="15" x14ac:dyDescent="0.25">
      <c r="B79"/>
      <c r="C79"/>
      <c r="E79"/>
      <c r="F79" s="14"/>
      <c r="G79"/>
      <c r="H79"/>
      <c r="I79" s="3"/>
      <c r="J79" s="147"/>
      <c r="K79" s="147"/>
      <c r="L79" s="147"/>
      <c r="M79" s="147"/>
      <c r="N79" s="147"/>
      <c r="O79" s="147"/>
      <c r="P79" s="147"/>
      <c r="Q79" s="147"/>
    </row>
    <row r="80" spans="2:17" ht="15" x14ac:dyDescent="0.25">
      <c r="B80"/>
      <c r="C80"/>
      <c r="E80"/>
      <c r="F80" s="14"/>
      <c r="G80"/>
      <c r="H80"/>
      <c r="I80" s="3"/>
    </row>
    <row r="81" spans="2:9" ht="15" x14ac:dyDescent="0.25">
      <c r="B81"/>
      <c r="C81"/>
      <c r="E81"/>
      <c r="F81" s="14"/>
      <c r="G81"/>
      <c r="H81"/>
      <c r="I81" s="3"/>
    </row>
    <row r="82" spans="2:9" ht="15" x14ac:dyDescent="0.25">
      <c r="B82"/>
      <c r="C82"/>
      <c r="E82"/>
      <c r="F82" s="14"/>
      <c r="G82"/>
      <c r="H82"/>
      <c r="I82" s="3"/>
    </row>
    <row r="83" spans="2:9" ht="15" x14ac:dyDescent="0.25">
      <c r="B83"/>
      <c r="C83"/>
      <c r="E83"/>
      <c r="F83" s="14"/>
      <c r="G83"/>
      <c r="H83"/>
      <c r="I83" s="3"/>
    </row>
  </sheetData>
  <sortState ref="B26:D28">
    <sortCondition ref="B26:B28"/>
  </sortState>
  <mergeCells count="6">
    <mergeCell ref="U1:U2"/>
    <mergeCell ref="J1:J2"/>
    <mergeCell ref="J29:J30"/>
    <mergeCell ref="J50:J51"/>
    <mergeCell ref="J16:J17"/>
    <mergeCell ref="J31:J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111"/>
  <sheetViews>
    <sheetView workbookViewId="0">
      <selection activeCell="D47" sqref="D47"/>
    </sheetView>
  </sheetViews>
  <sheetFormatPr baseColWidth="10" defaultRowHeight="15.7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3.42578125" style="1" customWidth="1"/>
    <col min="11" max="11" width="14.85546875" style="1" bestFit="1" customWidth="1"/>
    <col min="12" max="12" width="14.140625" style="2" bestFit="1" customWidth="1"/>
    <col min="13" max="13" width="13.85546875" style="263" bestFit="1" customWidth="1"/>
    <col min="17" max="17" width="8.140625" customWidth="1"/>
    <col min="18" max="18" width="10.7109375" style="1" customWidth="1"/>
    <col min="19" max="19" width="16.28515625" style="2" customWidth="1"/>
    <col min="20" max="20" width="12.42578125" customWidth="1"/>
    <col min="21" max="21" width="11.42578125" style="1"/>
    <col min="22" max="22" width="17.85546875" style="1" bestFit="1" customWidth="1"/>
    <col min="23" max="23" width="4.85546875" customWidth="1"/>
    <col min="24" max="24" width="11.42578125" style="1"/>
    <col min="25" max="25" width="14.140625" style="1" customWidth="1"/>
    <col min="26" max="26" width="13.42578125" style="1" customWidth="1"/>
    <col min="27" max="27" width="14.85546875" style="1" bestFit="1" customWidth="1"/>
    <col min="28" max="28" width="14.140625" style="2" bestFit="1" customWidth="1"/>
    <col min="29" max="29" width="12.7109375" style="263" bestFit="1" customWidth="1"/>
    <col min="31" max="31" width="15.5703125" customWidth="1"/>
    <col min="32" max="32" width="13.28515625" customWidth="1"/>
    <col min="33" max="33" width="8.140625" customWidth="1"/>
    <col min="34" max="34" width="10.7109375" style="1" customWidth="1"/>
    <col min="35" max="35" width="16.28515625" style="2" customWidth="1"/>
    <col min="36" max="36" width="12.42578125" customWidth="1"/>
    <col min="37" max="37" width="11.42578125" style="1"/>
    <col min="38" max="38" width="17.85546875" style="1" bestFit="1" customWidth="1"/>
    <col min="39" max="39" width="4.85546875" customWidth="1"/>
    <col min="40" max="40" width="11.42578125" style="1"/>
    <col min="41" max="41" width="14.140625" style="1" customWidth="1"/>
    <col min="42" max="42" width="13.42578125" style="1" customWidth="1"/>
    <col min="43" max="43" width="14.85546875" style="1" bestFit="1" customWidth="1"/>
    <col min="44" max="44" width="14.140625" style="2" bestFit="1" customWidth="1"/>
    <col min="45" max="45" width="11.42578125" style="3"/>
  </cols>
  <sheetData>
    <row r="1" spans="1:46" ht="24" thickBot="1" x14ac:dyDescent="0.4">
      <c r="C1" s="334" t="s">
        <v>151</v>
      </c>
      <c r="D1" s="334"/>
      <c r="E1" s="334"/>
      <c r="F1" s="334"/>
      <c r="G1" s="334"/>
      <c r="H1" s="334"/>
      <c r="I1" s="334"/>
      <c r="J1" s="334"/>
      <c r="S1" s="334" t="s">
        <v>151</v>
      </c>
      <c r="T1" s="334"/>
      <c r="U1" s="334"/>
      <c r="V1" s="334"/>
      <c r="W1" s="334"/>
      <c r="X1" s="334"/>
      <c r="Y1" s="334"/>
      <c r="Z1" s="334"/>
      <c r="AI1" s="334" t="s">
        <v>151</v>
      </c>
      <c r="AJ1" s="334"/>
      <c r="AK1" s="334"/>
      <c r="AL1" s="334"/>
      <c r="AM1" s="334"/>
      <c r="AN1" s="334"/>
      <c r="AO1" s="334"/>
      <c r="AP1" s="334"/>
    </row>
    <row r="2" spans="1:46" ht="16.5" thickBot="1" x14ac:dyDescent="0.3">
      <c r="C2" s="4" t="s">
        <v>0</v>
      </c>
      <c r="E2" s="5"/>
      <c r="F2" s="5"/>
      <c r="S2" s="4" t="s">
        <v>0</v>
      </c>
      <c r="U2" s="5"/>
      <c r="V2" s="5"/>
      <c r="AI2" s="4" t="s">
        <v>0</v>
      </c>
      <c r="AK2" s="5"/>
      <c r="AL2" s="5"/>
    </row>
    <row r="3" spans="1:46" ht="20.25" thickTop="1" thickBot="1" x14ac:dyDescent="0.35">
      <c r="A3" s="6" t="s">
        <v>1</v>
      </c>
      <c r="B3" s="7"/>
      <c r="C3" s="8">
        <v>234143.62</v>
      </c>
      <c r="D3" s="9"/>
      <c r="E3" s="335" t="s">
        <v>2</v>
      </c>
      <c r="F3" s="336"/>
      <c r="I3" s="337" t="s">
        <v>3</v>
      </c>
      <c r="J3" s="338"/>
      <c r="K3" s="339"/>
      <c r="L3" s="10" t="s">
        <v>4</v>
      </c>
      <c r="Q3" s="6" t="s">
        <v>1</v>
      </c>
      <c r="R3" s="7"/>
      <c r="S3" s="8">
        <v>234143.62</v>
      </c>
      <c r="T3" s="9"/>
      <c r="U3" s="335" t="s">
        <v>2</v>
      </c>
      <c r="V3" s="336"/>
      <c r="Y3" s="337" t="s">
        <v>3</v>
      </c>
      <c r="Z3" s="338"/>
      <c r="AA3" s="339"/>
      <c r="AB3" s="10" t="s">
        <v>4</v>
      </c>
      <c r="AG3" s="6" t="s">
        <v>1</v>
      </c>
      <c r="AH3" s="7"/>
      <c r="AI3" s="8">
        <v>234143.62</v>
      </c>
      <c r="AJ3" s="9"/>
      <c r="AK3" s="335" t="s">
        <v>2</v>
      </c>
      <c r="AL3" s="336"/>
      <c r="AO3" s="337" t="s">
        <v>3</v>
      </c>
      <c r="AP3" s="338"/>
      <c r="AQ3" s="339"/>
      <c r="AR3" s="10" t="s">
        <v>4</v>
      </c>
    </row>
    <row r="4" spans="1:46" ht="16.5" thickTop="1" x14ac:dyDescent="0.25">
      <c r="B4" s="11">
        <v>42461</v>
      </c>
      <c r="C4" s="12">
        <v>43593</v>
      </c>
      <c r="D4" s="40" t="s">
        <v>176</v>
      </c>
      <c r="E4" s="186">
        <v>42461</v>
      </c>
      <c r="F4" s="13">
        <v>60847</v>
      </c>
      <c r="G4" s="14"/>
      <c r="H4" s="187">
        <v>42461</v>
      </c>
      <c r="I4" s="15">
        <v>0</v>
      </c>
      <c r="J4" s="16"/>
      <c r="K4" s="17"/>
      <c r="L4" s="18">
        <v>17254</v>
      </c>
      <c r="R4" s="11">
        <v>42461</v>
      </c>
      <c r="S4" s="12">
        <v>43593</v>
      </c>
      <c r="T4" s="40" t="s">
        <v>176</v>
      </c>
      <c r="U4" s="186">
        <v>42461</v>
      </c>
      <c r="V4" s="13">
        <v>60847</v>
      </c>
      <c r="W4" s="14"/>
      <c r="X4" s="187">
        <v>42461</v>
      </c>
      <c r="Y4" s="15">
        <v>0</v>
      </c>
      <c r="Z4" s="16"/>
      <c r="AA4" s="17"/>
      <c r="AB4" s="18">
        <v>17254</v>
      </c>
      <c r="AH4" s="11">
        <v>42461</v>
      </c>
      <c r="AI4" s="12">
        <v>43593</v>
      </c>
      <c r="AJ4" s="40" t="s">
        <v>176</v>
      </c>
      <c r="AK4" s="186">
        <v>42461</v>
      </c>
      <c r="AL4" s="13">
        <v>60847</v>
      </c>
      <c r="AM4" s="14"/>
      <c r="AN4" s="187">
        <v>42461</v>
      </c>
      <c r="AO4" s="15">
        <v>0</v>
      </c>
      <c r="AP4" s="16"/>
      <c r="AQ4" s="17"/>
      <c r="AR4" s="18">
        <v>17254</v>
      </c>
    </row>
    <row r="5" spans="1:46" x14ac:dyDescent="0.25">
      <c r="B5" s="11">
        <v>42462</v>
      </c>
      <c r="C5" s="12">
        <v>73327.5</v>
      </c>
      <c r="D5" s="19" t="s">
        <v>188</v>
      </c>
      <c r="E5" s="20">
        <v>42462</v>
      </c>
      <c r="F5" s="13">
        <v>73327.5</v>
      </c>
      <c r="G5" s="21"/>
      <c r="H5" s="22">
        <v>42462</v>
      </c>
      <c r="I5" s="15">
        <v>0</v>
      </c>
      <c r="J5" s="23" t="s">
        <v>5</v>
      </c>
      <c r="K5" s="24">
        <v>649</v>
      </c>
      <c r="L5" s="18">
        <v>0</v>
      </c>
      <c r="R5" s="11">
        <v>42462</v>
      </c>
      <c r="S5" s="12">
        <v>73327.5</v>
      </c>
      <c r="T5" s="19" t="s">
        <v>188</v>
      </c>
      <c r="U5" s="20">
        <v>42462</v>
      </c>
      <c r="V5" s="13">
        <v>73327.5</v>
      </c>
      <c r="W5" s="21"/>
      <c r="X5" s="22">
        <v>42462</v>
      </c>
      <c r="Y5" s="15">
        <v>0</v>
      </c>
      <c r="Z5" s="23" t="s">
        <v>5</v>
      </c>
      <c r="AA5" s="24">
        <v>649</v>
      </c>
      <c r="AB5" s="18">
        <v>0</v>
      </c>
      <c r="AH5" s="11">
        <v>42462</v>
      </c>
      <c r="AI5" s="12">
        <v>73327.5</v>
      </c>
      <c r="AJ5" s="19" t="s">
        <v>188</v>
      </c>
      <c r="AK5" s="20">
        <v>42462</v>
      </c>
      <c r="AL5" s="13">
        <v>73327.5</v>
      </c>
      <c r="AM5" s="21"/>
      <c r="AN5" s="22">
        <v>42462</v>
      </c>
      <c r="AO5" s="15">
        <v>0</v>
      </c>
      <c r="AP5" s="23" t="s">
        <v>5</v>
      </c>
      <c r="AQ5" s="24">
        <v>0</v>
      </c>
      <c r="AR5" s="18">
        <v>0</v>
      </c>
    </row>
    <row r="6" spans="1:46" x14ac:dyDescent="0.25">
      <c r="B6" s="11">
        <v>42463</v>
      </c>
      <c r="C6" s="12">
        <v>60399.5</v>
      </c>
      <c r="D6" s="19" t="s">
        <v>177</v>
      </c>
      <c r="E6" s="20">
        <v>42463</v>
      </c>
      <c r="F6" s="13">
        <v>33583</v>
      </c>
      <c r="G6" s="14"/>
      <c r="H6" s="22">
        <v>42463</v>
      </c>
      <c r="I6" s="15">
        <v>0</v>
      </c>
      <c r="J6" s="285" t="s">
        <v>199</v>
      </c>
      <c r="K6" s="24">
        <v>20000</v>
      </c>
      <c r="L6" s="18">
        <v>0</v>
      </c>
      <c r="R6" s="11">
        <v>42463</v>
      </c>
      <c r="S6" s="12">
        <v>57823.5</v>
      </c>
      <c r="T6" s="19" t="s">
        <v>177</v>
      </c>
      <c r="U6" s="20">
        <v>42463</v>
      </c>
      <c r="V6" s="13">
        <v>33583</v>
      </c>
      <c r="W6" s="14"/>
      <c r="X6" s="22">
        <v>42463</v>
      </c>
      <c r="Y6" s="15">
        <v>0</v>
      </c>
      <c r="Z6" s="270" t="s">
        <v>199</v>
      </c>
      <c r="AA6" s="24">
        <v>20000</v>
      </c>
      <c r="AB6" s="18">
        <v>0</v>
      </c>
      <c r="AH6" s="11">
        <v>42463</v>
      </c>
      <c r="AI6" s="12">
        <v>57823.5</v>
      </c>
      <c r="AJ6" s="19" t="s">
        <v>177</v>
      </c>
      <c r="AK6" s="20">
        <v>42463</v>
      </c>
      <c r="AL6" s="13">
        <v>33583</v>
      </c>
      <c r="AM6" s="14"/>
      <c r="AN6" s="22">
        <v>42463</v>
      </c>
      <c r="AO6" s="15">
        <v>0</v>
      </c>
      <c r="AP6" s="270" t="s">
        <v>199</v>
      </c>
      <c r="AQ6" s="24">
        <v>20000</v>
      </c>
      <c r="AR6" s="18">
        <v>0</v>
      </c>
    </row>
    <row r="7" spans="1:46" x14ac:dyDescent="0.25">
      <c r="B7" s="11">
        <v>42464</v>
      </c>
      <c r="C7" s="12">
        <v>60188.5</v>
      </c>
      <c r="D7" s="26" t="s">
        <v>187</v>
      </c>
      <c r="E7" s="20">
        <v>42464</v>
      </c>
      <c r="F7" s="13">
        <v>60117</v>
      </c>
      <c r="G7" s="14"/>
      <c r="H7" s="22">
        <v>42464</v>
      </c>
      <c r="I7" s="15">
        <v>0</v>
      </c>
      <c r="J7" s="23" t="s">
        <v>7</v>
      </c>
      <c r="K7" s="24">
        <f>7187.5+7187.5+7187.5+7187.5</f>
        <v>28750</v>
      </c>
      <c r="L7" s="18">
        <v>0</v>
      </c>
      <c r="R7" s="11">
        <v>42464</v>
      </c>
      <c r="S7" s="12">
        <v>60188.5</v>
      </c>
      <c r="T7" s="26" t="s">
        <v>187</v>
      </c>
      <c r="U7" s="20">
        <v>42464</v>
      </c>
      <c r="V7" s="13">
        <v>60117</v>
      </c>
      <c r="W7" s="14"/>
      <c r="X7" s="22">
        <v>42464</v>
      </c>
      <c r="Y7" s="15">
        <v>0</v>
      </c>
      <c r="Z7" s="23" t="s">
        <v>7</v>
      </c>
      <c r="AA7" s="24">
        <f>7187.5+7187.5</f>
        <v>14375</v>
      </c>
      <c r="AB7" s="18">
        <v>0</v>
      </c>
      <c r="AH7" s="11">
        <v>42464</v>
      </c>
      <c r="AI7" s="12">
        <v>60188.5</v>
      </c>
      <c r="AJ7" s="26" t="s">
        <v>187</v>
      </c>
      <c r="AK7" s="20">
        <v>42464</v>
      </c>
      <c r="AL7" s="13">
        <v>60117</v>
      </c>
      <c r="AM7" s="14"/>
      <c r="AN7" s="22">
        <v>42464</v>
      </c>
      <c r="AO7" s="15">
        <v>0</v>
      </c>
      <c r="AP7" s="23" t="s">
        <v>7</v>
      </c>
      <c r="AQ7" s="24">
        <v>7187.5</v>
      </c>
      <c r="AR7" s="18">
        <v>0</v>
      </c>
    </row>
    <row r="8" spans="1:46" x14ac:dyDescent="0.25">
      <c r="B8" s="11">
        <v>42465</v>
      </c>
      <c r="C8" s="12">
        <v>23700</v>
      </c>
      <c r="D8" s="26" t="s">
        <v>189</v>
      </c>
      <c r="E8" s="20">
        <v>42465</v>
      </c>
      <c r="F8" s="13">
        <v>23700.7</v>
      </c>
      <c r="G8" s="14"/>
      <c r="H8" s="22">
        <v>42465</v>
      </c>
      <c r="I8" s="15">
        <v>0</v>
      </c>
      <c r="J8" s="23" t="s">
        <v>178</v>
      </c>
      <c r="K8" s="13">
        <v>6790.52</v>
      </c>
      <c r="L8" s="18">
        <v>0</v>
      </c>
      <c r="R8" s="11">
        <v>42465</v>
      </c>
      <c r="S8" s="12">
        <v>23700</v>
      </c>
      <c r="T8" s="26" t="s">
        <v>189</v>
      </c>
      <c r="U8" s="20">
        <v>42465</v>
      </c>
      <c r="V8" s="13">
        <v>23700.7</v>
      </c>
      <c r="W8" s="14"/>
      <c r="X8" s="22">
        <v>42465</v>
      </c>
      <c r="Y8" s="15">
        <v>0</v>
      </c>
      <c r="Z8" s="23" t="s">
        <v>178</v>
      </c>
      <c r="AA8" s="13">
        <v>6790.52</v>
      </c>
      <c r="AB8" s="18">
        <v>0</v>
      </c>
      <c r="AH8" s="11">
        <v>42465</v>
      </c>
      <c r="AI8" s="12">
        <v>23700</v>
      </c>
      <c r="AJ8" s="26" t="s">
        <v>189</v>
      </c>
      <c r="AK8" s="20">
        <v>42465</v>
      </c>
      <c r="AL8" s="13">
        <v>23700.7</v>
      </c>
      <c r="AM8" s="14"/>
      <c r="AN8" s="22">
        <v>42465</v>
      </c>
      <c r="AO8" s="15">
        <v>0</v>
      </c>
      <c r="AP8" s="23" t="s">
        <v>178</v>
      </c>
      <c r="AQ8" s="13">
        <v>6790.52</v>
      </c>
      <c r="AR8" s="18">
        <v>0</v>
      </c>
      <c r="AS8" s="157" t="s">
        <v>195</v>
      </c>
      <c r="AT8" s="269"/>
    </row>
    <row r="9" spans="1:46" x14ac:dyDescent="0.25">
      <c r="B9" s="11">
        <v>42466</v>
      </c>
      <c r="C9" s="12">
        <v>23968.5</v>
      </c>
      <c r="D9" s="26" t="s">
        <v>190</v>
      </c>
      <c r="E9" s="20">
        <v>42466</v>
      </c>
      <c r="F9" s="13">
        <v>25532.5</v>
      </c>
      <c r="G9" s="14"/>
      <c r="H9" s="22">
        <v>42466</v>
      </c>
      <c r="I9" s="15">
        <v>0</v>
      </c>
      <c r="J9" s="23" t="s">
        <v>179</v>
      </c>
      <c r="K9" s="13">
        <v>6790.52</v>
      </c>
      <c r="L9" s="18">
        <v>0</v>
      </c>
      <c r="R9" s="11">
        <v>42466</v>
      </c>
      <c r="S9" s="12">
        <v>23968.5</v>
      </c>
      <c r="T9" s="26" t="s">
        <v>190</v>
      </c>
      <c r="U9" s="20">
        <v>42466</v>
      </c>
      <c r="V9" s="13">
        <v>25532.5</v>
      </c>
      <c r="W9" s="14"/>
      <c r="X9" s="22">
        <v>42466</v>
      </c>
      <c r="Y9" s="15">
        <v>0</v>
      </c>
      <c r="Z9" s="23" t="s">
        <v>179</v>
      </c>
      <c r="AA9" s="13">
        <v>6790.52</v>
      </c>
      <c r="AB9" s="18">
        <v>0</v>
      </c>
      <c r="AH9" s="11">
        <v>42466</v>
      </c>
      <c r="AI9" s="12">
        <v>23968.5</v>
      </c>
      <c r="AJ9" s="26" t="s">
        <v>190</v>
      </c>
      <c r="AK9" s="20">
        <v>42466</v>
      </c>
      <c r="AL9" s="13">
        <v>25532.5</v>
      </c>
      <c r="AM9" s="14"/>
      <c r="AN9" s="22">
        <v>42466</v>
      </c>
      <c r="AO9" s="15">
        <v>0</v>
      </c>
      <c r="AP9" s="23" t="s">
        <v>179</v>
      </c>
      <c r="AQ9" s="13">
        <v>6790.52</v>
      </c>
      <c r="AR9" s="18">
        <v>0</v>
      </c>
    </row>
    <row r="10" spans="1:46" x14ac:dyDescent="0.25">
      <c r="A10" s="27"/>
      <c r="B10" s="11">
        <v>42467</v>
      </c>
      <c r="C10" s="12">
        <v>44683</v>
      </c>
      <c r="D10" s="26" t="s">
        <v>190</v>
      </c>
      <c r="E10" s="20">
        <v>42467</v>
      </c>
      <c r="F10" s="13">
        <v>61679</v>
      </c>
      <c r="G10" s="14"/>
      <c r="H10" s="22">
        <v>42467</v>
      </c>
      <c r="I10" s="15">
        <v>0</v>
      </c>
      <c r="J10" s="23" t="s">
        <v>180</v>
      </c>
      <c r="K10" s="13">
        <v>6790.52</v>
      </c>
      <c r="L10" s="18">
        <v>16996</v>
      </c>
      <c r="Q10" s="27"/>
      <c r="R10" s="11">
        <v>42467</v>
      </c>
      <c r="S10" s="12">
        <v>44683</v>
      </c>
      <c r="T10" s="26" t="s">
        <v>190</v>
      </c>
      <c r="U10" s="20">
        <v>42467</v>
      </c>
      <c r="V10" s="13">
        <v>61679</v>
      </c>
      <c r="W10" s="14"/>
      <c r="X10" s="22">
        <v>42467</v>
      </c>
      <c r="Y10" s="15">
        <v>0</v>
      </c>
      <c r="Z10" s="23" t="s">
        <v>180</v>
      </c>
      <c r="AA10" s="13">
        <v>6790.52</v>
      </c>
      <c r="AB10" s="18">
        <v>16996</v>
      </c>
      <c r="AG10" s="27"/>
      <c r="AH10" s="11">
        <v>42467</v>
      </c>
      <c r="AI10" s="12">
        <v>44683</v>
      </c>
      <c r="AJ10" s="26" t="s">
        <v>190</v>
      </c>
      <c r="AK10" s="20">
        <v>42467</v>
      </c>
      <c r="AL10" s="13">
        <v>61679</v>
      </c>
      <c r="AM10" s="14"/>
      <c r="AN10" s="22">
        <v>42467</v>
      </c>
      <c r="AO10" s="15">
        <v>0</v>
      </c>
      <c r="AP10" s="23" t="s">
        <v>180</v>
      </c>
      <c r="AQ10" s="13">
        <v>0</v>
      </c>
      <c r="AR10" s="18">
        <v>16996</v>
      </c>
    </row>
    <row r="11" spans="1:46" x14ac:dyDescent="0.25">
      <c r="B11" s="11">
        <v>42468</v>
      </c>
      <c r="C11" s="12">
        <v>144490</v>
      </c>
      <c r="D11" s="26" t="s">
        <v>191</v>
      </c>
      <c r="E11" s="20">
        <v>42468</v>
      </c>
      <c r="F11" s="13">
        <v>144489.9</v>
      </c>
      <c r="G11" s="14"/>
      <c r="H11" s="22">
        <v>42468</v>
      </c>
      <c r="I11" s="15">
        <v>0</v>
      </c>
      <c r="J11" s="23" t="s">
        <v>181</v>
      </c>
      <c r="K11" s="13">
        <v>6790.52</v>
      </c>
      <c r="L11" s="18">
        <v>0</v>
      </c>
      <c r="R11" s="11">
        <v>42468</v>
      </c>
      <c r="S11" s="12">
        <v>144490</v>
      </c>
      <c r="T11" s="26" t="s">
        <v>191</v>
      </c>
      <c r="U11" s="20">
        <v>42468</v>
      </c>
      <c r="V11" s="13">
        <v>144489.9</v>
      </c>
      <c r="W11" s="14"/>
      <c r="X11" s="22">
        <v>42468</v>
      </c>
      <c r="Y11" s="15">
        <v>0</v>
      </c>
      <c r="Z11" s="23" t="s">
        <v>181</v>
      </c>
      <c r="AA11" s="13">
        <v>0</v>
      </c>
      <c r="AB11" s="18">
        <v>0</v>
      </c>
      <c r="AH11" s="11">
        <v>42468</v>
      </c>
      <c r="AI11" s="12">
        <v>144490</v>
      </c>
      <c r="AJ11" s="26" t="s">
        <v>191</v>
      </c>
      <c r="AK11" s="20">
        <v>42468</v>
      </c>
      <c r="AL11" s="13">
        <v>144489.9</v>
      </c>
      <c r="AM11" s="14"/>
      <c r="AN11" s="22">
        <v>42468</v>
      </c>
      <c r="AO11" s="15">
        <v>0</v>
      </c>
      <c r="AP11" s="23" t="s">
        <v>181</v>
      </c>
      <c r="AQ11" s="13">
        <v>0</v>
      </c>
      <c r="AR11" s="18">
        <v>0</v>
      </c>
    </row>
    <row r="12" spans="1:46" x14ac:dyDescent="0.25">
      <c r="A12" s="28"/>
      <c r="B12" s="11">
        <v>42469</v>
      </c>
      <c r="C12" s="12">
        <v>91064.5</v>
      </c>
      <c r="D12" s="19" t="s">
        <v>192</v>
      </c>
      <c r="E12" s="20">
        <v>42469</v>
      </c>
      <c r="F12" s="13">
        <v>91064.5</v>
      </c>
      <c r="G12" s="14"/>
      <c r="H12" s="22">
        <v>42469</v>
      </c>
      <c r="I12" s="15">
        <v>0</v>
      </c>
      <c r="J12" s="23" t="s">
        <v>234</v>
      </c>
      <c r="K12" s="13">
        <v>6717.22</v>
      </c>
      <c r="L12" s="18">
        <v>0</v>
      </c>
      <c r="Q12" s="28"/>
      <c r="R12" s="11">
        <v>42469</v>
      </c>
      <c r="S12" s="12">
        <v>91064.5</v>
      </c>
      <c r="T12" s="19" t="s">
        <v>192</v>
      </c>
      <c r="U12" s="20">
        <v>42469</v>
      </c>
      <c r="V12" s="13">
        <v>91064.5</v>
      </c>
      <c r="W12" s="14"/>
      <c r="X12" s="22">
        <v>42469</v>
      </c>
      <c r="Y12" s="15">
        <v>0</v>
      </c>
      <c r="Z12" s="23" t="s">
        <v>117</v>
      </c>
      <c r="AA12" s="13">
        <v>0</v>
      </c>
      <c r="AB12" s="18">
        <v>0</v>
      </c>
      <c r="AG12" s="28"/>
      <c r="AH12" s="11">
        <v>42469</v>
      </c>
      <c r="AI12" s="12">
        <v>91064.5</v>
      </c>
      <c r="AJ12" s="19" t="s">
        <v>192</v>
      </c>
      <c r="AK12" s="20">
        <v>42469</v>
      </c>
      <c r="AL12" s="13">
        <v>91064.5</v>
      </c>
      <c r="AM12" s="14"/>
      <c r="AN12" s="22">
        <v>42469</v>
      </c>
      <c r="AO12" s="15">
        <v>0</v>
      </c>
      <c r="AP12" s="23" t="s">
        <v>117</v>
      </c>
      <c r="AQ12" s="13">
        <v>0</v>
      </c>
      <c r="AR12" s="18">
        <v>0</v>
      </c>
    </row>
    <row r="13" spans="1:46" x14ac:dyDescent="0.25">
      <c r="A13" s="28"/>
      <c r="B13" s="11">
        <v>42470</v>
      </c>
      <c r="C13" s="12">
        <v>50728</v>
      </c>
      <c r="D13" s="40" t="s">
        <v>193</v>
      </c>
      <c r="E13" s="20">
        <v>42470</v>
      </c>
      <c r="F13" s="13">
        <v>50727.85</v>
      </c>
      <c r="G13" s="14"/>
      <c r="H13" s="22">
        <v>42470</v>
      </c>
      <c r="I13" s="15">
        <v>0</v>
      </c>
      <c r="J13" s="30" t="s">
        <v>8</v>
      </c>
      <c r="K13" s="13">
        <v>800</v>
      </c>
      <c r="L13" s="18">
        <v>0</v>
      </c>
      <c r="Q13" s="28"/>
      <c r="R13" s="11">
        <v>42470</v>
      </c>
      <c r="S13" s="12">
        <v>50728</v>
      </c>
      <c r="T13" s="40" t="s">
        <v>193</v>
      </c>
      <c r="U13" s="20">
        <v>42470</v>
      </c>
      <c r="V13" s="13">
        <v>50727.85</v>
      </c>
      <c r="W13" s="14"/>
      <c r="X13" s="22">
        <v>42470</v>
      </c>
      <c r="Y13" s="15">
        <v>0</v>
      </c>
      <c r="Z13" s="30" t="s">
        <v>8</v>
      </c>
      <c r="AA13" s="13">
        <v>800</v>
      </c>
      <c r="AB13" s="18">
        <v>0</v>
      </c>
      <c r="AG13" s="28"/>
      <c r="AH13" s="11">
        <v>42470</v>
      </c>
      <c r="AI13" s="12">
        <v>50728</v>
      </c>
      <c r="AJ13" s="40" t="s">
        <v>193</v>
      </c>
      <c r="AK13" s="20">
        <v>42470</v>
      </c>
      <c r="AL13" s="13">
        <v>50727.85</v>
      </c>
      <c r="AM13" s="14"/>
      <c r="AN13" s="22">
        <v>42470</v>
      </c>
      <c r="AO13" s="15">
        <v>0</v>
      </c>
      <c r="AP13" s="30" t="s">
        <v>8</v>
      </c>
      <c r="AQ13" s="13">
        <v>800</v>
      </c>
      <c r="AR13" s="18">
        <v>0</v>
      </c>
    </row>
    <row r="14" spans="1:46" x14ac:dyDescent="0.25">
      <c r="B14" s="11">
        <v>42471</v>
      </c>
      <c r="C14" s="12">
        <v>78800</v>
      </c>
      <c r="D14" s="19" t="s">
        <v>197</v>
      </c>
      <c r="E14" s="20">
        <v>42471</v>
      </c>
      <c r="F14" s="13">
        <v>78799.7</v>
      </c>
      <c r="G14" s="14"/>
      <c r="H14" s="22">
        <v>42471</v>
      </c>
      <c r="I14" s="15">
        <v>0</v>
      </c>
      <c r="J14" s="31">
        <v>42466</v>
      </c>
      <c r="K14" s="13">
        <v>0</v>
      </c>
      <c r="L14" s="18">
        <v>0</v>
      </c>
      <c r="R14" s="11">
        <v>42471</v>
      </c>
      <c r="S14" s="12">
        <v>78800</v>
      </c>
      <c r="T14" s="19" t="s">
        <v>197</v>
      </c>
      <c r="U14" s="20">
        <v>42471</v>
      </c>
      <c r="V14" s="13">
        <v>78799.7</v>
      </c>
      <c r="W14" s="14"/>
      <c r="X14" s="22">
        <v>42471</v>
      </c>
      <c r="Y14" s="15">
        <v>0</v>
      </c>
      <c r="Z14" s="31">
        <v>42466</v>
      </c>
      <c r="AA14" s="13">
        <v>0</v>
      </c>
      <c r="AB14" s="18">
        <v>0</v>
      </c>
      <c r="AH14" s="11">
        <v>42471</v>
      </c>
      <c r="AI14" s="12">
        <v>78800</v>
      </c>
      <c r="AJ14" s="19" t="s">
        <v>197</v>
      </c>
      <c r="AK14" s="20">
        <v>42471</v>
      </c>
      <c r="AL14" s="13">
        <v>78799.7</v>
      </c>
      <c r="AM14" s="14"/>
      <c r="AN14" s="22">
        <v>42471</v>
      </c>
      <c r="AO14" s="15">
        <v>0</v>
      </c>
      <c r="AP14" s="31">
        <v>42466</v>
      </c>
      <c r="AQ14" s="13">
        <v>0</v>
      </c>
      <c r="AR14" s="18">
        <v>0</v>
      </c>
    </row>
    <row r="15" spans="1:46" x14ac:dyDescent="0.25">
      <c r="A15" s="28"/>
      <c r="B15" s="11">
        <v>42472</v>
      </c>
      <c r="C15" s="12">
        <v>6994</v>
      </c>
      <c r="D15" s="19" t="s">
        <v>200</v>
      </c>
      <c r="E15" s="20">
        <v>42472</v>
      </c>
      <c r="F15" s="13">
        <v>26994</v>
      </c>
      <c r="G15" s="14"/>
      <c r="H15" s="22">
        <v>42472</v>
      </c>
      <c r="I15" s="15">
        <v>0</v>
      </c>
      <c r="J15" s="32" t="s">
        <v>201</v>
      </c>
      <c r="K15" s="13">
        <v>813.74</v>
      </c>
      <c r="L15" s="18">
        <v>0</v>
      </c>
      <c r="Q15" s="28"/>
      <c r="R15" s="11">
        <v>42472</v>
      </c>
      <c r="S15" s="12">
        <v>6994</v>
      </c>
      <c r="T15" s="19" t="s">
        <v>200</v>
      </c>
      <c r="U15" s="20">
        <v>42472</v>
      </c>
      <c r="V15" s="13">
        <v>26994</v>
      </c>
      <c r="W15" s="14"/>
      <c r="X15" s="22">
        <v>42472</v>
      </c>
      <c r="Y15" s="15">
        <v>0</v>
      </c>
      <c r="Z15" s="32" t="s">
        <v>201</v>
      </c>
      <c r="AA15" s="13">
        <v>813.74</v>
      </c>
      <c r="AB15" s="18">
        <v>0</v>
      </c>
      <c r="AG15" s="28"/>
      <c r="AH15" s="11">
        <v>42472</v>
      </c>
      <c r="AI15" s="12">
        <v>6994</v>
      </c>
      <c r="AJ15" s="19" t="s">
        <v>200</v>
      </c>
      <c r="AK15" s="20">
        <v>42472</v>
      </c>
      <c r="AL15" s="230">
        <v>26994</v>
      </c>
      <c r="AM15" s="267"/>
      <c r="AN15" s="268">
        <v>42472</v>
      </c>
      <c r="AO15" s="231">
        <v>0</v>
      </c>
      <c r="AP15" s="32" t="s">
        <v>9</v>
      </c>
      <c r="AQ15" s="13">
        <v>0</v>
      </c>
      <c r="AR15" s="18">
        <v>0</v>
      </c>
    </row>
    <row r="16" spans="1:46" x14ac:dyDescent="0.25">
      <c r="A16" s="28"/>
      <c r="B16" s="11">
        <v>42473</v>
      </c>
      <c r="C16" s="12">
        <v>107136</v>
      </c>
      <c r="D16" s="19" t="s">
        <v>202</v>
      </c>
      <c r="E16" s="20">
        <v>42473</v>
      </c>
      <c r="F16" s="13">
        <v>108015.5</v>
      </c>
      <c r="G16" s="14"/>
      <c r="H16" s="22">
        <v>42473</v>
      </c>
      <c r="I16" s="15">
        <v>66</v>
      </c>
      <c r="J16" s="34"/>
      <c r="K16" s="13">
        <v>0</v>
      </c>
      <c r="L16" s="18">
        <v>0</v>
      </c>
      <c r="Q16" s="28"/>
      <c r="R16" s="11">
        <v>42473</v>
      </c>
      <c r="S16" s="12">
        <v>107136</v>
      </c>
      <c r="T16" s="19" t="s">
        <v>202</v>
      </c>
      <c r="U16" s="20">
        <v>42473</v>
      </c>
      <c r="V16" s="13">
        <v>108015.5</v>
      </c>
      <c r="W16" s="14"/>
      <c r="X16" s="22">
        <v>42473</v>
      </c>
      <c r="Y16" s="15">
        <v>66</v>
      </c>
      <c r="Z16" s="34"/>
      <c r="AA16" s="13">
        <v>0</v>
      </c>
      <c r="AB16" s="18">
        <v>0</v>
      </c>
      <c r="AE16" s="216"/>
      <c r="AG16" s="28"/>
      <c r="AH16" s="11">
        <v>42473</v>
      </c>
      <c r="AI16" s="12"/>
      <c r="AJ16" s="19"/>
      <c r="AK16" s="20">
        <v>42473</v>
      </c>
      <c r="AL16" s="13"/>
      <c r="AM16" s="14"/>
      <c r="AN16" s="22">
        <v>42473</v>
      </c>
      <c r="AO16" s="15"/>
      <c r="AP16" s="34"/>
      <c r="AQ16" s="13">
        <v>0</v>
      </c>
      <c r="AR16" s="18"/>
    </row>
    <row r="17" spans="1:45" x14ac:dyDescent="0.25">
      <c r="A17" s="28"/>
      <c r="B17" s="11">
        <v>42474</v>
      </c>
      <c r="C17" s="12">
        <v>59003.5</v>
      </c>
      <c r="D17" s="19" t="s">
        <v>203</v>
      </c>
      <c r="E17" s="20">
        <v>42474</v>
      </c>
      <c r="F17" s="13">
        <v>59003.4</v>
      </c>
      <c r="G17" s="14"/>
      <c r="H17" s="22">
        <v>42474</v>
      </c>
      <c r="I17" s="15">
        <v>0</v>
      </c>
      <c r="J17" s="284" t="s">
        <v>210</v>
      </c>
      <c r="K17" s="13">
        <v>739.73</v>
      </c>
      <c r="L17" s="18">
        <v>0</v>
      </c>
      <c r="M17" s="274"/>
      <c r="Q17" s="28"/>
      <c r="R17" s="11">
        <v>42474</v>
      </c>
      <c r="S17" s="12">
        <v>59003.5</v>
      </c>
      <c r="T17" s="19" t="s">
        <v>203</v>
      </c>
      <c r="U17" s="20">
        <v>42474</v>
      </c>
      <c r="V17" s="13">
        <v>59003.4</v>
      </c>
      <c r="W17" s="14"/>
      <c r="X17" s="22">
        <v>42474</v>
      </c>
      <c r="Y17" s="15">
        <v>0</v>
      </c>
      <c r="Z17" s="35"/>
      <c r="AA17" s="13">
        <v>0</v>
      </c>
      <c r="AB17" s="18">
        <v>0</v>
      </c>
      <c r="AC17" s="274"/>
      <c r="AE17" s="216"/>
      <c r="AF17" s="216"/>
      <c r="AG17" s="28"/>
      <c r="AH17" s="11">
        <v>42474</v>
      </c>
      <c r="AI17" s="12"/>
      <c r="AJ17" s="19"/>
      <c r="AK17" s="20">
        <v>42474</v>
      </c>
      <c r="AL17" s="13"/>
      <c r="AM17" s="14"/>
      <c r="AN17" s="22">
        <v>42474</v>
      </c>
      <c r="AO17" s="15"/>
      <c r="AP17" s="35" t="s">
        <v>10</v>
      </c>
      <c r="AQ17" s="13">
        <v>0</v>
      </c>
      <c r="AR17" s="18"/>
    </row>
    <row r="18" spans="1:45" x14ac:dyDescent="0.25">
      <c r="B18" s="11">
        <v>42475</v>
      </c>
      <c r="C18" s="12">
        <v>67585.7</v>
      </c>
      <c r="D18" s="19" t="s">
        <v>204</v>
      </c>
      <c r="E18" s="20">
        <v>42475</v>
      </c>
      <c r="F18" s="13">
        <v>71399.199999999997</v>
      </c>
      <c r="G18" s="14"/>
      <c r="H18" s="22">
        <v>42475</v>
      </c>
      <c r="I18" s="15">
        <v>0</v>
      </c>
      <c r="J18" s="36" t="s">
        <v>211</v>
      </c>
      <c r="K18" s="24">
        <v>0</v>
      </c>
      <c r="L18" s="18">
        <v>0</v>
      </c>
      <c r="M18" s="274"/>
      <c r="R18" s="11">
        <v>42475</v>
      </c>
      <c r="S18" s="12">
        <v>67585.7</v>
      </c>
      <c r="T18" s="19" t="s">
        <v>204</v>
      </c>
      <c r="U18" s="20">
        <v>42475</v>
      </c>
      <c r="V18" s="13">
        <v>71399.199999999997</v>
      </c>
      <c r="W18" s="14"/>
      <c r="X18" s="22">
        <v>42475</v>
      </c>
      <c r="Y18" s="15">
        <v>0</v>
      </c>
      <c r="Z18" s="36"/>
      <c r="AA18" s="24">
        <v>0</v>
      </c>
      <c r="AB18" s="18">
        <v>0</v>
      </c>
      <c r="AC18" s="273">
        <v>21651</v>
      </c>
      <c r="AE18" s="216"/>
      <c r="AF18" s="216"/>
      <c r="AH18" s="11">
        <v>42475</v>
      </c>
      <c r="AI18" s="12"/>
      <c r="AJ18" s="19"/>
      <c r="AK18" s="20">
        <v>42475</v>
      </c>
      <c r="AL18" s="13"/>
      <c r="AM18" s="14"/>
      <c r="AN18" s="22">
        <v>42475</v>
      </c>
      <c r="AO18" s="15"/>
      <c r="AP18" s="36"/>
      <c r="AQ18" s="24">
        <v>0</v>
      </c>
      <c r="AR18" s="18"/>
    </row>
    <row r="19" spans="1:45" x14ac:dyDescent="0.25">
      <c r="A19" s="28"/>
      <c r="B19" s="11">
        <v>42476</v>
      </c>
      <c r="C19" s="12">
        <v>61074.5</v>
      </c>
      <c r="D19" s="19" t="s">
        <v>204</v>
      </c>
      <c r="E19" s="20">
        <v>42476</v>
      </c>
      <c r="F19" s="13">
        <v>61074.5</v>
      </c>
      <c r="G19" s="14"/>
      <c r="H19" s="22">
        <v>42476</v>
      </c>
      <c r="I19" s="15">
        <v>0</v>
      </c>
      <c r="J19" s="37"/>
      <c r="K19" s="13">
        <v>0</v>
      </c>
      <c r="L19" s="18">
        <v>0</v>
      </c>
      <c r="M19" s="274"/>
      <c r="Q19" s="28"/>
      <c r="R19" s="11">
        <v>42476</v>
      </c>
      <c r="S19" s="12">
        <v>61074.5</v>
      </c>
      <c r="T19" s="19" t="s">
        <v>204</v>
      </c>
      <c r="U19" s="20">
        <v>42476</v>
      </c>
      <c r="V19" s="13">
        <v>61074.5</v>
      </c>
      <c r="W19" s="14"/>
      <c r="X19" s="22">
        <v>42476</v>
      </c>
      <c r="Y19" s="15">
        <v>0</v>
      </c>
      <c r="Z19" s="37"/>
      <c r="AA19" s="13">
        <v>0</v>
      </c>
      <c r="AB19" s="18">
        <v>0</v>
      </c>
      <c r="AC19" s="273">
        <v>61074.5</v>
      </c>
      <c r="AE19" s="216"/>
      <c r="AF19" s="216"/>
      <c r="AG19" s="28"/>
      <c r="AH19" s="11">
        <v>42476</v>
      </c>
      <c r="AI19" s="12"/>
      <c r="AJ19" s="19"/>
      <c r="AK19" s="20">
        <v>42476</v>
      </c>
      <c r="AL19" s="13"/>
      <c r="AM19" s="14"/>
      <c r="AN19" s="22">
        <v>42476</v>
      </c>
      <c r="AO19" s="15"/>
      <c r="AP19" s="37"/>
      <c r="AQ19" s="13">
        <v>0</v>
      </c>
      <c r="AR19" s="18"/>
    </row>
    <row r="20" spans="1:45" x14ac:dyDescent="0.25">
      <c r="B20" s="11">
        <v>42477</v>
      </c>
      <c r="C20" s="12">
        <v>69197.5</v>
      </c>
      <c r="D20" s="19" t="s">
        <v>204</v>
      </c>
      <c r="E20" s="20">
        <v>42477</v>
      </c>
      <c r="F20" s="13">
        <v>71682.5</v>
      </c>
      <c r="G20" s="14"/>
      <c r="H20" s="22">
        <v>42477</v>
      </c>
      <c r="I20" s="38">
        <v>0</v>
      </c>
      <c r="J20" s="340"/>
      <c r="K20" s="39">
        <v>0</v>
      </c>
      <c r="L20" s="18">
        <v>0</v>
      </c>
      <c r="M20" s="274"/>
      <c r="R20" s="11">
        <v>42477</v>
      </c>
      <c r="S20" s="12">
        <v>69197.5</v>
      </c>
      <c r="T20" s="19" t="s">
        <v>204</v>
      </c>
      <c r="U20" s="20">
        <v>42477</v>
      </c>
      <c r="V20" s="13">
        <v>71682.5</v>
      </c>
      <c r="W20" s="14"/>
      <c r="X20" s="22">
        <v>42477</v>
      </c>
      <c r="Y20" s="38">
        <v>0</v>
      </c>
      <c r="Z20" s="340"/>
      <c r="AA20" s="39">
        <v>0</v>
      </c>
      <c r="AB20" s="18">
        <v>0</v>
      </c>
      <c r="AC20" s="273">
        <v>69197.5</v>
      </c>
      <c r="AE20" s="216"/>
      <c r="AF20" s="216"/>
      <c r="AH20" s="11">
        <v>42477</v>
      </c>
      <c r="AI20" s="12"/>
      <c r="AJ20" s="19"/>
      <c r="AK20" s="20">
        <v>42477</v>
      </c>
      <c r="AL20" s="13"/>
      <c r="AM20" s="14"/>
      <c r="AN20" s="22">
        <v>42477</v>
      </c>
      <c r="AO20" s="38"/>
      <c r="AP20" s="340"/>
      <c r="AQ20" s="39">
        <v>0</v>
      </c>
      <c r="AR20" s="18"/>
    </row>
    <row r="21" spans="1:45" x14ac:dyDescent="0.25">
      <c r="B21" s="11">
        <v>42478</v>
      </c>
      <c r="C21" s="12">
        <v>51074.33</v>
      </c>
      <c r="D21" s="40" t="s">
        <v>207</v>
      </c>
      <c r="E21" s="20">
        <v>42478</v>
      </c>
      <c r="F21" s="13">
        <v>83795</v>
      </c>
      <c r="G21" s="14"/>
      <c r="H21" s="22">
        <v>42478</v>
      </c>
      <c r="I21" s="38">
        <v>0</v>
      </c>
      <c r="J21" s="341"/>
      <c r="K21" s="24">
        <v>0</v>
      </c>
      <c r="L21" s="18">
        <f>18874+26658</f>
        <v>45532</v>
      </c>
      <c r="M21" s="277">
        <v>12811.5</v>
      </c>
      <c r="N21" s="278" t="s">
        <v>216</v>
      </c>
      <c r="R21" s="11">
        <v>42478</v>
      </c>
      <c r="S21" s="12">
        <v>51074.33</v>
      </c>
      <c r="T21" s="40" t="s">
        <v>207</v>
      </c>
      <c r="U21" s="20">
        <v>42478</v>
      </c>
      <c r="V21" s="13">
        <v>83795</v>
      </c>
      <c r="W21" s="14"/>
      <c r="X21" s="22">
        <v>42478</v>
      </c>
      <c r="Y21" s="38">
        <v>0</v>
      </c>
      <c r="Z21" s="341"/>
      <c r="AA21" s="24">
        <v>0</v>
      </c>
      <c r="AB21" s="18">
        <f>18874+26658</f>
        <v>45532</v>
      </c>
      <c r="AC21" s="273">
        <f>20000+31074.5</f>
        <v>51074.5</v>
      </c>
      <c r="AE21" s="18"/>
      <c r="AF21" s="216"/>
      <c r="AH21" s="11">
        <v>42478</v>
      </c>
      <c r="AI21" s="12"/>
      <c r="AJ21" s="40"/>
      <c r="AK21" s="20">
        <v>42478</v>
      </c>
      <c r="AL21" s="13"/>
      <c r="AM21" s="14"/>
      <c r="AN21" s="22">
        <v>42478</v>
      </c>
      <c r="AO21" s="38"/>
      <c r="AP21" s="341"/>
      <c r="AQ21" s="24">
        <v>0</v>
      </c>
      <c r="AR21" s="18"/>
    </row>
    <row r="22" spans="1:45" x14ac:dyDescent="0.25">
      <c r="B22" s="11">
        <v>42479</v>
      </c>
      <c r="C22" s="12">
        <v>22025.8</v>
      </c>
      <c r="D22" s="40" t="s">
        <v>208</v>
      </c>
      <c r="E22" s="20">
        <v>42479</v>
      </c>
      <c r="F22" s="13">
        <v>22025.8</v>
      </c>
      <c r="G22" s="21"/>
      <c r="H22" s="22">
        <v>42479</v>
      </c>
      <c r="I22" s="15">
        <v>0</v>
      </c>
      <c r="J22" s="23"/>
      <c r="K22" s="24">
        <v>0</v>
      </c>
      <c r="L22" s="18">
        <v>0</v>
      </c>
      <c r="M22" s="274"/>
      <c r="R22" s="11">
        <v>42479</v>
      </c>
      <c r="S22" s="12">
        <v>22025.8</v>
      </c>
      <c r="T22" s="40" t="s">
        <v>208</v>
      </c>
      <c r="U22" s="20">
        <v>42479</v>
      </c>
      <c r="V22" s="230">
        <v>22025.8</v>
      </c>
      <c r="W22" s="271"/>
      <c r="X22" s="268">
        <v>42479</v>
      </c>
      <c r="Y22" s="231">
        <v>0</v>
      </c>
      <c r="Z22" s="23"/>
      <c r="AA22" s="24">
        <v>0</v>
      </c>
      <c r="AB22" s="18">
        <v>0</v>
      </c>
      <c r="AC22" s="273">
        <v>22026</v>
      </c>
      <c r="AE22" s="216"/>
      <c r="AF22" s="18"/>
      <c r="AH22" s="11">
        <v>42479</v>
      </c>
      <c r="AI22" s="12"/>
      <c r="AJ22" s="40"/>
      <c r="AK22" s="20">
        <v>42479</v>
      </c>
      <c r="AL22" s="13"/>
      <c r="AM22" s="21"/>
      <c r="AN22" s="22">
        <v>42479</v>
      </c>
      <c r="AO22" s="15"/>
      <c r="AP22" s="23"/>
      <c r="AQ22" s="24">
        <v>0</v>
      </c>
      <c r="AR22" s="18"/>
      <c r="AS22" s="33"/>
    </row>
    <row r="23" spans="1:45" x14ac:dyDescent="0.25">
      <c r="A23" s="28"/>
      <c r="B23" s="11">
        <v>42480</v>
      </c>
      <c r="C23" s="12">
        <v>60446</v>
      </c>
      <c r="D23" s="40" t="s">
        <v>208</v>
      </c>
      <c r="E23" s="20">
        <v>42480</v>
      </c>
      <c r="F23" s="13">
        <v>73257.5</v>
      </c>
      <c r="G23" s="14"/>
      <c r="H23" s="22">
        <v>42480</v>
      </c>
      <c r="I23" s="15">
        <v>0</v>
      </c>
      <c r="J23" s="32"/>
      <c r="K23" s="13">
        <v>0</v>
      </c>
      <c r="L23" s="200">
        <v>-12811.5</v>
      </c>
      <c r="M23" s="279" t="s">
        <v>217</v>
      </c>
      <c r="Q23" s="28"/>
      <c r="R23" s="11">
        <v>42480</v>
      </c>
      <c r="S23" s="12"/>
      <c r="T23" s="40"/>
      <c r="U23" s="20">
        <v>42480</v>
      </c>
      <c r="V23" s="13"/>
      <c r="W23" s="14"/>
      <c r="X23" s="22">
        <v>42480</v>
      </c>
      <c r="Y23" s="15"/>
      <c r="Z23" s="32"/>
      <c r="AA23" s="13">
        <v>0</v>
      </c>
      <c r="AB23" s="18">
        <v>0</v>
      </c>
      <c r="AE23" s="216"/>
      <c r="AF23" s="216"/>
      <c r="AG23" s="28"/>
      <c r="AH23" s="11">
        <v>42480</v>
      </c>
      <c r="AI23" s="12"/>
      <c r="AJ23" s="40"/>
      <c r="AK23" s="20">
        <v>42480</v>
      </c>
      <c r="AL23" s="13"/>
      <c r="AM23" s="14"/>
      <c r="AN23" s="22">
        <v>42480</v>
      </c>
      <c r="AO23" s="15"/>
      <c r="AP23" s="32"/>
      <c r="AQ23" s="13">
        <v>0</v>
      </c>
      <c r="AR23" s="18">
        <v>0</v>
      </c>
      <c r="AS23" s="33"/>
    </row>
    <row r="24" spans="1:45" x14ac:dyDescent="0.25">
      <c r="A24" s="28"/>
      <c r="B24" s="11">
        <v>42481</v>
      </c>
      <c r="C24" s="12">
        <v>50301.5</v>
      </c>
      <c r="D24" s="40" t="s">
        <v>208</v>
      </c>
      <c r="E24" s="20">
        <v>42481</v>
      </c>
      <c r="F24" s="13">
        <v>50301.5</v>
      </c>
      <c r="G24" s="14"/>
      <c r="H24" s="22">
        <v>42481</v>
      </c>
      <c r="I24" s="15">
        <v>0</v>
      </c>
      <c r="J24" s="34"/>
      <c r="K24" s="24"/>
      <c r="L24" s="18">
        <v>0</v>
      </c>
      <c r="M24" s="274"/>
      <c r="N24" s="81"/>
      <c r="Q24" s="28"/>
      <c r="R24" s="11">
        <v>42481</v>
      </c>
      <c r="S24" s="12"/>
      <c r="T24" s="40"/>
      <c r="U24" s="20">
        <v>42481</v>
      </c>
      <c r="V24" s="13"/>
      <c r="W24" s="14"/>
      <c r="X24" s="22">
        <v>42481</v>
      </c>
      <c r="Y24" s="15"/>
      <c r="Z24" s="34"/>
      <c r="AA24" s="24"/>
      <c r="AB24" s="18"/>
      <c r="AE24" s="216"/>
      <c r="AF24" s="216"/>
      <c r="AG24" s="28"/>
      <c r="AH24" s="11">
        <v>42481</v>
      </c>
      <c r="AI24" s="12"/>
      <c r="AJ24" s="40"/>
      <c r="AK24" s="20">
        <v>42481</v>
      </c>
      <c r="AL24" s="13"/>
      <c r="AM24" s="14"/>
      <c r="AN24" s="22">
        <v>42481</v>
      </c>
      <c r="AO24" s="15"/>
      <c r="AP24" s="34"/>
      <c r="AQ24" s="24"/>
      <c r="AR24" s="18"/>
    </row>
    <row r="25" spans="1:45" x14ac:dyDescent="0.25">
      <c r="B25" s="11">
        <v>42482</v>
      </c>
      <c r="C25" s="12">
        <v>107607</v>
      </c>
      <c r="D25" s="19" t="s">
        <v>209</v>
      </c>
      <c r="E25" s="20">
        <v>42482</v>
      </c>
      <c r="F25" s="13">
        <v>108876</v>
      </c>
      <c r="G25" s="14"/>
      <c r="H25" s="22">
        <v>42482</v>
      </c>
      <c r="I25" s="15">
        <v>66</v>
      </c>
      <c r="J25" s="23"/>
      <c r="K25" s="24"/>
      <c r="L25" s="18">
        <v>0</v>
      </c>
      <c r="M25" s="274"/>
      <c r="R25" s="11">
        <v>42482</v>
      </c>
      <c r="S25" s="12"/>
      <c r="T25" s="19"/>
      <c r="U25" s="20">
        <v>42482</v>
      </c>
      <c r="V25" s="13"/>
      <c r="W25" s="14"/>
      <c r="X25" s="22">
        <v>42482</v>
      </c>
      <c r="Y25" s="15"/>
      <c r="Z25" s="23"/>
      <c r="AA25" s="24"/>
      <c r="AB25" s="18"/>
      <c r="AE25" s="216"/>
      <c r="AF25" s="216"/>
      <c r="AH25" s="11">
        <v>42482</v>
      </c>
      <c r="AI25" s="12"/>
      <c r="AJ25" s="19"/>
      <c r="AK25" s="20">
        <v>42482</v>
      </c>
      <c r="AL25" s="13"/>
      <c r="AM25" s="14"/>
      <c r="AN25" s="22">
        <v>42482</v>
      </c>
      <c r="AO25" s="15"/>
      <c r="AP25" s="23"/>
      <c r="AQ25" s="24"/>
      <c r="AR25" s="18"/>
    </row>
    <row r="26" spans="1:45" x14ac:dyDescent="0.25">
      <c r="B26" s="11">
        <v>42483</v>
      </c>
      <c r="C26" s="12">
        <v>45654.27</v>
      </c>
      <c r="D26" s="19" t="s">
        <v>212</v>
      </c>
      <c r="E26" s="20">
        <v>42483</v>
      </c>
      <c r="F26" s="13">
        <v>46394</v>
      </c>
      <c r="G26" s="14"/>
      <c r="H26" s="22">
        <v>42483</v>
      </c>
      <c r="I26" s="15">
        <v>0</v>
      </c>
      <c r="J26" s="23"/>
      <c r="K26" s="24"/>
      <c r="L26" s="18">
        <v>0</v>
      </c>
      <c r="M26" s="274"/>
      <c r="R26" s="11">
        <v>42483</v>
      </c>
      <c r="S26" s="12"/>
      <c r="T26" s="19"/>
      <c r="U26" s="20">
        <v>42483</v>
      </c>
      <c r="V26" s="13"/>
      <c r="W26" s="14"/>
      <c r="X26" s="22">
        <v>42483</v>
      </c>
      <c r="Y26" s="15"/>
      <c r="Z26" s="23"/>
      <c r="AA26" s="24"/>
      <c r="AB26" s="18"/>
      <c r="AE26" s="216"/>
      <c r="AF26" s="216"/>
      <c r="AH26" s="11">
        <v>42483</v>
      </c>
      <c r="AI26" s="12"/>
      <c r="AJ26" s="19"/>
      <c r="AK26" s="20">
        <v>42483</v>
      </c>
      <c r="AL26" s="13"/>
      <c r="AM26" s="14"/>
      <c r="AN26" s="22">
        <v>42483</v>
      </c>
      <c r="AO26" s="15"/>
      <c r="AP26" s="23"/>
      <c r="AQ26" s="24"/>
      <c r="AR26" s="18"/>
    </row>
    <row r="27" spans="1:45" x14ac:dyDescent="0.25">
      <c r="B27" s="11">
        <v>42484</v>
      </c>
      <c r="C27" s="12">
        <v>27464</v>
      </c>
      <c r="D27" s="19" t="s">
        <v>213</v>
      </c>
      <c r="E27" s="20">
        <v>42484</v>
      </c>
      <c r="F27" s="13">
        <v>27464</v>
      </c>
      <c r="G27" s="14"/>
      <c r="H27" s="22">
        <v>42484</v>
      </c>
      <c r="I27" s="15">
        <v>0</v>
      </c>
      <c r="J27" s="23"/>
      <c r="K27" s="24"/>
      <c r="L27" s="18">
        <v>0</v>
      </c>
      <c r="M27" s="274"/>
      <c r="R27" s="11">
        <v>42484</v>
      </c>
      <c r="S27" s="12"/>
      <c r="T27" s="19"/>
      <c r="U27" s="20">
        <v>42484</v>
      </c>
      <c r="V27" s="13"/>
      <c r="W27" s="14"/>
      <c r="X27" s="22">
        <v>42484</v>
      </c>
      <c r="Y27" s="15"/>
      <c r="Z27" s="23"/>
      <c r="AA27" s="24"/>
      <c r="AB27" s="18"/>
      <c r="AE27" s="216"/>
      <c r="AF27" s="272"/>
      <c r="AH27" s="11">
        <v>42484</v>
      </c>
      <c r="AI27" s="12"/>
      <c r="AJ27" s="19"/>
      <c r="AK27" s="20">
        <v>42484</v>
      </c>
      <c r="AL27" s="13"/>
      <c r="AM27" s="14"/>
      <c r="AN27" s="22">
        <v>42484</v>
      </c>
      <c r="AO27" s="15"/>
      <c r="AP27" s="23"/>
      <c r="AQ27" s="24"/>
      <c r="AR27" s="18"/>
    </row>
    <row r="28" spans="1:45" x14ac:dyDescent="0.25">
      <c r="B28" s="11">
        <v>42485</v>
      </c>
      <c r="C28" s="12">
        <v>82094</v>
      </c>
      <c r="D28" s="19" t="s">
        <v>227</v>
      </c>
      <c r="E28" s="20">
        <v>42485</v>
      </c>
      <c r="F28" s="13">
        <v>82094</v>
      </c>
      <c r="G28" s="14"/>
      <c r="H28" s="22">
        <v>42485</v>
      </c>
      <c r="I28" s="15">
        <v>0</v>
      </c>
      <c r="J28" s="23"/>
      <c r="K28" s="24"/>
      <c r="L28" s="18">
        <v>0</v>
      </c>
      <c r="R28" s="11">
        <v>42485</v>
      </c>
      <c r="S28" s="12"/>
      <c r="T28" s="19"/>
      <c r="U28" s="20">
        <v>42485</v>
      </c>
      <c r="V28" s="13"/>
      <c r="W28" s="14"/>
      <c r="X28" s="22">
        <v>42485</v>
      </c>
      <c r="Y28" s="15"/>
      <c r="Z28" s="23"/>
      <c r="AA28" s="24"/>
      <c r="AB28" s="18"/>
      <c r="AE28" s="216"/>
      <c r="AF28" s="67"/>
      <c r="AH28" s="11">
        <v>42485</v>
      </c>
      <c r="AI28" s="12"/>
      <c r="AJ28" s="19"/>
      <c r="AK28" s="20">
        <v>42485</v>
      </c>
      <c r="AL28" s="13"/>
      <c r="AM28" s="14"/>
      <c r="AN28" s="22">
        <v>42485</v>
      </c>
      <c r="AO28" s="15"/>
      <c r="AP28" s="23"/>
      <c r="AQ28" s="24"/>
      <c r="AR28" s="18"/>
    </row>
    <row r="29" spans="1:45" x14ac:dyDescent="0.25">
      <c r="B29" s="11">
        <v>42486</v>
      </c>
      <c r="C29" s="12">
        <v>30662</v>
      </c>
      <c r="D29" s="19" t="s">
        <v>227</v>
      </c>
      <c r="E29" s="20">
        <v>42486</v>
      </c>
      <c r="F29" s="13">
        <v>30662</v>
      </c>
      <c r="G29" s="14"/>
      <c r="H29" s="22">
        <v>42486</v>
      </c>
      <c r="I29" s="15">
        <v>0</v>
      </c>
      <c r="J29" s="23"/>
      <c r="K29" s="24"/>
      <c r="L29" s="18">
        <v>0</v>
      </c>
      <c r="R29" s="11">
        <v>42486</v>
      </c>
      <c r="S29" s="12"/>
      <c r="T29" s="19"/>
      <c r="U29" s="20">
        <v>42486</v>
      </c>
      <c r="V29" s="13"/>
      <c r="W29" s="14"/>
      <c r="X29" s="22">
        <v>42486</v>
      </c>
      <c r="Y29" s="15"/>
      <c r="Z29" s="23"/>
      <c r="AA29" s="24"/>
      <c r="AB29" s="18"/>
      <c r="AE29" s="216"/>
      <c r="AH29" s="11">
        <v>42486</v>
      </c>
      <c r="AI29" s="12"/>
      <c r="AJ29" s="19"/>
      <c r="AK29" s="20">
        <v>42486</v>
      </c>
      <c r="AL29" s="13"/>
      <c r="AM29" s="14"/>
      <c r="AN29" s="22">
        <v>42486</v>
      </c>
      <c r="AO29" s="15"/>
      <c r="AP29" s="23"/>
      <c r="AQ29" s="24"/>
      <c r="AR29" s="18"/>
    </row>
    <row r="30" spans="1:45" x14ac:dyDescent="0.25">
      <c r="B30" s="11">
        <v>42487</v>
      </c>
      <c r="C30" s="12">
        <v>42641.4</v>
      </c>
      <c r="D30" s="19" t="s">
        <v>228</v>
      </c>
      <c r="E30" s="20">
        <v>42487</v>
      </c>
      <c r="F30" s="13">
        <v>42641</v>
      </c>
      <c r="G30" s="14"/>
      <c r="H30" s="22">
        <v>42487</v>
      </c>
      <c r="I30" s="15">
        <v>0</v>
      </c>
      <c r="J30" s="23"/>
      <c r="K30" s="24"/>
      <c r="L30" s="18">
        <v>0</v>
      </c>
      <c r="R30" s="11">
        <v>42487</v>
      </c>
      <c r="S30" s="12"/>
      <c r="T30" s="19"/>
      <c r="U30" s="20">
        <v>42487</v>
      </c>
      <c r="V30" s="13"/>
      <c r="W30" s="14"/>
      <c r="X30" s="22">
        <v>42487</v>
      </c>
      <c r="Y30" s="15"/>
      <c r="Z30" s="23"/>
      <c r="AA30" s="24"/>
      <c r="AB30" s="18"/>
      <c r="AE30" s="216"/>
      <c r="AH30" s="11">
        <v>42487</v>
      </c>
      <c r="AI30" s="12"/>
      <c r="AJ30" s="19"/>
      <c r="AK30" s="20">
        <v>42487</v>
      </c>
      <c r="AL30" s="13"/>
      <c r="AM30" s="14"/>
      <c r="AN30" s="22">
        <v>42487</v>
      </c>
      <c r="AO30" s="15"/>
      <c r="AP30" s="23"/>
      <c r="AQ30" s="24"/>
      <c r="AR30" s="18"/>
    </row>
    <row r="31" spans="1:45" x14ac:dyDescent="0.25">
      <c r="B31" s="11">
        <v>42488</v>
      </c>
      <c r="C31" s="12">
        <v>63528.6</v>
      </c>
      <c r="D31" s="19" t="s">
        <v>230</v>
      </c>
      <c r="E31" s="20">
        <v>42488</v>
      </c>
      <c r="F31" s="13">
        <v>63528.5</v>
      </c>
      <c r="G31" s="14"/>
      <c r="H31" s="22">
        <v>42488</v>
      </c>
      <c r="I31" s="15">
        <v>0</v>
      </c>
      <c r="J31" s="23"/>
      <c r="K31" s="24"/>
      <c r="L31" s="18">
        <v>0</v>
      </c>
      <c r="R31" s="11">
        <v>42488</v>
      </c>
      <c r="S31" s="12"/>
      <c r="T31" s="19"/>
      <c r="U31" s="20">
        <v>42488</v>
      </c>
      <c r="V31" s="13"/>
      <c r="W31" s="14"/>
      <c r="X31" s="22">
        <v>42488</v>
      </c>
      <c r="Y31" s="15"/>
      <c r="Z31" s="23"/>
      <c r="AA31" s="24"/>
      <c r="AB31" s="18"/>
      <c r="AE31" s="216"/>
      <c r="AH31" s="11">
        <v>42488</v>
      </c>
      <c r="AI31" s="12"/>
      <c r="AJ31" s="19"/>
      <c r="AK31" s="20">
        <v>42488</v>
      </c>
      <c r="AL31" s="13"/>
      <c r="AM31" s="14"/>
      <c r="AN31" s="22">
        <v>42488</v>
      </c>
      <c r="AO31" s="15"/>
      <c r="AP31" s="23"/>
      <c r="AQ31" s="24"/>
      <c r="AR31" s="18"/>
    </row>
    <row r="32" spans="1:45" x14ac:dyDescent="0.25">
      <c r="B32" s="11">
        <v>42489</v>
      </c>
      <c r="C32" s="12">
        <v>84548.5</v>
      </c>
      <c r="D32" s="42" t="s">
        <v>231</v>
      </c>
      <c r="E32" s="20">
        <v>42489</v>
      </c>
      <c r="F32" s="13">
        <v>84548.5</v>
      </c>
      <c r="G32" s="14"/>
      <c r="H32" s="22">
        <v>42489</v>
      </c>
      <c r="I32" s="15">
        <v>0</v>
      </c>
      <c r="J32" s="23"/>
      <c r="K32" s="24"/>
      <c r="L32" s="18">
        <v>0</v>
      </c>
      <c r="M32" s="288">
        <f>9485+35000+16000+22837.5</f>
        <v>83322.5</v>
      </c>
      <c r="R32" s="11">
        <v>42489</v>
      </c>
      <c r="S32" s="12"/>
      <c r="T32" s="42"/>
      <c r="U32" s="20">
        <v>42489</v>
      </c>
      <c r="V32" s="13"/>
      <c r="W32" s="14"/>
      <c r="X32" s="22">
        <v>42489</v>
      </c>
      <c r="Y32" s="15"/>
      <c r="Z32" s="23"/>
      <c r="AA32" s="24"/>
      <c r="AB32" s="18"/>
      <c r="AE32" s="216"/>
      <c r="AH32" s="11">
        <v>42489</v>
      </c>
      <c r="AI32" s="12"/>
      <c r="AJ32" s="42"/>
      <c r="AK32" s="20">
        <v>42489</v>
      </c>
      <c r="AL32" s="13"/>
      <c r="AM32" s="14"/>
      <c r="AN32" s="22">
        <v>42489</v>
      </c>
      <c r="AO32" s="15"/>
      <c r="AP32" s="23"/>
      <c r="AQ32" s="24"/>
      <c r="AR32" s="18"/>
    </row>
    <row r="33" spans="1:44" x14ac:dyDescent="0.25">
      <c r="B33" s="11">
        <v>42490</v>
      </c>
      <c r="C33" s="12">
        <v>30802</v>
      </c>
      <c r="D33" s="19"/>
      <c r="E33" s="20">
        <v>42490</v>
      </c>
      <c r="F33" s="13">
        <v>38802</v>
      </c>
      <c r="G33" s="14"/>
      <c r="H33" s="22">
        <v>42490</v>
      </c>
      <c r="I33" s="15">
        <v>0</v>
      </c>
      <c r="J33" s="23"/>
      <c r="K33" s="24"/>
      <c r="L33" s="18"/>
      <c r="M33" s="288">
        <v>38802</v>
      </c>
      <c r="R33" s="11">
        <v>42490</v>
      </c>
      <c r="S33" s="12"/>
      <c r="T33" s="19"/>
      <c r="U33" s="20">
        <v>42490</v>
      </c>
      <c r="V33" s="13"/>
      <c r="W33" s="14"/>
      <c r="X33" s="22">
        <v>42490</v>
      </c>
      <c r="Y33" s="15"/>
      <c r="Z33" s="23"/>
      <c r="AA33" s="24"/>
      <c r="AB33" s="18"/>
      <c r="AE33" s="272"/>
      <c r="AH33" s="11">
        <v>42490</v>
      </c>
      <c r="AI33" s="12"/>
      <c r="AJ33" s="19"/>
      <c r="AK33" s="20">
        <v>42490</v>
      </c>
      <c r="AL33" s="13"/>
      <c r="AM33" s="14"/>
      <c r="AN33" s="22">
        <v>42490</v>
      </c>
      <c r="AO33" s="15"/>
      <c r="AP33" s="23"/>
      <c r="AQ33" s="24"/>
      <c r="AR33" s="18"/>
    </row>
    <row r="34" spans="1:44" ht="16.5" thickBot="1" x14ac:dyDescent="0.3">
      <c r="A34" s="28"/>
      <c r="B34" s="11"/>
      <c r="C34" s="12"/>
      <c r="D34" s="19"/>
      <c r="E34" s="20"/>
      <c r="F34" s="13">
        <v>0</v>
      </c>
      <c r="G34" s="14"/>
      <c r="H34" s="22"/>
      <c r="I34" s="15"/>
      <c r="J34" s="23"/>
      <c r="K34" s="24"/>
      <c r="L34" s="18"/>
      <c r="Q34" s="28"/>
      <c r="R34" s="11"/>
      <c r="S34" s="12"/>
      <c r="T34" s="19"/>
      <c r="U34" s="20"/>
      <c r="V34" s="13"/>
      <c r="W34" s="14"/>
      <c r="X34" s="22"/>
      <c r="Y34" s="15"/>
      <c r="Z34" s="23"/>
      <c r="AA34" s="24"/>
      <c r="AB34" s="18"/>
      <c r="AE34" s="67"/>
      <c r="AG34" s="28"/>
      <c r="AH34" s="11"/>
      <c r="AI34" s="12"/>
      <c r="AJ34" s="19"/>
      <c r="AK34" s="20"/>
      <c r="AL34" s="13"/>
      <c r="AM34" s="14"/>
      <c r="AN34" s="22"/>
      <c r="AO34" s="15"/>
      <c r="AP34" s="23"/>
      <c r="AQ34" s="24"/>
      <c r="AR34" s="18"/>
    </row>
    <row r="35" spans="1:44" ht="16.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Q35" s="43"/>
      <c r="R35" s="44"/>
      <c r="S35" s="45">
        <v>0</v>
      </c>
      <c r="T35" s="46"/>
      <c r="U35" s="47"/>
      <c r="V35" s="24">
        <v>0</v>
      </c>
      <c r="X35" s="48"/>
      <c r="Y35" s="49"/>
      <c r="Z35" s="23"/>
      <c r="AA35" s="24"/>
      <c r="AB35" s="50">
        <v>0</v>
      </c>
      <c r="AG35" s="43"/>
      <c r="AH35" s="44"/>
      <c r="AI35" s="45">
        <v>0</v>
      </c>
      <c r="AJ35" s="46"/>
      <c r="AK35" s="47"/>
      <c r="AL35" s="24">
        <v>0</v>
      </c>
      <c r="AN35" s="48"/>
      <c r="AO35" s="49"/>
      <c r="AP35" s="23"/>
      <c r="AQ35" s="24"/>
      <c r="AR35" s="50">
        <v>0</v>
      </c>
    </row>
    <row r="36" spans="1:44" ht="16.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Q36" s="51"/>
      <c r="R36" s="52" t="s">
        <v>0</v>
      </c>
      <c r="S36" s="53">
        <v>0</v>
      </c>
      <c r="T36" s="46"/>
      <c r="U36" s="54"/>
      <c r="V36" s="55">
        <v>0</v>
      </c>
      <c r="X36" s="56"/>
      <c r="Y36" s="57">
        <v>0</v>
      </c>
      <c r="Z36" s="58"/>
      <c r="AA36" s="55"/>
      <c r="AB36" s="59">
        <v>0</v>
      </c>
      <c r="AG36" s="51"/>
      <c r="AH36" s="52" t="s">
        <v>0</v>
      </c>
      <c r="AI36" s="53">
        <v>0</v>
      </c>
      <c r="AJ36" s="46"/>
      <c r="AK36" s="54"/>
      <c r="AL36" s="55">
        <v>0</v>
      </c>
      <c r="AN36" s="56"/>
      <c r="AO36" s="57">
        <v>0</v>
      </c>
      <c r="AP36" s="58"/>
      <c r="AQ36" s="55"/>
      <c r="AR36" s="59">
        <v>0</v>
      </c>
    </row>
    <row r="37" spans="1:44" x14ac:dyDescent="0.25">
      <c r="B37" s="60" t="s">
        <v>11</v>
      </c>
      <c r="C37" s="61">
        <f>SUM(C4:C36)</f>
        <v>1764783.1</v>
      </c>
      <c r="D37" s="46"/>
      <c r="E37" s="62" t="s">
        <v>11</v>
      </c>
      <c r="F37" s="63">
        <f>SUM(F4:F36)</f>
        <v>1856427.55</v>
      </c>
      <c r="H37" s="1" t="s">
        <v>11</v>
      </c>
      <c r="I37" s="64">
        <f>SUM(I4:I36)</f>
        <v>132</v>
      </c>
      <c r="J37" s="64"/>
      <c r="K37" s="64">
        <f t="shared" ref="K37" si="0">SUM(K4:K36)</f>
        <v>85631.770000000019</v>
      </c>
      <c r="L37" s="2">
        <f>SUM(L4:L36)</f>
        <v>66970.5</v>
      </c>
      <c r="R37" s="60" t="s">
        <v>11</v>
      </c>
      <c r="S37" s="61">
        <f>SUM(S4:S36)</f>
        <v>1136457.83</v>
      </c>
      <c r="T37" s="46"/>
      <c r="U37" s="62" t="s">
        <v>11</v>
      </c>
      <c r="V37" s="63">
        <f>SUM(V4:V36)</f>
        <v>1207858.55</v>
      </c>
      <c r="X37" s="1" t="s">
        <v>11</v>
      </c>
      <c r="Y37" s="64">
        <f>SUM(Y4:Y36)</f>
        <v>66</v>
      </c>
      <c r="Z37" s="64"/>
      <c r="AA37" s="64">
        <f t="shared" ref="AA37" si="1">SUM(AA4:AA36)</f>
        <v>57009.30000000001</v>
      </c>
      <c r="AB37" s="2">
        <f>SUM(AB4:AB36)</f>
        <v>79782</v>
      </c>
      <c r="AH37" s="60" t="s">
        <v>11</v>
      </c>
      <c r="AI37" s="61">
        <f>SUM(AI4:AI36)</f>
        <v>699360.5</v>
      </c>
      <c r="AJ37" s="46"/>
      <c r="AK37" s="62" t="s">
        <v>11</v>
      </c>
      <c r="AL37" s="63">
        <f>SUM(AL4:AL36)</f>
        <v>730862.64999999991</v>
      </c>
      <c r="AN37" s="1" t="s">
        <v>11</v>
      </c>
      <c r="AO37" s="64">
        <f>SUM(AO4:AO36)</f>
        <v>0</v>
      </c>
      <c r="AP37" s="64"/>
      <c r="AQ37" s="64">
        <f t="shared" ref="AQ37" si="2">SUM(AQ4:AQ36)</f>
        <v>41568.540000000008</v>
      </c>
      <c r="AR37" s="2">
        <f>SUM(AR4:AR36)</f>
        <v>34250</v>
      </c>
    </row>
    <row r="38" spans="1:44" x14ac:dyDescent="0.25">
      <c r="A38" s="342"/>
      <c r="B38" s="342"/>
      <c r="C38" s="50"/>
      <c r="I38" s="64"/>
      <c r="K38" s="64"/>
      <c r="Q38" s="342"/>
      <c r="R38" s="342"/>
      <c r="S38" s="50"/>
      <c r="Y38" s="64"/>
      <c r="AA38" s="64"/>
      <c r="AG38" s="342"/>
      <c r="AH38" s="342"/>
      <c r="AI38" s="50"/>
      <c r="AO38" s="64"/>
      <c r="AQ38" s="64"/>
    </row>
    <row r="39" spans="1:44" ht="15.75" customHeight="1" x14ac:dyDescent="0.25">
      <c r="A39" s="65"/>
      <c r="B39" s="66"/>
      <c r="C39" s="50"/>
      <c r="D39" s="67"/>
      <c r="E39" s="66"/>
      <c r="F39" s="66"/>
      <c r="H39" s="326" t="s">
        <v>12</v>
      </c>
      <c r="I39" s="327"/>
      <c r="J39" s="328">
        <f>I37+K37</f>
        <v>85763.770000000019</v>
      </c>
      <c r="K39" s="329"/>
      <c r="L39" s="68"/>
      <c r="Q39" s="65"/>
      <c r="R39" s="66"/>
      <c r="S39" s="50"/>
      <c r="T39" s="67"/>
      <c r="U39" s="66"/>
      <c r="V39" s="66"/>
      <c r="X39" s="326" t="s">
        <v>12</v>
      </c>
      <c r="Y39" s="327"/>
      <c r="Z39" s="328">
        <f>Y37+AA37</f>
        <v>57075.30000000001</v>
      </c>
      <c r="AA39" s="329"/>
      <c r="AB39" s="68"/>
      <c r="AG39" s="65"/>
      <c r="AH39" s="66"/>
      <c r="AI39" s="50"/>
      <c r="AJ39" s="67"/>
      <c r="AK39" s="66"/>
      <c r="AL39" s="66"/>
      <c r="AN39" s="326" t="s">
        <v>12</v>
      </c>
      <c r="AO39" s="327"/>
      <c r="AP39" s="328">
        <f>AO37+AQ37</f>
        <v>41568.540000000008</v>
      </c>
      <c r="AQ39" s="329"/>
      <c r="AR39" s="68"/>
    </row>
    <row r="40" spans="1:44" ht="15.75" customHeight="1" x14ac:dyDescent="0.25">
      <c r="A40" s="330"/>
      <c r="B40" s="330"/>
      <c r="C40" s="50"/>
      <c r="D40" s="331" t="s">
        <v>13</v>
      </c>
      <c r="E40" s="331"/>
      <c r="F40" s="69">
        <f>F37-J39</f>
        <v>1770663.78</v>
      </c>
      <c r="I40" s="70"/>
      <c r="Q40" s="330"/>
      <c r="R40" s="330"/>
      <c r="S40" s="50"/>
      <c r="T40" s="331" t="s">
        <v>13</v>
      </c>
      <c r="U40" s="331"/>
      <c r="V40" s="69">
        <f>V37-Z39</f>
        <v>1150783.25</v>
      </c>
      <c r="Y40" s="70"/>
      <c r="AG40" s="330"/>
      <c r="AH40" s="330"/>
      <c r="AI40" s="50"/>
      <c r="AJ40" s="331" t="s">
        <v>13</v>
      </c>
      <c r="AK40" s="331"/>
      <c r="AL40" s="69">
        <f>AL37-AP39</f>
        <v>689294.10999999987</v>
      </c>
      <c r="AO40" s="70"/>
    </row>
    <row r="41" spans="1:44" x14ac:dyDescent="0.25">
      <c r="A41" s="67"/>
      <c r="B41" s="66"/>
      <c r="C41" s="50"/>
      <c r="D41" s="67"/>
      <c r="E41" s="66"/>
      <c r="F41" s="69">
        <v>0</v>
      </c>
      <c r="Q41" s="67"/>
      <c r="R41" s="66"/>
      <c r="S41" s="50"/>
      <c r="T41" s="67"/>
      <c r="U41" s="66"/>
      <c r="V41" s="69">
        <v>0</v>
      </c>
      <c r="AG41" s="67"/>
      <c r="AH41" s="66"/>
      <c r="AI41" s="50"/>
      <c r="AJ41" s="67"/>
      <c r="AK41" s="66"/>
      <c r="AL41" s="69">
        <v>0</v>
      </c>
    </row>
    <row r="42" spans="1:44" ht="16.5" thickBot="1" x14ac:dyDescent="0.3">
      <c r="E42" s="71" t="s">
        <v>14</v>
      </c>
      <c r="F42" s="50">
        <v>-1940553.68</v>
      </c>
      <c r="I42" s="72" t="s">
        <v>15</v>
      </c>
      <c r="J42" s="275"/>
      <c r="K42" s="276">
        <v>322065.74</v>
      </c>
      <c r="U42" s="71" t="s">
        <v>14</v>
      </c>
      <c r="V42" s="50">
        <f>-1295830.73-18105</f>
        <v>-1313935.73</v>
      </c>
      <c r="Y42" s="72" t="s">
        <v>15</v>
      </c>
      <c r="Z42" s="275"/>
      <c r="AA42" s="276">
        <v>343753</v>
      </c>
      <c r="AK42" s="71" t="s">
        <v>14</v>
      </c>
      <c r="AL42" s="50">
        <v>-733989.65</v>
      </c>
      <c r="AO42" s="72" t="s">
        <v>15</v>
      </c>
      <c r="AP42" s="73"/>
      <c r="AQ42" s="74">
        <v>194490.65</v>
      </c>
    </row>
    <row r="43" spans="1:44" ht="16.5" thickTop="1" x14ac:dyDescent="0.25">
      <c r="E43" s="1" t="s">
        <v>16</v>
      </c>
      <c r="F43" s="64">
        <f>SUM(F40:F42)</f>
        <v>-169889.89999999991</v>
      </c>
      <c r="K43" s="64">
        <f>F45+K42</f>
        <v>153176.84000000008</v>
      </c>
      <c r="U43" s="1" t="s">
        <v>16</v>
      </c>
      <c r="V43" s="64">
        <f>SUM(V40:V42)</f>
        <v>-163152.47999999998</v>
      </c>
      <c r="AA43" s="64">
        <f>V45+AA42</f>
        <v>181624.52000000002</v>
      </c>
      <c r="AK43" s="1" t="s">
        <v>16</v>
      </c>
      <c r="AL43" s="64">
        <f>SUM(AL40:AL42)</f>
        <v>-44695.540000000154</v>
      </c>
      <c r="AQ43" s="64">
        <f>AL45+AQ42</f>
        <v>189552.30999999982</v>
      </c>
    </row>
    <row r="44" spans="1:44" ht="16.5" thickBot="1" x14ac:dyDescent="0.3">
      <c r="D44" s="62" t="s">
        <v>17</v>
      </c>
      <c r="E44" s="62"/>
      <c r="F44" s="75">
        <v>1001</v>
      </c>
      <c r="I44" s="1" t="s">
        <v>1</v>
      </c>
      <c r="J44" s="76"/>
      <c r="K44" s="77">
        <f>-C3</f>
        <v>-234143.62</v>
      </c>
      <c r="T44" s="62" t="s">
        <v>17</v>
      </c>
      <c r="U44" s="62"/>
      <c r="V44" s="75">
        <v>1024</v>
      </c>
      <c r="Y44" s="1" t="s">
        <v>1</v>
      </c>
      <c r="Z44" s="76"/>
      <c r="AA44" s="77">
        <f>-S3</f>
        <v>-234143.62</v>
      </c>
      <c r="AJ44" s="62" t="s">
        <v>17</v>
      </c>
      <c r="AK44" s="62"/>
      <c r="AL44" s="75">
        <v>39757.199999999997</v>
      </c>
      <c r="AO44" s="1" t="s">
        <v>1</v>
      </c>
      <c r="AP44" s="76"/>
      <c r="AQ44" s="77">
        <f>-AI3</f>
        <v>-234143.62</v>
      </c>
    </row>
    <row r="45" spans="1:44" ht="20.25" thickTop="1" thickBot="1" x14ac:dyDescent="0.35">
      <c r="E45" s="60" t="s">
        <v>18</v>
      </c>
      <c r="F45" s="78">
        <f>F44+F43</f>
        <v>-168888.89999999991</v>
      </c>
      <c r="I45" s="332" t="s">
        <v>175</v>
      </c>
      <c r="J45" s="333"/>
      <c r="K45" s="79">
        <f>K43+K44</f>
        <v>-80966.779999999912</v>
      </c>
      <c r="U45" s="60" t="s">
        <v>18</v>
      </c>
      <c r="V45" s="78">
        <f>V44+V43</f>
        <v>-162128.47999999998</v>
      </c>
      <c r="Y45" s="332" t="s">
        <v>175</v>
      </c>
      <c r="Z45" s="333"/>
      <c r="AA45" s="79">
        <f>AA43+AA44</f>
        <v>-52519.099999999977</v>
      </c>
      <c r="AK45" s="60" t="s">
        <v>18</v>
      </c>
      <c r="AL45" s="78">
        <f>AL44+AL43</f>
        <v>-4938.3400000001566</v>
      </c>
      <c r="AO45" s="332" t="s">
        <v>175</v>
      </c>
      <c r="AP45" s="333"/>
      <c r="AQ45" s="79">
        <f>AQ43+AQ44</f>
        <v>-44591.310000000172</v>
      </c>
    </row>
    <row r="46" spans="1:44" ht="16.5" thickTop="1" x14ac:dyDescent="0.25"/>
    <row r="49" spans="2:44" x14ac:dyDescent="0.25">
      <c r="B49"/>
      <c r="C49"/>
      <c r="E49"/>
      <c r="F49"/>
      <c r="H49"/>
      <c r="I49"/>
      <c r="J49"/>
      <c r="K49"/>
      <c r="L49"/>
      <c r="R49"/>
      <c r="S49"/>
      <c r="U49"/>
      <c r="V49"/>
      <c r="X49"/>
      <c r="Y49"/>
      <c r="Z49"/>
      <c r="AA49"/>
      <c r="AB49"/>
      <c r="AH49"/>
      <c r="AI49"/>
      <c r="AK49"/>
      <c r="AL49"/>
      <c r="AN49"/>
      <c r="AO49"/>
      <c r="AP49"/>
      <c r="AQ49"/>
      <c r="AR49"/>
    </row>
    <row r="50" spans="2:44" x14ac:dyDescent="0.25">
      <c r="B50"/>
      <c r="C50"/>
      <c r="E50"/>
      <c r="F50"/>
      <c r="H50"/>
      <c r="I50"/>
      <c r="J50"/>
      <c r="K50"/>
      <c r="L50"/>
      <c r="R50"/>
      <c r="S50"/>
      <c r="U50"/>
      <c r="V50"/>
      <c r="X50"/>
      <c r="Y50"/>
      <c r="Z50"/>
      <c r="AA50"/>
      <c r="AB50"/>
      <c r="AH50"/>
      <c r="AI50"/>
      <c r="AK50"/>
      <c r="AL50"/>
      <c r="AN50"/>
      <c r="AO50"/>
      <c r="AP50"/>
      <c r="AQ50"/>
      <c r="AR50"/>
    </row>
    <row r="51" spans="2:44" x14ac:dyDescent="0.25">
      <c r="B51"/>
      <c r="C51"/>
      <c r="E51"/>
      <c r="F51"/>
      <c r="H51" s="325"/>
      <c r="I51" s="325"/>
      <c r="J51" s="80"/>
      <c r="K51" s="81"/>
      <c r="L51"/>
      <c r="R51"/>
      <c r="S51"/>
      <c r="U51"/>
      <c r="V51"/>
      <c r="X51" s="325"/>
      <c r="Y51" s="325"/>
      <c r="Z51" s="80"/>
      <c r="AA51" s="81"/>
      <c r="AB51"/>
      <c r="AH51"/>
      <c r="AI51"/>
      <c r="AK51"/>
      <c r="AL51"/>
      <c r="AN51" s="325"/>
      <c r="AO51" s="325"/>
      <c r="AP51" s="80"/>
      <c r="AQ51" s="81"/>
      <c r="AR51"/>
    </row>
    <row r="52" spans="2:44" x14ac:dyDescent="0.25">
      <c r="B52"/>
      <c r="C52"/>
      <c r="E52"/>
      <c r="F52"/>
      <c r="H52"/>
      <c r="I52"/>
      <c r="J52"/>
      <c r="K52"/>
      <c r="L52"/>
      <c r="R52"/>
      <c r="S52"/>
      <c r="U52"/>
      <c r="V52"/>
      <c r="X52"/>
      <c r="Y52"/>
      <c r="Z52"/>
      <c r="AA52"/>
      <c r="AB52"/>
      <c r="AH52"/>
      <c r="AI52"/>
      <c r="AK52"/>
      <c r="AL52"/>
      <c r="AN52"/>
      <c r="AO52"/>
      <c r="AP52"/>
      <c r="AQ52"/>
      <c r="AR52"/>
    </row>
    <row r="53" spans="2:44" x14ac:dyDescent="0.25">
      <c r="B53"/>
      <c r="C53"/>
      <c r="E53"/>
      <c r="F53"/>
      <c r="H53"/>
      <c r="I53"/>
      <c r="J53"/>
      <c r="K53"/>
      <c r="L53"/>
      <c r="R53"/>
      <c r="S53"/>
      <c r="U53"/>
      <c r="V53"/>
      <c r="X53"/>
      <c r="Y53"/>
      <c r="Z53"/>
      <c r="AA53"/>
      <c r="AB53"/>
      <c r="AH53"/>
      <c r="AI53"/>
      <c r="AK53"/>
      <c r="AL53"/>
      <c r="AN53"/>
      <c r="AO53"/>
      <c r="AP53"/>
      <c r="AQ53"/>
      <c r="AR53"/>
    </row>
    <row r="54" spans="2:44" x14ac:dyDescent="0.25">
      <c r="B54"/>
      <c r="C54"/>
      <c r="E54"/>
      <c r="F54"/>
      <c r="H54"/>
      <c r="I54"/>
      <c r="J54"/>
      <c r="K54"/>
      <c r="L54"/>
      <c r="R54"/>
      <c r="S54"/>
      <c r="U54"/>
      <c r="V54"/>
      <c r="X54"/>
      <c r="Y54"/>
      <c r="Z54"/>
      <c r="AA54"/>
      <c r="AB54"/>
      <c r="AH54"/>
      <c r="AI54"/>
      <c r="AK54"/>
      <c r="AL54"/>
      <c r="AN54"/>
      <c r="AO54"/>
      <c r="AP54"/>
      <c r="AQ54"/>
      <c r="AR54"/>
    </row>
    <row r="55" spans="2:44" x14ac:dyDescent="0.25">
      <c r="B55"/>
      <c r="C55"/>
      <c r="E55"/>
      <c r="F55"/>
      <c r="H55"/>
      <c r="I55"/>
      <c r="J55"/>
      <c r="K55"/>
      <c r="L55"/>
      <c r="R55"/>
      <c r="S55"/>
      <c r="U55"/>
      <c r="V55"/>
      <c r="X55"/>
      <c r="Y55"/>
      <c r="Z55"/>
      <c r="AA55"/>
      <c r="AB55"/>
      <c r="AH55"/>
      <c r="AI55"/>
      <c r="AK55"/>
      <c r="AL55"/>
      <c r="AN55"/>
      <c r="AO55"/>
      <c r="AP55"/>
      <c r="AQ55"/>
      <c r="AR55"/>
    </row>
    <row r="56" spans="2:44" x14ac:dyDescent="0.25">
      <c r="B56"/>
      <c r="C56"/>
      <c r="E56"/>
      <c r="F56"/>
      <c r="H56"/>
      <c r="I56"/>
      <c r="J56"/>
      <c r="K56"/>
      <c r="L56"/>
      <c r="R56"/>
      <c r="S56"/>
      <c r="U56"/>
      <c r="V56"/>
      <c r="X56"/>
      <c r="Y56"/>
      <c r="Z56"/>
      <c r="AA56"/>
      <c r="AB56"/>
      <c r="AH56"/>
      <c r="AI56"/>
      <c r="AK56"/>
      <c r="AL56"/>
      <c r="AN56"/>
      <c r="AO56"/>
      <c r="AP56"/>
      <c r="AQ56"/>
      <c r="AR56"/>
    </row>
    <row r="57" spans="2:44" x14ac:dyDescent="0.25">
      <c r="B57"/>
      <c r="C57"/>
      <c r="E57"/>
      <c r="F57"/>
      <c r="H57"/>
      <c r="I57"/>
      <c r="J57"/>
      <c r="K57"/>
      <c r="L57"/>
      <c r="R57"/>
      <c r="S57"/>
      <c r="U57"/>
      <c r="V57"/>
      <c r="X57"/>
      <c r="Y57"/>
      <c r="Z57"/>
      <c r="AA57"/>
      <c r="AB57"/>
      <c r="AH57"/>
      <c r="AI57"/>
      <c r="AK57"/>
      <c r="AL57"/>
      <c r="AN57"/>
      <c r="AO57"/>
      <c r="AP57"/>
      <c r="AQ57"/>
      <c r="AR57"/>
    </row>
    <row r="58" spans="2:44" x14ac:dyDescent="0.25">
      <c r="B58"/>
      <c r="C58"/>
      <c r="E58"/>
      <c r="F58"/>
      <c r="H58"/>
      <c r="I58"/>
      <c r="J58"/>
      <c r="K58"/>
      <c r="L58"/>
      <c r="R58"/>
      <c r="S58"/>
      <c r="U58"/>
      <c r="V58"/>
      <c r="X58"/>
      <c r="Y58"/>
      <c r="Z58"/>
      <c r="AA58"/>
      <c r="AB58"/>
      <c r="AH58"/>
      <c r="AI58"/>
      <c r="AK58"/>
      <c r="AL58"/>
      <c r="AN58"/>
      <c r="AO58"/>
      <c r="AP58"/>
      <c r="AQ58"/>
      <c r="AR58"/>
    </row>
    <row r="59" spans="2:44" x14ac:dyDescent="0.25">
      <c r="B59"/>
      <c r="C59"/>
      <c r="E59"/>
      <c r="F59"/>
      <c r="H59"/>
      <c r="I59"/>
      <c r="J59"/>
      <c r="K59"/>
      <c r="L59"/>
      <c r="R59"/>
      <c r="S59"/>
      <c r="U59"/>
      <c r="V59"/>
      <c r="X59"/>
      <c r="Y59"/>
      <c r="Z59"/>
      <c r="AA59"/>
      <c r="AB59"/>
      <c r="AH59"/>
      <c r="AI59"/>
      <c r="AK59"/>
      <c r="AL59"/>
      <c r="AN59"/>
      <c r="AO59"/>
      <c r="AP59"/>
      <c r="AQ59"/>
      <c r="AR59"/>
    </row>
    <row r="60" spans="2:44" x14ac:dyDescent="0.25">
      <c r="B60"/>
      <c r="C60"/>
      <c r="E60"/>
      <c r="F60"/>
      <c r="H60"/>
      <c r="I60"/>
      <c r="J60"/>
      <c r="K60"/>
      <c r="L60"/>
      <c r="R60"/>
      <c r="S60"/>
      <c r="U60"/>
      <c r="V60"/>
      <c r="X60"/>
      <c r="Y60"/>
      <c r="Z60"/>
      <c r="AA60"/>
      <c r="AB60"/>
      <c r="AH60"/>
      <c r="AI60"/>
      <c r="AK60"/>
      <c r="AL60"/>
      <c r="AN60"/>
      <c r="AO60"/>
      <c r="AP60"/>
      <c r="AQ60"/>
      <c r="AR60"/>
    </row>
    <row r="61" spans="2:44" x14ac:dyDescent="0.25">
      <c r="B61"/>
      <c r="C61"/>
      <c r="E61"/>
      <c r="F61"/>
      <c r="H61"/>
      <c r="I61"/>
      <c r="J61"/>
      <c r="K61"/>
      <c r="L61"/>
      <c r="R61"/>
      <c r="S61"/>
      <c r="U61"/>
      <c r="V61"/>
      <c r="X61"/>
      <c r="Y61"/>
      <c r="Z61"/>
      <c r="AA61"/>
      <c r="AB61"/>
      <c r="AH61"/>
      <c r="AI61"/>
      <c r="AK61"/>
      <c r="AL61"/>
      <c r="AN61"/>
      <c r="AO61"/>
      <c r="AP61"/>
      <c r="AQ61"/>
      <c r="AR61"/>
    </row>
    <row r="62" spans="2:44" x14ac:dyDescent="0.25">
      <c r="B62"/>
      <c r="C62"/>
      <c r="E62"/>
      <c r="F62"/>
      <c r="H62"/>
      <c r="I62"/>
      <c r="J62"/>
      <c r="K62"/>
      <c r="L62"/>
      <c r="R62"/>
      <c r="S62"/>
      <c r="U62"/>
      <c r="V62"/>
      <c r="X62"/>
      <c r="Y62"/>
      <c r="Z62"/>
      <c r="AA62"/>
      <c r="AB62"/>
      <c r="AH62"/>
      <c r="AI62"/>
      <c r="AK62"/>
      <c r="AL62"/>
      <c r="AN62"/>
      <c r="AO62"/>
      <c r="AP62"/>
      <c r="AQ62"/>
      <c r="AR62"/>
    </row>
    <row r="63" spans="2:44" x14ac:dyDescent="0.25">
      <c r="B63"/>
      <c r="C63"/>
      <c r="E63"/>
      <c r="F63"/>
      <c r="H63"/>
      <c r="I63"/>
      <c r="J63"/>
      <c r="K63"/>
      <c r="L63"/>
      <c r="R63"/>
      <c r="S63"/>
      <c r="U63"/>
      <c r="V63"/>
      <c r="X63"/>
      <c r="Y63"/>
      <c r="Z63"/>
      <c r="AA63"/>
      <c r="AB63"/>
      <c r="AH63"/>
      <c r="AI63"/>
      <c r="AK63"/>
      <c r="AL63"/>
      <c r="AN63"/>
      <c r="AO63"/>
      <c r="AP63"/>
      <c r="AQ63"/>
      <c r="AR63"/>
    </row>
    <row r="64" spans="2:44" x14ac:dyDescent="0.25">
      <c r="B64"/>
      <c r="C64"/>
      <c r="E64"/>
      <c r="F64"/>
      <c r="H64"/>
      <c r="I64"/>
      <c r="J64"/>
      <c r="K64"/>
      <c r="L64"/>
      <c r="R64"/>
      <c r="S64"/>
      <c r="U64"/>
      <c r="V64"/>
      <c r="X64"/>
      <c r="Y64"/>
      <c r="Z64"/>
      <c r="AA64"/>
      <c r="AB64"/>
      <c r="AH64"/>
      <c r="AI64"/>
      <c r="AK64"/>
      <c r="AL64"/>
      <c r="AN64"/>
      <c r="AO64"/>
      <c r="AP64"/>
      <c r="AQ64"/>
      <c r="AR64"/>
    </row>
    <row r="65" spans="2:44" x14ac:dyDescent="0.25">
      <c r="B65"/>
      <c r="C65"/>
      <c r="E65"/>
      <c r="F65"/>
      <c r="H65"/>
      <c r="I65"/>
      <c r="J65"/>
      <c r="K65"/>
      <c r="L65"/>
      <c r="R65"/>
      <c r="S65"/>
      <c r="U65"/>
      <c r="V65"/>
      <c r="X65"/>
      <c r="Y65"/>
      <c r="Z65"/>
      <c r="AA65"/>
      <c r="AB65"/>
      <c r="AH65"/>
      <c r="AI65"/>
      <c r="AK65"/>
      <c r="AL65"/>
      <c r="AN65"/>
      <c r="AO65"/>
      <c r="AP65"/>
      <c r="AQ65"/>
      <c r="AR65"/>
    </row>
    <row r="66" spans="2:44" x14ac:dyDescent="0.25">
      <c r="B66"/>
      <c r="C66"/>
      <c r="E66"/>
      <c r="F66"/>
      <c r="H66"/>
      <c r="I66"/>
      <c r="J66"/>
      <c r="K66"/>
      <c r="L66"/>
      <c r="R66"/>
      <c r="S66"/>
      <c r="U66"/>
      <c r="V66"/>
      <c r="X66"/>
      <c r="Y66"/>
      <c r="Z66"/>
      <c r="AA66"/>
      <c r="AB66"/>
      <c r="AH66"/>
      <c r="AI66"/>
      <c r="AK66"/>
      <c r="AL66"/>
      <c r="AN66"/>
      <c r="AO66"/>
      <c r="AP66"/>
      <c r="AQ66"/>
      <c r="AR66"/>
    </row>
    <row r="67" spans="2:44" x14ac:dyDescent="0.25">
      <c r="B67"/>
      <c r="C67"/>
      <c r="E67"/>
      <c r="F67"/>
      <c r="H67"/>
      <c r="I67"/>
      <c r="J67"/>
      <c r="K67"/>
      <c r="L67"/>
      <c r="R67"/>
      <c r="S67"/>
      <c r="U67"/>
      <c r="V67"/>
      <c r="X67"/>
      <c r="Y67"/>
      <c r="Z67"/>
      <c r="AA67"/>
      <c r="AB67"/>
      <c r="AH67"/>
      <c r="AI67"/>
      <c r="AK67"/>
      <c r="AL67"/>
      <c r="AN67"/>
      <c r="AO67"/>
      <c r="AP67"/>
      <c r="AQ67"/>
      <c r="AR67"/>
    </row>
    <row r="68" spans="2:44" x14ac:dyDescent="0.25">
      <c r="B68"/>
      <c r="C68"/>
      <c r="E68"/>
      <c r="F68"/>
      <c r="H68"/>
      <c r="I68"/>
      <c r="J68"/>
      <c r="K68"/>
      <c r="L68"/>
      <c r="R68"/>
      <c r="S68"/>
      <c r="U68"/>
      <c r="V68"/>
      <c r="X68"/>
      <c r="Y68"/>
      <c r="Z68"/>
      <c r="AA68"/>
      <c r="AB68"/>
      <c r="AH68"/>
      <c r="AI68"/>
      <c r="AK68"/>
      <c r="AL68"/>
      <c r="AN68"/>
      <c r="AO68"/>
      <c r="AP68"/>
      <c r="AQ68"/>
      <c r="AR68"/>
    </row>
    <row r="69" spans="2:44" x14ac:dyDescent="0.25">
      <c r="B69"/>
      <c r="C69"/>
      <c r="E69"/>
      <c r="F69"/>
      <c r="H69"/>
      <c r="I69"/>
      <c r="J69"/>
      <c r="K69"/>
      <c r="L69"/>
      <c r="R69"/>
      <c r="S69"/>
      <c r="U69"/>
      <c r="V69"/>
      <c r="X69"/>
      <c r="Y69"/>
      <c r="Z69"/>
      <c r="AA69"/>
      <c r="AB69"/>
      <c r="AH69"/>
      <c r="AI69"/>
      <c r="AK69"/>
      <c r="AL69"/>
      <c r="AN69"/>
      <c r="AO69"/>
      <c r="AP69"/>
      <c r="AQ69"/>
      <c r="AR69"/>
    </row>
    <row r="70" spans="2:44" x14ac:dyDescent="0.25">
      <c r="B70"/>
      <c r="C70"/>
      <c r="E70"/>
      <c r="F70"/>
      <c r="H70"/>
      <c r="I70"/>
      <c r="J70"/>
      <c r="K70"/>
      <c r="L70"/>
      <c r="R70"/>
      <c r="S70"/>
      <c r="U70"/>
      <c r="V70"/>
      <c r="X70"/>
      <c r="Y70"/>
      <c r="Z70"/>
      <c r="AA70"/>
      <c r="AB70"/>
      <c r="AH70"/>
      <c r="AI70"/>
      <c r="AK70"/>
      <c r="AL70"/>
      <c r="AN70"/>
      <c r="AO70"/>
      <c r="AP70"/>
      <c r="AQ70"/>
      <c r="AR70"/>
    </row>
    <row r="71" spans="2:44" x14ac:dyDescent="0.25">
      <c r="B71"/>
      <c r="C71"/>
      <c r="E71"/>
      <c r="F71"/>
      <c r="H71"/>
      <c r="I71"/>
      <c r="J71"/>
      <c r="K71"/>
      <c r="L71"/>
      <c r="R71"/>
      <c r="S71"/>
      <c r="U71"/>
      <c r="V71"/>
      <c r="X71"/>
      <c r="Y71"/>
      <c r="Z71"/>
      <c r="AA71"/>
      <c r="AB71"/>
      <c r="AH71"/>
      <c r="AI71"/>
      <c r="AK71"/>
      <c r="AL71"/>
      <c r="AN71"/>
      <c r="AO71"/>
      <c r="AP71"/>
      <c r="AQ71"/>
      <c r="AR71"/>
    </row>
    <row r="72" spans="2:44" x14ac:dyDescent="0.25">
      <c r="B72"/>
      <c r="C72"/>
      <c r="E72"/>
      <c r="F72"/>
      <c r="H72"/>
      <c r="I72"/>
      <c r="J72"/>
      <c r="K72"/>
      <c r="L72"/>
      <c r="R72"/>
      <c r="S72"/>
      <c r="U72"/>
      <c r="V72"/>
      <c r="X72"/>
      <c r="Y72"/>
      <c r="Z72"/>
      <c r="AA72"/>
      <c r="AB72"/>
      <c r="AH72"/>
      <c r="AI72"/>
      <c r="AK72"/>
      <c r="AL72"/>
      <c r="AN72"/>
      <c r="AO72"/>
      <c r="AP72"/>
      <c r="AQ72"/>
      <c r="AR72"/>
    </row>
    <row r="73" spans="2:44" x14ac:dyDescent="0.25">
      <c r="B73"/>
      <c r="C73"/>
      <c r="E73"/>
      <c r="F73"/>
      <c r="H73"/>
      <c r="I73"/>
      <c r="J73"/>
      <c r="K73"/>
      <c r="L73"/>
      <c r="R73"/>
      <c r="S73"/>
      <c r="U73"/>
      <c r="V73"/>
      <c r="X73"/>
      <c r="Y73"/>
      <c r="Z73"/>
      <c r="AA73"/>
      <c r="AB73"/>
      <c r="AH73"/>
      <c r="AI73"/>
      <c r="AK73"/>
      <c r="AL73"/>
      <c r="AN73"/>
      <c r="AO73"/>
      <c r="AP73"/>
      <c r="AQ73"/>
      <c r="AR73"/>
    </row>
    <row r="74" spans="2:44" x14ac:dyDescent="0.25">
      <c r="B74"/>
      <c r="C74"/>
      <c r="E74"/>
      <c r="F74"/>
      <c r="H74"/>
      <c r="I74"/>
      <c r="J74"/>
      <c r="K74"/>
      <c r="L74"/>
      <c r="R74"/>
      <c r="S74"/>
      <c r="U74"/>
      <c r="V74"/>
      <c r="X74"/>
      <c r="Y74"/>
      <c r="Z74"/>
      <c r="AA74"/>
      <c r="AB74"/>
      <c r="AH74"/>
      <c r="AI74"/>
      <c r="AK74"/>
      <c r="AL74"/>
      <c r="AN74"/>
      <c r="AO74"/>
      <c r="AP74"/>
      <c r="AQ74"/>
      <c r="AR74"/>
    </row>
    <row r="75" spans="2:44" x14ac:dyDescent="0.25">
      <c r="B75"/>
      <c r="C75"/>
      <c r="E75"/>
      <c r="F75"/>
      <c r="H75"/>
      <c r="I75"/>
      <c r="J75"/>
      <c r="K75"/>
      <c r="L75"/>
      <c r="R75"/>
      <c r="S75"/>
      <c r="U75"/>
      <c r="V75"/>
      <c r="X75"/>
      <c r="Y75"/>
      <c r="Z75"/>
      <c r="AA75"/>
      <c r="AB75"/>
      <c r="AH75"/>
      <c r="AI75"/>
      <c r="AK75"/>
      <c r="AL75"/>
      <c r="AN75"/>
      <c r="AO75"/>
      <c r="AP75"/>
      <c r="AQ75"/>
      <c r="AR75"/>
    </row>
    <row r="76" spans="2:44" x14ac:dyDescent="0.25">
      <c r="B76"/>
      <c r="C76"/>
      <c r="E76"/>
      <c r="F76"/>
      <c r="H76"/>
      <c r="I76"/>
      <c r="J76"/>
      <c r="K76"/>
      <c r="L76"/>
      <c r="R76"/>
      <c r="S76"/>
      <c r="U76"/>
      <c r="V76"/>
      <c r="X76"/>
      <c r="Y76"/>
      <c r="Z76"/>
      <c r="AA76"/>
      <c r="AB76"/>
      <c r="AH76"/>
      <c r="AI76"/>
      <c r="AK76"/>
      <c r="AL76"/>
      <c r="AN76"/>
      <c r="AO76"/>
      <c r="AP76"/>
      <c r="AQ76"/>
      <c r="AR76"/>
    </row>
    <row r="77" spans="2:44" x14ac:dyDescent="0.25">
      <c r="B77"/>
      <c r="C77"/>
      <c r="E77"/>
      <c r="F77"/>
      <c r="H77"/>
      <c r="I77"/>
      <c r="J77"/>
      <c r="K77"/>
      <c r="L77"/>
      <c r="R77"/>
      <c r="S77"/>
      <c r="U77"/>
      <c r="V77"/>
      <c r="X77"/>
      <c r="Y77"/>
      <c r="Z77"/>
      <c r="AA77"/>
      <c r="AB77"/>
      <c r="AH77"/>
      <c r="AI77"/>
      <c r="AK77"/>
      <c r="AL77"/>
      <c r="AN77"/>
      <c r="AO77"/>
      <c r="AP77"/>
      <c r="AQ77"/>
      <c r="AR77"/>
    </row>
    <row r="78" spans="2:44" x14ac:dyDescent="0.25">
      <c r="B78"/>
      <c r="C78"/>
      <c r="E78"/>
      <c r="F78"/>
      <c r="H78"/>
      <c r="I78"/>
      <c r="J78"/>
      <c r="K78"/>
      <c r="L78"/>
      <c r="R78"/>
      <c r="S78"/>
      <c r="U78"/>
      <c r="V78"/>
      <c r="X78"/>
      <c r="Y78"/>
      <c r="Z78"/>
      <c r="AA78"/>
      <c r="AB78"/>
      <c r="AH78"/>
      <c r="AI78"/>
      <c r="AK78"/>
      <c r="AL78"/>
      <c r="AN78"/>
      <c r="AO78"/>
      <c r="AP78"/>
      <c r="AQ78"/>
      <c r="AR78"/>
    </row>
    <row r="79" spans="2:44" x14ac:dyDescent="0.25">
      <c r="B79"/>
      <c r="C79"/>
      <c r="E79"/>
      <c r="F79"/>
      <c r="H79"/>
      <c r="I79"/>
      <c r="J79"/>
      <c r="K79"/>
      <c r="L79"/>
      <c r="R79"/>
      <c r="S79"/>
      <c r="U79"/>
      <c r="V79"/>
      <c r="X79"/>
      <c r="Y79"/>
      <c r="Z79"/>
      <c r="AA79"/>
      <c r="AB79"/>
      <c r="AH79"/>
      <c r="AI79"/>
      <c r="AK79"/>
      <c r="AL79"/>
      <c r="AN79"/>
      <c r="AO79"/>
      <c r="AP79"/>
      <c r="AQ79"/>
      <c r="AR79"/>
    </row>
    <row r="80" spans="2:44" x14ac:dyDescent="0.25">
      <c r="B80"/>
      <c r="C80"/>
      <c r="E80"/>
      <c r="F80"/>
      <c r="H80"/>
      <c r="I80"/>
      <c r="J80"/>
      <c r="K80"/>
      <c r="L80"/>
      <c r="R80"/>
      <c r="S80"/>
      <c r="U80"/>
      <c r="V80"/>
      <c r="X80"/>
      <c r="Y80"/>
      <c r="Z80"/>
      <c r="AA80"/>
      <c r="AB80"/>
      <c r="AH80"/>
      <c r="AI80"/>
      <c r="AK80"/>
      <c r="AL80"/>
      <c r="AN80"/>
      <c r="AO80"/>
      <c r="AP80"/>
      <c r="AQ80"/>
      <c r="AR80"/>
    </row>
    <row r="81" spans="2:44" x14ac:dyDescent="0.25">
      <c r="B81"/>
      <c r="C81"/>
      <c r="E81"/>
      <c r="F81"/>
      <c r="H81"/>
      <c r="I81"/>
      <c r="J81"/>
      <c r="K81"/>
      <c r="L81"/>
      <c r="R81"/>
      <c r="S81"/>
      <c r="U81"/>
      <c r="V81"/>
      <c r="X81"/>
      <c r="Y81"/>
      <c r="Z81"/>
      <c r="AA81"/>
      <c r="AB81"/>
      <c r="AH81"/>
      <c r="AI81"/>
      <c r="AK81"/>
      <c r="AL81"/>
      <c r="AN81"/>
      <c r="AO81"/>
      <c r="AP81"/>
      <c r="AQ81"/>
      <c r="AR81"/>
    </row>
    <row r="82" spans="2:44" x14ac:dyDescent="0.25">
      <c r="B82"/>
      <c r="C82"/>
      <c r="E82"/>
      <c r="F82"/>
      <c r="H82"/>
      <c r="I82"/>
      <c r="J82"/>
      <c r="K82"/>
      <c r="L82"/>
      <c r="R82"/>
      <c r="S82"/>
      <c r="U82"/>
      <c r="V82"/>
      <c r="X82"/>
      <c r="Y82"/>
      <c r="Z82"/>
      <c r="AA82"/>
      <c r="AB82"/>
      <c r="AH82"/>
      <c r="AI82"/>
      <c r="AK82"/>
      <c r="AL82"/>
      <c r="AN82"/>
      <c r="AO82"/>
      <c r="AP82"/>
      <c r="AQ82"/>
      <c r="AR82"/>
    </row>
    <row r="83" spans="2:44" x14ac:dyDescent="0.25">
      <c r="B83"/>
      <c r="C83"/>
      <c r="E83"/>
      <c r="F83"/>
      <c r="H83"/>
      <c r="I83"/>
      <c r="J83"/>
      <c r="K83"/>
      <c r="L83"/>
      <c r="R83"/>
      <c r="S83"/>
      <c r="U83"/>
      <c r="V83"/>
      <c r="X83"/>
      <c r="Y83"/>
      <c r="Z83"/>
      <c r="AA83"/>
      <c r="AB83"/>
      <c r="AH83"/>
      <c r="AI83"/>
      <c r="AK83"/>
      <c r="AL83"/>
      <c r="AN83"/>
      <c r="AO83"/>
      <c r="AP83"/>
      <c r="AQ83"/>
      <c r="AR83"/>
    </row>
    <row r="84" spans="2:44" x14ac:dyDescent="0.25">
      <c r="B84"/>
      <c r="C84"/>
      <c r="E84"/>
      <c r="F84"/>
      <c r="H84"/>
      <c r="I84"/>
      <c r="J84"/>
      <c r="K84"/>
      <c r="L84"/>
      <c r="R84"/>
      <c r="S84"/>
      <c r="U84"/>
      <c r="V84"/>
      <c r="X84"/>
      <c r="Y84"/>
      <c r="Z84"/>
      <c r="AA84"/>
      <c r="AB84"/>
      <c r="AH84"/>
      <c r="AI84"/>
      <c r="AK84"/>
      <c r="AL84"/>
      <c r="AN84"/>
      <c r="AO84"/>
      <c r="AP84"/>
      <c r="AQ84"/>
      <c r="AR84"/>
    </row>
    <row r="85" spans="2:44" x14ac:dyDescent="0.25">
      <c r="B85"/>
      <c r="C85"/>
      <c r="E85"/>
      <c r="F85"/>
      <c r="H85"/>
      <c r="I85"/>
      <c r="J85"/>
      <c r="K85"/>
      <c r="L85"/>
      <c r="R85"/>
      <c r="S85"/>
      <c r="U85"/>
      <c r="V85"/>
      <c r="X85"/>
      <c r="Y85"/>
      <c r="Z85"/>
      <c r="AA85"/>
      <c r="AB85"/>
      <c r="AH85"/>
      <c r="AI85"/>
      <c r="AK85"/>
      <c r="AL85"/>
      <c r="AN85"/>
      <c r="AO85"/>
      <c r="AP85"/>
      <c r="AQ85"/>
      <c r="AR85"/>
    </row>
    <row r="86" spans="2:44" x14ac:dyDescent="0.25">
      <c r="B86"/>
      <c r="C86"/>
      <c r="E86"/>
      <c r="F86"/>
      <c r="H86"/>
      <c r="I86"/>
      <c r="J86"/>
      <c r="K86"/>
      <c r="L86"/>
      <c r="R86"/>
      <c r="S86"/>
      <c r="U86"/>
      <c r="V86"/>
      <c r="X86"/>
      <c r="Y86"/>
      <c r="Z86"/>
      <c r="AA86"/>
      <c r="AB86"/>
      <c r="AH86"/>
      <c r="AI86"/>
      <c r="AK86"/>
      <c r="AL86"/>
      <c r="AN86"/>
      <c r="AO86"/>
      <c r="AP86"/>
      <c r="AQ86"/>
      <c r="AR86"/>
    </row>
    <row r="87" spans="2:44" x14ac:dyDescent="0.25">
      <c r="B87"/>
      <c r="C87"/>
      <c r="E87"/>
      <c r="F87"/>
      <c r="H87"/>
      <c r="I87"/>
      <c r="J87"/>
      <c r="K87"/>
      <c r="L87"/>
      <c r="R87"/>
      <c r="S87"/>
      <c r="U87"/>
      <c r="V87"/>
      <c r="X87"/>
      <c r="Y87"/>
      <c r="Z87"/>
      <c r="AA87"/>
      <c r="AB87"/>
      <c r="AH87"/>
      <c r="AI87"/>
      <c r="AK87"/>
      <c r="AL87"/>
      <c r="AN87"/>
      <c r="AO87"/>
      <c r="AP87"/>
      <c r="AQ87"/>
      <c r="AR87"/>
    </row>
    <row r="88" spans="2:44" x14ac:dyDescent="0.25">
      <c r="B88"/>
      <c r="C88"/>
      <c r="E88"/>
      <c r="F88"/>
      <c r="H88"/>
      <c r="I88"/>
      <c r="J88"/>
      <c r="K88"/>
      <c r="L88"/>
      <c r="R88"/>
      <c r="S88"/>
      <c r="U88"/>
      <c r="V88"/>
      <c r="X88"/>
      <c r="Y88"/>
      <c r="Z88"/>
      <c r="AA88"/>
      <c r="AB88"/>
      <c r="AH88"/>
      <c r="AI88"/>
      <c r="AK88"/>
      <c r="AL88"/>
      <c r="AN88"/>
      <c r="AO88"/>
      <c r="AP88"/>
      <c r="AQ88"/>
      <c r="AR88"/>
    </row>
    <row r="89" spans="2:44" x14ac:dyDescent="0.25">
      <c r="B89"/>
      <c r="C89"/>
      <c r="E89"/>
      <c r="F89"/>
      <c r="H89"/>
      <c r="I89"/>
      <c r="J89"/>
      <c r="K89"/>
      <c r="L89"/>
      <c r="R89"/>
      <c r="S89"/>
      <c r="U89"/>
      <c r="V89"/>
      <c r="X89"/>
      <c r="Y89"/>
      <c r="Z89"/>
      <c r="AA89"/>
      <c r="AB89"/>
      <c r="AH89"/>
      <c r="AI89"/>
      <c r="AK89"/>
      <c r="AL89"/>
      <c r="AN89"/>
      <c r="AO89"/>
      <c r="AP89"/>
      <c r="AQ89"/>
      <c r="AR89"/>
    </row>
    <row r="90" spans="2:44" x14ac:dyDescent="0.25">
      <c r="B90"/>
      <c r="C90"/>
      <c r="E90"/>
      <c r="F90"/>
      <c r="H90"/>
      <c r="I90"/>
      <c r="J90"/>
      <c r="K90"/>
      <c r="L90"/>
      <c r="R90"/>
      <c r="S90"/>
      <c r="U90"/>
      <c r="V90"/>
      <c r="X90"/>
      <c r="Y90"/>
      <c r="Z90"/>
      <c r="AA90"/>
      <c r="AB90"/>
      <c r="AH90"/>
      <c r="AI90"/>
      <c r="AK90"/>
      <c r="AL90"/>
      <c r="AN90"/>
      <c r="AO90"/>
      <c r="AP90"/>
      <c r="AQ90"/>
      <c r="AR90"/>
    </row>
    <row r="91" spans="2:44" x14ac:dyDescent="0.25">
      <c r="B91"/>
      <c r="C91"/>
      <c r="E91"/>
      <c r="F91"/>
      <c r="H91"/>
      <c r="I91"/>
      <c r="J91"/>
      <c r="K91"/>
      <c r="L91"/>
      <c r="R91"/>
      <c r="S91"/>
      <c r="U91"/>
      <c r="V91"/>
      <c r="X91"/>
      <c r="Y91"/>
      <c r="Z91"/>
      <c r="AA91"/>
      <c r="AB91"/>
      <c r="AH91"/>
      <c r="AI91"/>
      <c r="AK91"/>
      <c r="AL91"/>
      <c r="AN91"/>
      <c r="AO91"/>
      <c r="AP91"/>
      <c r="AQ91"/>
      <c r="AR91"/>
    </row>
    <row r="92" spans="2:44" x14ac:dyDescent="0.25">
      <c r="B92"/>
      <c r="C92"/>
      <c r="E92"/>
      <c r="F92"/>
      <c r="H92"/>
      <c r="I92"/>
      <c r="J92"/>
      <c r="K92"/>
      <c r="L92"/>
      <c r="R92"/>
      <c r="S92"/>
      <c r="U92"/>
      <c r="V92"/>
      <c r="X92"/>
      <c r="Y92"/>
      <c r="Z92"/>
      <c r="AA92"/>
      <c r="AB92"/>
      <c r="AH92"/>
      <c r="AI92"/>
      <c r="AK92"/>
      <c r="AL92"/>
      <c r="AN92"/>
      <c r="AO92"/>
      <c r="AP92"/>
      <c r="AQ92"/>
      <c r="AR92"/>
    </row>
    <row r="93" spans="2:44" x14ac:dyDescent="0.25">
      <c r="B93"/>
      <c r="C93"/>
      <c r="E93"/>
      <c r="F93"/>
      <c r="H93"/>
      <c r="I93"/>
      <c r="J93"/>
      <c r="K93"/>
      <c r="L93"/>
      <c r="R93"/>
      <c r="S93"/>
      <c r="U93"/>
      <c r="V93"/>
      <c r="X93"/>
      <c r="Y93"/>
      <c r="Z93"/>
      <c r="AA93"/>
      <c r="AB93"/>
      <c r="AH93"/>
      <c r="AI93"/>
      <c r="AK93"/>
      <c r="AL93"/>
      <c r="AN93"/>
      <c r="AO93"/>
      <c r="AP93"/>
      <c r="AQ93"/>
      <c r="AR93"/>
    </row>
    <row r="94" spans="2:44" x14ac:dyDescent="0.25">
      <c r="B94"/>
      <c r="C94"/>
      <c r="E94"/>
      <c r="F94"/>
      <c r="H94"/>
      <c r="I94"/>
      <c r="J94"/>
      <c r="K94"/>
      <c r="L94"/>
      <c r="R94"/>
      <c r="S94"/>
      <c r="U94"/>
      <c r="V94"/>
      <c r="X94"/>
      <c r="Y94"/>
      <c r="Z94"/>
      <c r="AA94"/>
      <c r="AB94"/>
      <c r="AH94"/>
      <c r="AI94"/>
      <c r="AK94"/>
      <c r="AL94"/>
      <c r="AN94"/>
      <c r="AO94"/>
      <c r="AP94"/>
      <c r="AQ94"/>
      <c r="AR94"/>
    </row>
    <row r="95" spans="2:44" x14ac:dyDescent="0.25">
      <c r="B95"/>
      <c r="C95"/>
      <c r="E95"/>
      <c r="F95"/>
      <c r="H95"/>
      <c r="I95"/>
      <c r="J95"/>
      <c r="K95"/>
      <c r="L95"/>
      <c r="R95"/>
      <c r="S95"/>
      <c r="U95"/>
      <c r="V95"/>
      <c r="X95"/>
      <c r="Y95"/>
      <c r="Z95"/>
      <c r="AA95"/>
      <c r="AB95"/>
      <c r="AH95"/>
      <c r="AI95"/>
      <c r="AK95"/>
      <c r="AL95"/>
      <c r="AN95"/>
      <c r="AO95"/>
      <c r="AP95"/>
      <c r="AQ95"/>
      <c r="AR95"/>
    </row>
    <row r="96" spans="2:44" x14ac:dyDescent="0.25">
      <c r="B96"/>
      <c r="C96"/>
      <c r="E96"/>
      <c r="F96"/>
      <c r="H96"/>
      <c r="I96"/>
      <c r="J96"/>
      <c r="K96"/>
      <c r="L96"/>
      <c r="R96"/>
      <c r="S96"/>
      <c r="U96"/>
      <c r="V96"/>
      <c r="X96"/>
      <c r="Y96"/>
      <c r="Z96"/>
      <c r="AA96"/>
      <c r="AB96"/>
      <c r="AH96"/>
      <c r="AI96"/>
      <c r="AK96"/>
      <c r="AL96"/>
      <c r="AN96"/>
      <c r="AO96"/>
      <c r="AP96"/>
      <c r="AQ96"/>
      <c r="AR96"/>
    </row>
    <row r="97" spans="2:44" x14ac:dyDescent="0.25">
      <c r="B97"/>
      <c r="C97"/>
      <c r="E97"/>
      <c r="F97"/>
      <c r="H97"/>
      <c r="I97"/>
      <c r="J97"/>
      <c r="K97"/>
      <c r="L97"/>
      <c r="R97"/>
      <c r="S97"/>
      <c r="U97"/>
      <c r="V97"/>
      <c r="X97"/>
      <c r="Y97"/>
      <c r="Z97"/>
      <c r="AA97"/>
      <c r="AB97"/>
      <c r="AH97"/>
      <c r="AI97"/>
      <c r="AK97"/>
      <c r="AL97"/>
      <c r="AN97"/>
      <c r="AO97"/>
      <c r="AP97"/>
      <c r="AQ97"/>
      <c r="AR97"/>
    </row>
    <row r="98" spans="2:44" x14ac:dyDescent="0.25">
      <c r="B98"/>
      <c r="C98"/>
      <c r="E98"/>
      <c r="F98"/>
      <c r="H98"/>
      <c r="I98"/>
      <c r="J98"/>
      <c r="K98"/>
      <c r="L98"/>
      <c r="R98"/>
      <c r="S98"/>
      <c r="U98"/>
      <c r="V98"/>
      <c r="X98"/>
      <c r="Y98"/>
      <c r="Z98"/>
      <c r="AA98"/>
      <c r="AB98"/>
      <c r="AH98"/>
      <c r="AI98"/>
      <c r="AK98"/>
      <c r="AL98"/>
      <c r="AN98"/>
      <c r="AO98"/>
      <c r="AP98"/>
      <c r="AQ98"/>
      <c r="AR98"/>
    </row>
    <row r="99" spans="2:44" x14ac:dyDescent="0.25">
      <c r="B99"/>
      <c r="C99"/>
      <c r="E99"/>
      <c r="F99"/>
      <c r="H99"/>
      <c r="I99"/>
      <c r="J99"/>
      <c r="K99"/>
      <c r="L99"/>
      <c r="R99"/>
      <c r="S99"/>
      <c r="U99"/>
      <c r="V99"/>
      <c r="X99"/>
      <c r="Y99"/>
      <c r="Z99"/>
      <c r="AA99"/>
      <c r="AB99"/>
      <c r="AH99"/>
      <c r="AI99"/>
      <c r="AK99"/>
      <c r="AL99"/>
      <c r="AN99"/>
      <c r="AO99"/>
      <c r="AP99"/>
      <c r="AQ99"/>
      <c r="AR99"/>
    </row>
    <row r="100" spans="2:44" x14ac:dyDescent="0.25">
      <c r="B100"/>
      <c r="C100"/>
      <c r="E100"/>
      <c r="F100"/>
      <c r="H100"/>
      <c r="I100"/>
      <c r="J100"/>
      <c r="K100"/>
      <c r="L100"/>
      <c r="R100"/>
      <c r="S100"/>
      <c r="U100"/>
      <c r="V100"/>
      <c r="X100"/>
      <c r="Y100"/>
      <c r="Z100"/>
      <c r="AA100"/>
      <c r="AB100"/>
      <c r="AH100"/>
      <c r="AI100"/>
      <c r="AK100"/>
      <c r="AL100"/>
      <c r="AN100"/>
      <c r="AO100"/>
      <c r="AP100"/>
      <c r="AQ100"/>
      <c r="AR100"/>
    </row>
    <row r="101" spans="2:44" x14ac:dyDescent="0.25">
      <c r="B101"/>
      <c r="C101"/>
      <c r="E101"/>
      <c r="F101"/>
      <c r="H101"/>
      <c r="I101"/>
      <c r="J101"/>
      <c r="K101"/>
      <c r="L101"/>
      <c r="R101"/>
      <c r="S101"/>
      <c r="U101"/>
      <c r="V101"/>
      <c r="X101"/>
      <c r="Y101"/>
      <c r="Z101"/>
      <c r="AA101"/>
      <c r="AB101"/>
      <c r="AH101"/>
      <c r="AI101"/>
      <c r="AK101"/>
      <c r="AL101"/>
      <c r="AN101"/>
      <c r="AO101"/>
      <c r="AP101"/>
      <c r="AQ101"/>
      <c r="AR101"/>
    </row>
    <row r="102" spans="2:44" x14ac:dyDescent="0.25">
      <c r="B102"/>
      <c r="C102"/>
      <c r="E102"/>
      <c r="F102"/>
      <c r="H102"/>
      <c r="I102"/>
      <c r="J102"/>
      <c r="K102"/>
      <c r="L102"/>
      <c r="R102"/>
      <c r="S102"/>
      <c r="U102"/>
      <c r="V102"/>
      <c r="X102"/>
      <c r="Y102"/>
      <c r="Z102"/>
      <c r="AA102"/>
      <c r="AB102"/>
      <c r="AH102"/>
      <c r="AI102"/>
      <c r="AK102"/>
      <c r="AL102"/>
      <c r="AN102"/>
      <c r="AO102"/>
      <c r="AP102"/>
      <c r="AQ102"/>
      <c r="AR102"/>
    </row>
    <row r="103" spans="2:44" x14ac:dyDescent="0.25">
      <c r="B103"/>
      <c r="C103"/>
      <c r="E103"/>
      <c r="F103"/>
      <c r="H103"/>
      <c r="I103"/>
      <c r="J103"/>
      <c r="K103"/>
      <c r="L103"/>
      <c r="R103"/>
      <c r="S103"/>
      <c r="U103"/>
      <c r="V103"/>
      <c r="X103"/>
      <c r="Y103"/>
      <c r="Z103"/>
      <c r="AA103"/>
      <c r="AB103"/>
      <c r="AH103"/>
      <c r="AI103"/>
      <c r="AK103"/>
      <c r="AL103"/>
      <c r="AN103"/>
      <c r="AO103"/>
      <c r="AP103"/>
      <c r="AQ103"/>
      <c r="AR103"/>
    </row>
    <row r="104" spans="2:44" x14ac:dyDescent="0.25">
      <c r="B104"/>
      <c r="C104"/>
      <c r="E104"/>
      <c r="F104"/>
      <c r="H104"/>
      <c r="I104"/>
      <c r="J104"/>
      <c r="K104"/>
      <c r="L104"/>
      <c r="R104"/>
      <c r="S104"/>
      <c r="U104"/>
      <c r="V104"/>
      <c r="X104"/>
      <c r="Y104"/>
      <c r="Z104"/>
      <c r="AA104"/>
      <c r="AB104"/>
      <c r="AH104"/>
      <c r="AI104"/>
      <c r="AK104"/>
      <c r="AL104"/>
      <c r="AN104"/>
      <c r="AO104"/>
      <c r="AP104"/>
      <c r="AQ104"/>
      <c r="AR104"/>
    </row>
    <row r="105" spans="2:44" x14ac:dyDescent="0.25">
      <c r="B105"/>
      <c r="C105"/>
      <c r="E105"/>
      <c r="F105"/>
      <c r="H105"/>
      <c r="I105"/>
      <c r="J105"/>
      <c r="K105"/>
      <c r="L105"/>
      <c r="R105"/>
      <c r="S105"/>
      <c r="U105"/>
      <c r="V105"/>
      <c r="X105"/>
      <c r="Y105"/>
      <c r="Z105"/>
      <c r="AA105"/>
      <c r="AB105"/>
      <c r="AH105"/>
      <c r="AI105"/>
      <c r="AK105"/>
      <c r="AL105"/>
      <c r="AN105"/>
      <c r="AO105"/>
      <c r="AP105"/>
      <c r="AQ105"/>
      <c r="AR105"/>
    </row>
    <row r="106" spans="2:44" x14ac:dyDescent="0.25">
      <c r="B106"/>
      <c r="C106"/>
      <c r="E106"/>
      <c r="F106"/>
      <c r="H106"/>
      <c r="I106"/>
      <c r="J106"/>
      <c r="K106"/>
      <c r="L106"/>
      <c r="R106"/>
      <c r="S106"/>
      <c r="U106"/>
      <c r="V106"/>
      <c r="X106"/>
      <c r="Y106"/>
      <c r="Z106"/>
      <c r="AA106"/>
      <c r="AB106"/>
      <c r="AH106"/>
      <c r="AI106"/>
      <c r="AK106"/>
      <c r="AL106"/>
      <c r="AN106"/>
      <c r="AO106"/>
      <c r="AP106"/>
      <c r="AQ106"/>
      <c r="AR106"/>
    </row>
    <row r="107" spans="2:44" x14ac:dyDescent="0.25">
      <c r="B107"/>
      <c r="C107"/>
      <c r="E107"/>
      <c r="F107"/>
      <c r="H107"/>
      <c r="I107"/>
      <c r="J107"/>
      <c r="K107"/>
      <c r="L107"/>
      <c r="R107"/>
      <c r="S107"/>
      <c r="U107"/>
      <c r="V107"/>
      <c r="X107"/>
      <c r="Y107"/>
      <c r="Z107"/>
      <c r="AA107"/>
      <c r="AB107"/>
      <c r="AH107"/>
      <c r="AI107"/>
      <c r="AK107"/>
      <c r="AL107"/>
      <c r="AN107"/>
      <c r="AO107"/>
      <c r="AP107"/>
      <c r="AQ107"/>
      <c r="AR107"/>
    </row>
    <row r="108" spans="2:44" x14ac:dyDescent="0.25">
      <c r="B108"/>
      <c r="C108"/>
      <c r="E108"/>
      <c r="F108"/>
      <c r="H108"/>
      <c r="I108"/>
      <c r="J108"/>
      <c r="K108"/>
      <c r="L108"/>
      <c r="R108"/>
      <c r="S108"/>
      <c r="U108"/>
      <c r="V108"/>
      <c r="X108"/>
      <c r="Y108"/>
      <c r="Z108"/>
      <c r="AA108"/>
      <c r="AB108"/>
      <c r="AH108"/>
      <c r="AI108"/>
      <c r="AK108"/>
      <c r="AL108"/>
      <c r="AN108"/>
      <c r="AO108"/>
      <c r="AP108"/>
      <c r="AQ108"/>
      <c r="AR108"/>
    </row>
    <row r="109" spans="2:44" x14ac:dyDescent="0.25">
      <c r="B109"/>
      <c r="C109"/>
      <c r="E109"/>
      <c r="F109"/>
      <c r="H109"/>
      <c r="I109"/>
      <c r="J109"/>
      <c r="K109"/>
      <c r="L109"/>
      <c r="R109"/>
      <c r="S109"/>
      <c r="U109"/>
      <c r="V109"/>
      <c r="X109"/>
      <c r="Y109"/>
      <c r="Z109"/>
      <c r="AA109"/>
      <c r="AB109"/>
      <c r="AH109"/>
      <c r="AI109"/>
      <c r="AK109"/>
      <c r="AL109"/>
      <c r="AN109"/>
      <c r="AO109"/>
      <c r="AP109"/>
      <c r="AQ109"/>
      <c r="AR109"/>
    </row>
    <row r="110" spans="2:44" x14ac:dyDescent="0.25">
      <c r="B110"/>
      <c r="C110"/>
      <c r="E110"/>
      <c r="F110"/>
      <c r="H110"/>
      <c r="I110"/>
      <c r="J110"/>
      <c r="K110"/>
      <c r="L110"/>
      <c r="R110"/>
      <c r="S110"/>
      <c r="U110"/>
      <c r="V110"/>
      <c r="X110"/>
      <c r="Y110"/>
      <c r="Z110"/>
      <c r="AA110"/>
      <c r="AB110"/>
      <c r="AH110"/>
      <c r="AI110"/>
      <c r="AK110"/>
      <c r="AL110"/>
      <c r="AN110"/>
      <c r="AO110"/>
      <c r="AP110"/>
      <c r="AQ110"/>
      <c r="AR110"/>
    </row>
    <row r="111" spans="2:44" x14ac:dyDescent="0.25">
      <c r="B111"/>
      <c r="C111"/>
      <c r="E111"/>
      <c r="F111"/>
      <c r="H111"/>
      <c r="I111"/>
      <c r="J111"/>
      <c r="K111"/>
      <c r="L111"/>
      <c r="R111"/>
      <c r="S111"/>
      <c r="U111"/>
      <c r="V111"/>
      <c r="X111"/>
      <c r="Y111"/>
      <c r="Z111"/>
      <c r="AA111"/>
      <c r="AB111"/>
      <c r="AH111"/>
      <c r="AI111"/>
      <c r="AK111"/>
      <c r="AL111"/>
      <c r="AN111"/>
      <c r="AO111"/>
      <c r="AP111"/>
      <c r="AQ111"/>
      <c r="AR111"/>
    </row>
  </sheetData>
  <mergeCells count="33">
    <mergeCell ref="H51:I51"/>
    <mergeCell ref="H39:I39"/>
    <mergeCell ref="J39:K39"/>
    <mergeCell ref="A40:B40"/>
    <mergeCell ref="D40:E40"/>
    <mergeCell ref="I45:J45"/>
    <mergeCell ref="C1:J1"/>
    <mergeCell ref="E3:F3"/>
    <mergeCell ref="I3:K3"/>
    <mergeCell ref="J20:J21"/>
    <mergeCell ref="A38:B38"/>
    <mergeCell ref="AG40:AH40"/>
    <mergeCell ref="AJ40:AK40"/>
    <mergeCell ref="AP20:AP21"/>
    <mergeCell ref="AG38:AH38"/>
    <mergeCell ref="AN39:AO39"/>
    <mergeCell ref="AP39:AQ39"/>
    <mergeCell ref="AI1:AP1"/>
    <mergeCell ref="AK3:AL3"/>
    <mergeCell ref="AO3:AQ3"/>
    <mergeCell ref="AO45:AP45"/>
    <mergeCell ref="AN51:AO51"/>
    <mergeCell ref="S1:Z1"/>
    <mergeCell ref="U3:V3"/>
    <mergeCell ref="Y3:AA3"/>
    <mergeCell ref="Z20:Z21"/>
    <mergeCell ref="Q38:R38"/>
    <mergeCell ref="X51:Y51"/>
    <mergeCell ref="X39:Y39"/>
    <mergeCell ref="Z39:AA39"/>
    <mergeCell ref="Q40:R40"/>
    <mergeCell ref="T40:U40"/>
    <mergeCell ref="Y45:Z45"/>
  </mergeCells>
  <pageMargins left="0.70866141732283472" right="0.70866141732283472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81"/>
  <sheetViews>
    <sheetView topLeftCell="A38" workbookViewId="0">
      <selection activeCell="D60" sqref="D60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9.5703125" customWidth="1"/>
    <col min="17" max="17" width="20.140625" bestFit="1" customWidth="1"/>
  </cols>
  <sheetData>
    <row r="1" spans="1:18" ht="16.5" thickBot="1" x14ac:dyDescent="0.3"/>
    <row r="2" spans="1:18" ht="19.5" thickBot="1" x14ac:dyDescent="0.35">
      <c r="B2" s="176"/>
      <c r="C2" s="177"/>
      <c r="D2" s="260" t="s">
        <v>21</v>
      </c>
      <c r="E2" s="179"/>
      <c r="F2" s="180"/>
      <c r="G2" s="181"/>
      <c r="L2" s="33"/>
      <c r="M2" s="343">
        <v>1</v>
      </c>
      <c r="N2" s="86" t="s">
        <v>28</v>
      </c>
      <c r="O2" s="86"/>
      <c r="P2" s="110"/>
      <c r="Q2" s="195">
        <v>42479</v>
      </c>
      <c r="R2" s="112"/>
    </row>
    <row r="3" spans="1:18" ht="16.5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3"/>
      <c r="M3" s="344"/>
      <c r="N3" s="113"/>
      <c r="O3" s="113"/>
      <c r="P3" s="114"/>
      <c r="Q3" s="115"/>
      <c r="R3" s="112"/>
    </row>
    <row r="4" spans="1:18" ht="16.5" thickBot="1" x14ac:dyDescent="0.3">
      <c r="A4" s="14"/>
      <c r="B4" s="92">
        <v>42461</v>
      </c>
      <c r="C4" s="93" t="s">
        <v>152</v>
      </c>
      <c r="D4" s="132">
        <v>10837</v>
      </c>
      <c r="E4" s="95">
        <v>42479</v>
      </c>
      <c r="F4" s="94">
        <v>10837</v>
      </c>
      <c r="G4" s="158">
        <f t="shared" ref="G4:G45" si="0">D4-F4</f>
        <v>0</v>
      </c>
      <c r="H4" s="146"/>
      <c r="L4" s="3"/>
      <c r="M4" s="116" t="s">
        <v>23</v>
      </c>
      <c r="N4" s="116" t="s">
        <v>24</v>
      </c>
      <c r="O4" s="116"/>
      <c r="P4" s="117" t="s">
        <v>29</v>
      </c>
      <c r="Q4" s="118" t="s">
        <v>30</v>
      </c>
      <c r="R4" s="119"/>
    </row>
    <row r="5" spans="1:18" ht="16.5" thickTop="1" x14ac:dyDescent="0.25">
      <c r="A5" s="14"/>
      <c r="B5" s="96">
        <v>42462</v>
      </c>
      <c r="C5" s="93" t="s">
        <v>161</v>
      </c>
      <c r="D5" s="132">
        <v>180446</v>
      </c>
      <c r="E5" s="95">
        <v>42479</v>
      </c>
      <c r="F5" s="94">
        <v>180446</v>
      </c>
      <c r="G5" s="97">
        <f t="shared" si="0"/>
        <v>0</v>
      </c>
      <c r="H5" s="146"/>
      <c r="L5" s="3">
        <f>21513.5+35000+4387+62291.5</f>
        <v>123192</v>
      </c>
      <c r="M5" s="93" t="s">
        <v>136</v>
      </c>
      <c r="N5" s="94">
        <v>123192</v>
      </c>
      <c r="O5" s="120" t="s">
        <v>36</v>
      </c>
      <c r="P5" s="121">
        <v>3261655</v>
      </c>
      <c r="Q5" s="122">
        <v>21513.5</v>
      </c>
      <c r="R5" s="123">
        <v>42453</v>
      </c>
    </row>
    <row r="6" spans="1:18" x14ac:dyDescent="0.25">
      <c r="A6" s="14"/>
      <c r="B6" s="96">
        <v>42464</v>
      </c>
      <c r="C6" s="98" t="s">
        <v>162</v>
      </c>
      <c r="D6" s="132">
        <v>23558.6</v>
      </c>
      <c r="E6" s="95">
        <v>42479</v>
      </c>
      <c r="F6" s="94">
        <v>23558.6</v>
      </c>
      <c r="G6" s="97">
        <f t="shared" si="0"/>
        <v>0</v>
      </c>
      <c r="H6" s="38"/>
      <c r="L6" s="3">
        <f>10927+23062+40352.2+5985.3</f>
        <v>80326.5</v>
      </c>
      <c r="M6" s="93" t="s">
        <v>139</v>
      </c>
      <c r="N6" s="94">
        <v>80326.5</v>
      </c>
      <c r="O6" s="124"/>
      <c r="P6" s="125">
        <v>3261654</v>
      </c>
      <c r="Q6" s="126">
        <v>35000</v>
      </c>
      <c r="R6" s="127">
        <v>42453</v>
      </c>
    </row>
    <row r="7" spans="1:18" x14ac:dyDescent="0.25">
      <c r="A7" s="14"/>
      <c r="B7" s="96">
        <v>42465</v>
      </c>
      <c r="C7" s="93" t="s">
        <v>168</v>
      </c>
      <c r="D7" s="132">
        <v>79686.2</v>
      </c>
      <c r="E7" s="95">
        <v>42479</v>
      </c>
      <c r="F7" s="94">
        <v>79686.2</v>
      </c>
      <c r="G7" s="99">
        <f>D7-F7</f>
        <v>0</v>
      </c>
      <c r="H7" s="38"/>
      <c r="L7" s="3">
        <v>355.25</v>
      </c>
      <c r="M7" s="93" t="s">
        <v>140</v>
      </c>
      <c r="N7" s="94">
        <v>355.25</v>
      </c>
      <c r="O7" s="124"/>
      <c r="P7" s="125">
        <v>3261656</v>
      </c>
      <c r="Q7" s="126">
        <v>4387</v>
      </c>
      <c r="R7" s="127">
        <v>42454</v>
      </c>
    </row>
    <row r="8" spans="1:18" x14ac:dyDescent="0.25">
      <c r="A8" s="14"/>
      <c r="B8" s="96">
        <v>42467</v>
      </c>
      <c r="C8" s="93" t="s">
        <v>163</v>
      </c>
      <c r="D8" s="132">
        <v>187763.4</v>
      </c>
      <c r="E8" s="95">
        <v>42479</v>
      </c>
      <c r="F8" s="100">
        <v>187763.4</v>
      </c>
      <c r="G8" s="97">
        <f>D8-F8</f>
        <v>0</v>
      </c>
      <c r="H8" s="38"/>
      <c r="L8" s="3">
        <f>63715+32749.5+48766.5</f>
        <v>145231</v>
      </c>
      <c r="M8" s="93" t="s">
        <v>147</v>
      </c>
      <c r="N8" s="94">
        <v>145231</v>
      </c>
      <c r="O8" s="124"/>
      <c r="P8" s="125">
        <v>3261659</v>
      </c>
      <c r="Q8" s="126">
        <v>73574</v>
      </c>
      <c r="R8" s="127">
        <v>42455</v>
      </c>
    </row>
    <row r="9" spans="1:18" x14ac:dyDescent="0.25">
      <c r="A9" s="82"/>
      <c r="B9" s="96">
        <v>42469</v>
      </c>
      <c r="C9" s="93" t="s">
        <v>164</v>
      </c>
      <c r="D9" s="235">
        <v>89160</v>
      </c>
      <c r="E9" s="95">
        <v>42479</v>
      </c>
      <c r="F9" s="94">
        <v>89160</v>
      </c>
      <c r="G9" s="99">
        <f>D9-F9</f>
        <v>0</v>
      </c>
      <c r="H9" s="38"/>
      <c r="L9" s="3">
        <v>725</v>
      </c>
      <c r="M9" s="250" t="s">
        <v>153</v>
      </c>
      <c r="N9" s="94">
        <v>725</v>
      </c>
      <c r="O9" s="124"/>
      <c r="P9" s="125">
        <v>3261658</v>
      </c>
      <c r="Q9" s="126">
        <v>23062</v>
      </c>
      <c r="R9" s="127">
        <v>42456</v>
      </c>
    </row>
    <row r="10" spans="1:18" ht="16.5" thickBot="1" x14ac:dyDescent="0.3">
      <c r="A10" s="14"/>
      <c r="B10" s="96">
        <v>42471</v>
      </c>
      <c r="C10" s="93" t="s">
        <v>165</v>
      </c>
      <c r="D10" s="132">
        <v>24120</v>
      </c>
      <c r="E10" s="95" t="s">
        <v>218</v>
      </c>
      <c r="F10" s="94">
        <f>9359+14761</f>
        <v>24120</v>
      </c>
      <c r="G10" s="99">
        <f>D10-F10</f>
        <v>0</v>
      </c>
      <c r="H10" s="38"/>
      <c r="L10" s="3">
        <f>42370+121879+32031</f>
        <v>196280</v>
      </c>
      <c r="M10" s="251" t="s">
        <v>148</v>
      </c>
      <c r="N10" s="105">
        <v>196280</v>
      </c>
      <c r="O10" s="128"/>
      <c r="P10" s="125" t="s">
        <v>31</v>
      </c>
      <c r="Q10" s="126">
        <v>40352.199999999997</v>
      </c>
      <c r="R10" s="127">
        <v>42455</v>
      </c>
    </row>
    <row r="11" spans="1:18" ht="16.5" thickTop="1" x14ac:dyDescent="0.25">
      <c r="A11" s="14"/>
      <c r="B11" s="96">
        <v>42471</v>
      </c>
      <c r="C11" s="93" t="s">
        <v>182</v>
      </c>
      <c r="D11" s="132">
        <v>247.45</v>
      </c>
      <c r="E11" s="95">
        <v>42487</v>
      </c>
      <c r="F11" s="94">
        <v>247.45</v>
      </c>
      <c r="G11" s="99">
        <f>D11-F11</f>
        <v>0</v>
      </c>
      <c r="H11" s="38"/>
      <c r="L11" s="3">
        <f>10837</f>
        <v>10837</v>
      </c>
      <c r="M11" s="93" t="s">
        <v>152</v>
      </c>
      <c r="N11" s="94">
        <v>10837</v>
      </c>
      <c r="O11" s="129"/>
      <c r="P11" s="125">
        <v>3261661</v>
      </c>
      <c r="Q11" s="126">
        <v>35000</v>
      </c>
      <c r="R11" s="127">
        <v>42457</v>
      </c>
    </row>
    <row r="12" spans="1:18" ht="15" x14ac:dyDescent="0.25">
      <c r="A12" s="14"/>
      <c r="B12" s="96">
        <v>42471</v>
      </c>
      <c r="C12" s="93" t="s">
        <v>166</v>
      </c>
      <c r="D12" s="132">
        <v>83415</v>
      </c>
      <c r="E12" s="95">
        <v>42487</v>
      </c>
      <c r="F12" s="132">
        <v>83415</v>
      </c>
      <c r="G12" s="99">
        <f t="shared" si="0"/>
        <v>0</v>
      </c>
      <c r="H12" s="38"/>
      <c r="L12" s="3">
        <f>73327.5+57823.5+49295</f>
        <v>180446</v>
      </c>
      <c r="M12" s="93" t="s">
        <v>161</v>
      </c>
      <c r="N12" s="94">
        <v>180446</v>
      </c>
      <c r="O12" s="124"/>
      <c r="P12" s="130">
        <v>3261662</v>
      </c>
      <c r="Q12" s="131">
        <v>14936.5</v>
      </c>
      <c r="R12" s="127">
        <v>42457</v>
      </c>
    </row>
    <row r="13" spans="1:18" ht="15" x14ac:dyDescent="0.25">
      <c r="A13" s="14"/>
      <c r="B13" s="96">
        <v>42472</v>
      </c>
      <c r="C13" s="93" t="s">
        <v>167</v>
      </c>
      <c r="D13" s="132">
        <v>54756</v>
      </c>
      <c r="E13" s="95">
        <v>42487</v>
      </c>
      <c r="F13" s="132">
        <v>54756</v>
      </c>
      <c r="G13" s="99">
        <f t="shared" si="0"/>
        <v>0</v>
      </c>
      <c r="H13" s="38"/>
      <c r="L13" s="3">
        <f>137.5+10756+12665</f>
        <v>23558.5</v>
      </c>
      <c r="M13" s="98" t="s">
        <v>162</v>
      </c>
      <c r="N13" s="94">
        <v>23558.6</v>
      </c>
      <c r="O13" s="124"/>
      <c r="P13" s="130" t="s">
        <v>31</v>
      </c>
      <c r="Q13" s="131">
        <v>19764</v>
      </c>
      <c r="R13" s="127">
        <v>42458</v>
      </c>
    </row>
    <row r="14" spans="1:18" ht="15" x14ac:dyDescent="0.25">
      <c r="A14" s="264"/>
      <c r="B14" s="96">
        <v>42474</v>
      </c>
      <c r="C14" s="93" t="s">
        <v>183</v>
      </c>
      <c r="D14" s="132">
        <v>142090.29999999999</v>
      </c>
      <c r="E14" s="95">
        <v>42487</v>
      </c>
      <c r="F14" s="132">
        <v>142090.29999999999</v>
      </c>
      <c r="G14" s="99">
        <f t="shared" si="0"/>
        <v>0</v>
      </c>
      <c r="H14" s="38"/>
      <c r="L14" s="3">
        <f>11035+23968.5+44683</f>
        <v>79686.5</v>
      </c>
      <c r="M14" s="93" t="s">
        <v>168</v>
      </c>
      <c r="N14" s="94">
        <v>79686.2</v>
      </c>
      <c r="O14" s="124"/>
      <c r="P14" s="130">
        <v>3261660</v>
      </c>
      <c r="Q14" s="131">
        <v>32750</v>
      </c>
      <c r="R14" s="127">
        <v>42458</v>
      </c>
    </row>
    <row r="15" spans="1:18" ht="15" x14ac:dyDescent="0.25">
      <c r="A15" s="14"/>
      <c r="B15" s="96">
        <v>42476</v>
      </c>
      <c r="C15" s="93" t="s">
        <v>184</v>
      </c>
      <c r="D15" s="132">
        <v>13627.9</v>
      </c>
      <c r="E15" s="95">
        <v>42487</v>
      </c>
      <c r="F15" s="132">
        <v>13627.9</v>
      </c>
      <c r="G15" s="99">
        <f t="shared" si="0"/>
        <v>0</v>
      </c>
      <c r="H15" s="38"/>
      <c r="L15" s="3">
        <f>144490+43273.5</f>
        <v>187763.5</v>
      </c>
      <c r="M15" s="93" t="s">
        <v>163</v>
      </c>
      <c r="N15" s="94">
        <v>187763.4</v>
      </c>
      <c r="O15" s="124"/>
      <c r="P15" s="130">
        <v>3261663</v>
      </c>
      <c r="Q15" s="131">
        <v>55000</v>
      </c>
      <c r="R15" s="127">
        <v>42459</v>
      </c>
    </row>
    <row r="16" spans="1:18" ht="15" x14ac:dyDescent="0.25">
      <c r="A16" s="14"/>
      <c r="B16" s="96">
        <v>42476</v>
      </c>
      <c r="C16" s="93" t="s">
        <v>185</v>
      </c>
      <c r="D16" s="132">
        <v>174189</v>
      </c>
      <c r="E16" s="95">
        <v>42487</v>
      </c>
      <c r="F16" s="132">
        <v>174189</v>
      </c>
      <c r="G16" s="99">
        <f t="shared" si="0"/>
        <v>0</v>
      </c>
      <c r="H16" s="38"/>
      <c r="L16" s="3">
        <f>47791+41369</f>
        <v>89160</v>
      </c>
      <c r="M16" s="93" t="s">
        <v>164</v>
      </c>
      <c r="N16" s="100">
        <v>89160</v>
      </c>
      <c r="O16" s="124"/>
      <c r="P16" s="130">
        <v>3261664</v>
      </c>
      <c r="Q16" s="131">
        <v>36136.5</v>
      </c>
      <c r="R16" s="127">
        <v>42459</v>
      </c>
    </row>
    <row r="17" spans="1:18" ht="15" x14ac:dyDescent="0.25">
      <c r="A17" s="14"/>
      <c r="B17" s="96">
        <v>42478</v>
      </c>
      <c r="C17" s="93" t="s">
        <v>186</v>
      </c>
      <c r="D17" s="132">
        <v>6909.88</v>
      </c>
      <c r="E17" s="95">
        <v>42487</v>
      </c>
      <c r="F17" s="132">
        <v>6909.88</v>
      </c>
      <c r="G17" s="99">
        <f t="shared" si="0"/>
        <v>0</v>
      </c>
      <c r="H17" s="38"/>
      <c r="L17" s="3">
        <v>9359</v>
      </c>
      <c r="M17" s="93" t="s">
        <v>165</v>
      </c>
      <c r="N17" s="132">
        <v>9359</v>
      </c>
      <c r="O17" s="124" t="s">
        <v>37</v>
      </c>
      <c r="P17" s="130">
        <v>3261665</v>
      </c>
      <c r="Q17" s="131">
        <v>12000</v>
      </c>
      <c r="R17" s="127">
        <v>42460</v>
      </c>
    </row>
    <row r="18" spans="1:18" ht="15" x14ac:dyDescent="0.25">
      <c r="A18" s="14"/>
      <c r="B18" s="96">
        <v>42479</v>
      </c>
      <c r="C18" s="93" t="s">
        <v>196</v>
      </c>
      <c r="D18" s="132">
        <v>225024</v>
      </c>
      <c r="E18" s="283" t="s">
        <v>233</v>
      </c>
      <c r="F18" s="101">
        <f>22026+202998</f>
        <v>225024</v>
      </c>
      <c r="G18" s="99">
        <f t="shared" si="0"/>
        <v>0</v>
      </c>
      <c r="H18" s="38"/>
      <c r="L18" s="3"/>
      <c r="M18" s="233"/>
      <c r="N18" s="234"/>
      <c r="O18" s="124"/>
      <c r="P18" s="130">
        <v>3261666</v>
      </c>
      <c r="Q18" s="131">
        <v>46473.5</v>
      </c>
      <c r="R18" s="127">
        <v>42460</v>
      </c>
    </row>
    <row r="19" spans="1:18" ht="15" x14ac:dyDescent="0.25">
      <c r="A19" s="14"/>
      <c r="B19" s="96">
        <v>42483</v>
      </c>
      <c r="C19" s="93" t="s">
        <v>205</v>
      </c>
      <c r="D19" s="132">
        <v>60624.3</v>
      </c>
      <c r="E19" s="102">
        <v>42495</v>
      </c>
      <c r="F19" s="101">
        <v>60624.3</v>
      </c>
      <c r="G19" s="99">
        <f t="shared" si="0"/>
        <v>0</v>
      </c>
      <c r="H19" s="38"/>
      <c r="L19" s="3"/>
      <c r="M19" s="233"/>
      <c r="N19" s="234"/>
      <c r="O19" s="124"/>
      <c r="P19" s="130" t="s">
        <v>31</v>
      </c>
      <c r="Q19" s="131">
        <v>63405.5</v>
      </c>
      <c r="R19" s="127">
        <v>42459</v>
      </c>
    </row>
    <row r="20" spans="1:18" ht="15" x14ac:dyDescent="0.25">
      <c r="A20" s="14"/>
      <c r="B20" s="96">
        <v>42483</v>
      </c>
      <c r="C20" s="93" t="s">
        <v>206</v>
      </c>
      <c r="D20" s="132">
        <v>146642.1</v>
      </c>
      <c r="E20" s="102">
        <v>42495</v>
      </c>
      <c r="F20" s="101">
        <v>146642.1</v>
      </c>
      <c r="G20" s="99">
        <f t="shared" si="0"/>
        <v>0</v>
      </c>
      <c r="H20" s="38"/>
      <c r="L20" s="3"/>
      <c r="M20" s="233"/>
      <c r="N20" s="234"/>
      <c r="O20" s="124"/>
      <c r="P20" s="130">
        <v>3261669</v>
      </c>
      <c r="Q20" s="131">
        <v>49000</v>
      </c>
      <c r="R20" s="127">
        <v>42462</v>
      </c>
    </row>
    <row r="21" spans="1:18" ht="15" x14ac:dyDescent="0.25">
      <c r="A21" s="14"/>
      <c r="B21" s="96">
        <v>42485</v>
      </c>
      <c r="C21" s="93" t="s">
        <v>214</v>
      </c>
      <c r="D21" s="132">
        <v>56970.1</v>
      </c>
      <c r="E21" s="102">
        <v>42495</v>
      </c>
      <c r="F21" s="101">
        <v>56970.1</v>
      </c>
      <c r="G21" s="99">
        <f t="shared" si="0"/>
        <v>0</v>
      </c>
      <c r="H21" s="38"/>
      <c r="L21" s="3"/>
      <c r="M21" s="233"/>
      <c r="N21" s="234"/>
      <c r="O21" s="124"/>
      <c r="P21" s="130">
        <v>3261670</v>
      </c>
      <c r="Q21" s="131">
        <v>24327.5</v>
      </c>
      <c r="R21" s="127">
        <v>42462</v>
      </c>
    </row>
    <row r="22" spans="1:18" ht="15" x14ac:dyDescent="0.25">
      <c r="A22" s="14"/>
      <c r="B22" s="96">
        <v>42485</v>
      </c>
      <c r="C22" s="93" t="s">
        <v>215</v>
      </c>
      <c r="D22" s="132">
        <v>144870.75</v>
      </c>
      <c r="E22" s="182" t="s">
        <v>252</v>
      </c>
      <c r="F22" s="101">
        <f>31820+113050.75</f>
        <v>144870.75</v>
      </c>
      <c r="G22" s="99">
        <f t="shared" si="0"/>
        <v>0</v>
      </c>
      <c r="H22" s="38"/>
      <c r="L22" s="3"/>
      <c r="M22" s="233"/>
      <c r="N22" s="234"/>
      <c r="O22" s="124"/>
      <c r="P22" s="130">
        <v>3261667</v>
      </c>
      <c r="Q22" s="131">
        <v>43593</v>
      </c>
      <c r="R22" s="127">
        <v>42461</v>
      </c>
    </row>
    <row r="23" spans="1:18" ht="15" x14ac:dyDescent="0.25">
      <c r="A23" s="14"/>
      <c r="B23" s="96">
        <v>42487</v>
      </c>
      <c r="C23" s="93" t="s">
        <v>221</v>
      </c>
      <c r="D23" s="132">
        <v>4572</v>
      </c>
      <c r="E23" s="102">
        <v>42506</v>
      </c>
      <c r="F23" s="101">
        <v>4572</v>
      </c>
      <c r="G23" s="99">
        <f t="shared" si="0"/>
        <v>0</v>
      </c>
      <c r="H23" s="38"/>
      <c r="L23" s="3"/>
      <c r="M23" s="233"/>
      <c r="N23" s="234"/>
      <c r="O23" s="124"/>
      <c r="P23" s="130">
        <v>3261671</v>
      </c>
      <c r="Q23" s="131">
        <v>40000</v>
      </c>
      <c r="R23" s="127">
        <v>42463</v>
      </c>
    </row>
    <row r="24" spans="1:18" ht="15" x14ac:dyDescent="0.25">
      <c r="A24" s="14"/>
      <c r="B24" s="96">
        <v>42489</v>
      </c>
      <c r="C24" s="93" t="s">
        <v>222</v>
      </c>
      <c r="D24" s="132">
        <v>15642</v>
      </c>
      <c r="E24" s="102">
        <v>42506</v>
      </c>
      <c r="F24" s="101">
        <v>15642</v>
      </c>
      <c r="G24" s="99">
        <f t="shared" si="0"/>
        <v>0</v>
      </c>
      <c r="H24" s="38"/>
      <c r="L24" s="3"/>
      <c r="M24" s="233"/>
      <c r="N24" s="234"/>
      <c r="O24" s="124"/>
      <c r="P24" s="130">
        <v>3261775</v>
      </c>
      <c r="Q24" s="131">
        <v>17961</v>
      </c>
      <c r="R24" s="127">
        <v>42467</v>
      </c>
    </row>
    <row r="25" spans="1:18" ht="15" x14ac:dyDescent="0.25">
      <c r="A25" s="14"/>
      <c r="B25" s="96">
        <v>42490</v>
      </c>
      <c r="C25" s="93" t="s">
        <v>223</v>
      </c>
      <c r="D25" s="132">
        <v>182683.1</v>
      </c>
      <c r="E25" s="102">
        <v>42506</v>
      </c>
      <c r="F25" s="101">
        <v>182683.1</v>
      </c>
      <c r="G25" s="99">
        <f t="shared" si="0"/>
        <v>0</v>
      </c>
      <c r="H25" s="38"/>
      <c r="L25" s="3"/>
      <c r="M25" s="233"/>
      <c r="N25" s="234"/>
      <c r="O25" s="124"/>
      <c r="P25" s="130">
        <v>3280446</v>
      </c>
      <c r="Q25" s="131">
        <v>17509</v>
      </c>
      <c r="R25" s="127">
        <v>42376</v>
      </c>
    </row>
    <row r="26" spans="1:18" ht="15" x14ac:dyDescent="0.25">
      <c r="A26" s="14"/>
      <c r="B26" s="96">
        <v>42490</v>
      </c>
      <c r="C26" s="93">
        <v>14715</v>
      </c>
      <c r="D26" s="132">
        <v>840</v>
      </c>
      <c r="E26" s="102">
        <v>42506</v>
      </c>
      <c r="F26" s="101">
        <v>840</v>
      </c>
      <c r="G26" s="99">
        <f t="shared" si="0"/>
        <v>0</v>
      </c>
      <c r="H26" s="38"/>
      <c r="L26" s="3"/>
      <c r="M26" s="233"/>
      <c r="N26" s="234"/>
      <c r="O26" s="124"/>
      <c r="P26" s="130">
        <v>3261773</v>
      </c>
      <c r="Q26" s="131">
        <v>94214</v>
      </c>
      <c r="R26" s="127">
        <v>42468</v>
      </c>
    </row>
    <row r="27" spans="1:18" ht="15" x14ac:dyDescent="0.25">
      <c r="A27" s="14"/>
      <c r="B27" s="96"/>
      <c r="C27" s="93"/>
      <c r="D27" s="132"/>
      <c r="E27" s="95"/>
      <c r="F27" s="94"/>
      <c r="G27" s="99">
        <f t="shared" si="0"/>
        <v>0</v>
      </c>
      <c r="H27" s="38"/>
      <c r="L27" s="3"/>
      <c r="M27" s="233"/>
      <c r="N27" s="234"/>
      <c r="O27" s="124"/>
      <c r="P27" s="130">
        <v>3261674</v>
      </c>
      <c r="Q27" s="131">
        <v>29936.5</v>
      </c>
      <c r="R27" s="127">
        <v>42467</v>
      </c>
    </row>
    <row r="28" spans="1:18" ht="15" x14ac:dyDescent="0.25">
      <c r="A28" s="14"/>
      <c r="B28" s="96"/>
      <c r="C28" s="93" t="s">
        <v>236</v>
      </c>
      <c r="D28" s="132">
        <f>D69</f>
        <v>31878.6</v>
      </c>
      <c r="E28" s="95"/>
      <c r="F28" s="94"/>
      <c r="G28" s="99">
        <v>0</v>
      </c>
      <c r="H28" s="38"/>
      <c r="L28" s="3"/>
      <c r="M28" s="233"/>
      <c r="N28" s="234"/>
      <c r="O28" s="124"/>
      <c r="P28" s="130">
        <v>3261675</v>
      </c>
      <c r="Q28" s="131">
        <v>10743</v>
      </c>
      <c r="R28" s="127">
        <v>42467</v>
      </c>
    </row>
    <row r="29" spans="1:18" ht="15" x14ac:dyDescent="0.25">
      <c r="A29" s="14"/>
      <c r="B29" s="96"/>
      <c r="C29" s="93"/>
      <c r="D29" s="132"/>
      <c r="E29" s="95"/>
      <c r="F29" s="94"/>
      <c r="G29" s="99">
        <f t="shared" si="0"/>
        <v>0</v>
      </c>
      <c r="H29" s="38"/>
      <c r="L29" s="3"/>
      <c r="M29" s="233"/>
      <c r="N29" s="234"/>
      <c r="O29" s="124"/>
      <c r="P29" s="130">
        <v>3261677</v>
      </c>
      <c r="Q29" s="131">
        <v>43000</v>
      </c>
      <c r="R29" s="127">
        <v>42468</v>
      </c>
    </row>
    <row r="30" spans="1:18" ht="15" x14ac:dyDescent="0.25">
      <c r="A30" s="14"/>
      <c r="B30" s="96"/>
      <c r="C30" s="93"/>
      <c r="D30" s="132"/>
      <c r="E30" s="95"/>
      <c r="F30" s="94"/>
      <c r="G30" s="99">
        <f t="shared" si="0"/>
        <v>0</v>
      </c>
      <c r="H30" s="38"/>
      <c r="L30" s="3"/>
      <c r="M30" s="233"/>
      <c r="N30" s="234"/>
      <c r="O30" s="124"/>
      <c r="P30" s="130">
        <v>3261679</v>
      </c>
      <c r="Q30" s="131">
        <v>53990</v>
      </c>
      <c r="R30" s="127">
        <v>42468</v>
      </c>
    </row>
    <row r="31" spans="1:18" ht="15" x14ac:dyDescent="0.25">
      <c r="A31" s="14"/>
      <c r="B31" s="96"/>
      <c r="C31" s="93"/>
      <c r="D31" s="132"/>
      <c r="E31" s="95"/>
      <c r="F31" s="94"/>
      <c r="G31" s="99">
        <f t="shared" si="0"/>
        <v>0</v>
      </c>
      <c r="H31" s="38"/>
      <c r="L31" s="3"/>
      <c r="M31" s="233"/>
      <c r="N31" s="234"/>
      <c r="O31" s="124"/>
      <c r="P31" s="130">
        <v>3261678</v>
      </c>
      <c r="Q31" s="131">
        <v>47500</v>
      </c>
      <c r="R31" s="127">
        <v>42468</v>
      </c>
    </row>
    <row r="32" spans="1:18" ht="15" x14ac:dyDescent="0.25">
      <c r="A32" s="14"/>
      <c r="B32" s="96"/>
      <c r="C32" s="93"/>
      <c r="D32" s="132"/>
      <c r="E32" s="95"/>
      <c r="F32" s="94"/>
      <c r="G32" s="99">
        <f t="shared" si="0"/>
        <v>0</v>
      </c>
      <c r="H32" s="38"/>
      <c r="L32" s="3"/>
      <c r="M32" s="233"/>
      <c r="N32" s="234"/>
      <c r="O32" s="124"/>
      <c r="P32" s="130">
        <v>3261772</v>
      </c>
      <c r="Q32" s="131">
        <v>12272</v>
      </c>
      <c r="R32" s="127">
        <v>42468</v>
      </c>
    </row>
    <row r="33" spans="1:18" ht="15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/>
      <c r="M33" s="233"/>
      <c r="N33" s="234"/>
      <c r="O33" s="124"/>
      <c r="P33" s="130">
        <v>3273268</v>
      </c>
      <c r="Q33" s="131">
        <v>50000</v>
      </c>
      <c r="R33" s="127">
        <v>42469</v>
      </c>
    </row>
    <row r="34" spans="1:18" ht="15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/>
      <c r="M34" s="233"/>
      <c r="N34" s="234"/>
      <c r="O34" s="124"/>
      <c r="P34" s="130">
        <v>3273267</v>
      </c>
      <c r="Q34" s="131">
        <v>28792.5</v>
      </c>
      <c r="R34" s="127">
        <v>42469</v>
      </c>
    </row>
    <row r="35" spans="1:1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/>
      <c r="M35" s="233"/>
      <c r="N35" s="234"/>
      <c r="O35" s="124"/>
      <c r="P35" s="130" t="s">
        <v>31</v>
      </c>
      <c r="Q35" s="131">
        <v>5367</v>
      </c>
      <c r="R35" s="127">
        <v>42471</v>
      </c>
    </row>
    <row r="36" spans="1:18" ht="15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/>
      <c r="M36" s="233"/>
      <c r="N36" s="234"/>
      <c r="O36" s="124"/>
      <c r="P36" s="130" t="s">
        <v>31</v>
      </c>
      <c r="Q36" s="131">
        <v>5376</v>
      </c>
      <c r="R36" s="127">
        <v>42471</v>
      </c>
    </row>
    <row r="37" spans="1:18" ht="15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/>
      <c r="M37" s="233"/>
      <c r="N37" s="234"/>
      <c r="O37" s="124"/>
      <c r="P37" s="130" t="s">
        <v>31</v>
      </c>
      <c r="Q37" s="131">
        <v>3925</v>
      </c>
      <c r="R37" s="127">
        <v>42471</v>
      </c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233"/>
      <c r="N38" s="234"/>
      <c r="O38" s="124"/>
      <c r="P38" s="130" t="s">
        <v>31</v>
      </c>
      <c r="Q38" s="131">
        <v>3737</v>
      </c>
      <c r="R38" s="127">
        <v>42471</v>
      </c>
    </row>
    <row r="39" spans="1:1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233"/>
      <c r="N39" s="234"/>
      <c r="O39" s="124"/>
      <c r="P39" s="130" t="s">
        <v>31</v>
      </c>
      <c r="Q39" s="131">
        <v>9969</v>
      </c>
      <c r="R39" s="127">
        <v>42471</v>
      </c>
    </row>
    <row r="40" spans="1:1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>
        <v>0</v>
      </c>
      <c r="M40" s="233"/>
      <c r="N40" s="234">
        <v>0</v>
      </c>
      <c r="O40" s="124"/>
      <c r="P40" s="130">
        <v>3275584</v>
      </c>
      <c r="Q40" s="131">
        <v>22354</v>
      </c>
      <c r="R40" s="127">
        <v>42470</v>
      </c>
    </row>
    <row r="41" spans="1:18" x14ac:dyDescent="0.25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3">
        <f>SUM(L5:L40)</f>
        <v>1126920.25</v>
      </c>
      <c r="M41" s="147"/>
      <c r="N41" s="236">
        <f>SUM(N5:N40)</f>
        <v>1126919.95</v>
      </c>
      <c r="O41" s="210"/>
      <c r="P41" s="211"/>
      <c r="Q41" s="200">
        <f>SUM(Q5:Q40)</f>
        <v>1126921.2</v>
      </c>
      <c r="R41" s="202"/>
    </row>
    <row r="42" spans="1:18" ht="18.75" x14ac:dyDescent="0.3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3"/>
      <c r="M42" s="147"/>
      <c r="N42" s="200"/>
      <c r="O42" s="201"/>
      <c r="P42" s="201"/>
      <c r="Q42" s="201"/>
      <c r="R42" s="202"/>
    </row>
    <row r="43" spans="1:18" ht="15" x14ac:dyDescent="0.25">
      <c r="A43" s="14"/>
      <c r="B43" s="96"/>
      <c r="C43" s="93"/>
      <c r="D43" s="132"/>
      <c r="E43" s="95"/>
      <c r="F43" s="94"/>
      <c r="G43" s="99">
        <f t="shared" si="0"/>
        <v>0</v>
      </c>
      <c r="H43" s="38"/>
    </row>
    <row r="44" spans="1:18" ht="15" x14ac:dyDescent="0.25">
      <c r="A44" s="14"/>
      <c r="B44" s="96"/>
      <c r="C44" s="93"/>
      <c r="D44" s="132"/>
      <c r="E44" s="95"/>
      <c r="F44" s="94"/>
      <c r="G44" s="99">
        <f t="shared" si="0"/>
        <v>0</v>
      </c>
      <c r="H44" s="38"/>
    </row>
    <row r="45" spans="1:18" thickBot="1" x14ac:dyDescent="0.3">
      <c r="B45" s="14"/>
      <c r="C45" s="104"/>
      <c r="D45" s="262"/>
      <c r="E45" s="104"/>
      <c r="F45" s="106"/>
      <c r="G45" s="107">
        <f t="shared" si="0"/>
        <v>0</v>
      </c>
    </row>
    <row r="46" spans="1:18" ht="16.5" thickTop="1" x14ac:dyDescent="0.25">
      <c r="B46"/>
      <c r="C46"/>
      <c r="D46" s="263">
        <f>SUM(D4:D45)</f>
        <v>1940553.6800000004</v>
      </c>
      <c r="E46" s="108"/>
      <c r="F46" s="109">
        <f>SUM(F4:F45)</f>
        <v>1908675.0800000003</v>
      </c>
      <c r="G46" s="109">
        <f>SUM(G4:G45)</f>
        <v>0</v>
      </c>
    </row>
    <row r="47" spans="1:18" ht="16.5" thickBot="1" x14ac:dyDescent="0.3"/>
    <row r="48" spans="1:18" ht="19.5" thickBot="1" x14ac:dyDescent="0.35">
      <c r="L48" s="33"/>
      <c r="M48" s="343">
        <v>1</v>
      </c>
      <c r="N48" s="86" t="s">
        <v>28</v>
      </c>
      <c r="O48" s="86"/>
      <c r="P48" s="110"/>
      <c r="Q48" s="111">
        <v>42487</v>
      </c>
      <c r="R48" s="112"/>
    </row>
    <row r="49" spans="2:18" ht="16.5" thickBot="1" x14ac:dyDescent="0.3">
      <c r="L49" s="33"/>
      <c r="M49" s="344"/>
      <c r="N49" s="113"/>
      <c r="O49" s="113"/>
      <c r="P49" s="114"/>
      <c r="Q49" s="115"/>
      <c r="R49" s="112"/>
    </row>
    <row r="50" spans="2:18" ht="16.5" thickBot="1" x14ac:dyDescent="0.3">
      <c r="B50"/>
      <c r="C50" s="159">
        <v>42463</v>
      </c>
      <c r="D50" s="3">
        <v>2576</v>
      </c>
      <c r="E50" t="s">
        <v>54</v>
      </c>
      <c r="F50"/>
      <c r="G50"/>
      <c r="H50"/>
      <c r="L50" s="3"/>
      <c r="M50" s="116" t="s">
        <v>23</v>
      </c>
      <c r="N50" s="116" t="s">
        <v>24</v>
      </c>
      <c r="O50" s="116"/>
      <c r="P50" s="117" t="s">
        <v>29</v>
      </c>
      <c r="Q50" s="118" t="s">
        <v>30</v>
      </c>
      <c r="R50" s="119"/>
    </row>
    <row r="51" spans="2:18" ht="16.5" thickTop="1" x14ac:dyDescent="0.25">
      <c r="B51"/>
      <c r="C51" s="159">
        <v>42466</v>
      </c>
      <c r="D51" s="3">
        <v>2175</v>
      </c>
      <c r="E51" t="s">
        <v>49</v>
      </c>
      <c r="F51"/>
      <c r="G51"/>
      <c r="H51"/>
      <c r="L51" s="3">
        <v>14761</v>
      </c>
      <c r="M51" s="93" t="s">
        <v>165</v>
      </c>
      <c r="N51" s="132">
        <v>14761</v>
      </c>
      <c r="O51" s="120" t="s">
        <v>36</v>
      </c>
      <c r="P51" s="121" t="s">
        <v>31</v>
      </c>
      <c r="Q51" s="122">
        <v>41124</v>
      </c>
      <c r="R51" s="123">
        <v>42474</v>
      </c>
    </row>
    <row r="52" spans="2:18" x14ac:dyDescent="0.25">
      <c r="B52"/>
      <c r="C52" s="159">
        <v>42471</v>
      </c>
      <c r="D52" s="3">
        <v>2749</v>
      </c>
      <c r="E52" t="s">
        <v>54</v>
      </c>
      <c r="F52"/>
      <c r="G52"/>
      <c r="H52"/>
      <c r="L52" s="3">
        <v>247.45</v>
      </c>
      <c r="M52" s="93" t="s">
        <v>182</v>
      </c>
      <c r="N52" s="132">
        <v>247.45</v>
      </c>
      <c r="O52" s="124"/>
      <c r="P52" s="125">
        <v>3275582</v>
      </c>
      <c r="Q52" s="126">
        <v>34927</v>
      </c>
      <c r="R52" s="127">
        <v>42471</v>
      </c>
    </row>
    <row r="53" spans="2:18" x14ac:dyDescent="0.25">
      <c r="B53"/>
      <c r="C53" s="159">
        <v>42473</v>
      </c>
      <c r="D53" s="3">
        <v>2475</v>
      </c>
      <c r="E53" t="s">
        <v>49</v>
      </c>
      <c r="F53"/>
      <c r="G53"/>
      <c r="H53"/>
      <c r="L53" s="3">
        <f>61290+6994+15131</f>
        <v>83415</v>
      </c>
      <c r="M53" s="93" t="s">
        <v>166</v>
      </c>
      <c r="N53" s="132">
        <v>83415</v>
      </c>
      <c r="O53" s="124"/>
      <c r="P53" s="125">
        <v>3275583</v>
      </c>
      <c r="Q53" s="126">
        <v>6994</v>
      </c>
      <c r="R53" s="127">
        <v>42472</v>
      </c>
    </row>
    <row r="54" spans="2:18" x14ac:dyDescent="0.25">
      <c r="B54"/>
      <c r="C54" s="159">
        <v>42475</v>
      </c>
      <c r="D54" s="3">
        <v>5645</v>
      </c>
      <c r="E54" t="s">
        <v>54</v>
      </c>
      <c r="F54"/>
      <c r="G54"/>
      <c r="H54"/>
      <c r="L54" s="3">
        <v>54756</v>
      </c>
      <c r="M54" s="93" t="s">
        <v>167</v>
      </c>
      <c r="N54" s="132">
        <v>54756</v>
      </c>
      <c r="O54" s="124"/>
      <c r="P54" s="125">
        <v>3275581</v>
      </c>
      <c r="Q54" s="126">
        <v>20000</v>
      </c>
      <c r="R54" s="127">
        <v>42473</v>
      </c>
    </row>
    <row r="55" spans="2:18" x14ac:dyDescent="0.25">
      <c r="B55"/>
      <c r="C55" s="159">
        <v>42477</v>
      </c>
      <c r="D55" s="3">
        <v>2485</v>
      </c>
      <c r="E55" t="s">
        <v>54</v>
      </c>
      <c r="F55"/>
      <c r="G55"/>
      <c r="H55"/>
      <c r="L55" s="3">
        <f>34774+59003.5+48312.8</f>
        <v>142090.29999999999</v>
      </c>
      <c r="M55" s="93" t="s">
        <v>183</v>
      </c>
      <c r="N55" s="132">
        <v>142090.29999999999</v>
      </c>
      <c r="O55" s="124"/>
      <c r="P55" s="125">
        <v>3275580</v>
      </c>
      <c r="Q55" s="126">
        <v>48000</v>
      </c>
      <c r="R55" s="127">
        <v>42473</v>
      </c>
    </row>
    <row r="56" spans="2:18" x14ac:dyDescent="0.25">
      <c r="B56"/>
      <c r="C56" s="159">
        <v>42482</v>
      </c>
      <c r="D56" s="3">
        <f>94+1108.8</f>
        <v>1202.8</v>
      </c>
      <c r="E56" t="s">
        <v>54</v>
      </c>
      <c r="F56"/>
      <c r="G56"/>
      <c r="H56"/>
      <c r="L56" s="3">
        <v>13627.9</v>
      </c>
      <c r="M56" s="93" t="s">
        <v>184</v>
      </c>
      <c r="N56" s="132">
        <v>13627.9</v>
      </c>
      <c r="O56" s="128"/>
      <c r="P56" s="125">
        <v>3275579</v>
      </c>
      <c r="Q56" s="126">
        <v>36661</v>
      </c>
      <c r="R56" s="127">
        <v>42473</v>
      </c>
    </row>
    <row r="57" spans="2:18" x14ac:dyDescent="0.25">
      <c r="B57"/>
      <c r="C57" s="159">
        <v>42483</v>
      </c>
      <c r="D57" s="3">
        <v>1225.8</v>
      </c>
      <c r="E57" t="s">
        <v>54</v>
      </c>
      <c r="F57"/>
      <c r="G57"/>
      <c r="H57"/>
      <c r="L57" s="3">
        <f>61074.5+69197.5+43917</f>
        <v>174189</v>
      </c>
      <c r="M57" s="93" t="s">
        <v>185</v>
      </c>
      <c r="N57" s="132">
        <v>174189</v>
      </c>
      <c r="O57" s="129"/>
      <c r="P57" s="125">
        <v>3275578</v>
      </c>
      <c r="Q57" s="126">
        <v>59003.5</v>
      </c>
      <c r="R57" s="127">
        <v>42474</v>
      </c>
    </row>
    <row r="58" spans="2:18" x14ac:dyDescent="0.25">
      <c r="B58"/>
      <c r="C58" s="159">
        <v>42487</v>
      </c>
      <c r="D58" s="3">
        <f>92.4+142+2212</f>
        <v>2446.4</v>
      </c>
      <c r="E58" t="s">
        <v>229</v>
      </c>
      <c r="F58"/>
      <c r="G58"/>
      <c r="H58"/>
      <c r="L58" s="3">
        <v>6909.88</v>
      </c>
      <c r="M58" s="93" t="s">
        <v>186</v>
      </c>
      <c r="N58" s="132">
        <v>6909.88</v>
      </c>
      <c r="O58" s="124"/>
      <c r="P58" s="125" t="s">
        <v>31</v>
      </c>
      <c r="Q58" s="126">
        <v>12289.5</v>
      </c>
      <c r="R58" s="127">
        <v>42474</v>
      </c>
    </row>
    <row r="59" spans="2:18" ht="15" x14ac:dyDescent="0.25">
      <c r="B59"/>
      <c r="C59" s="159">
        <v>42488</v>
      </c>
      <c r="D59" s="3">
        <v>7672.6</v>
      </c>
      <c r="E59" t="s">
        <v>59</v>
      </c>
      <c r="F59"/>
      <c r="G59"/>
      <c r="H59"/>
      <c r="L59" s="3">
        <v>22026</v>
      </c>
      <c r="M59" s="93" t="s">
        <v>196</v>
      </c>
      <c r="N59" s="132">
        <v>22026</v>
      </c>
      <c r="O59" s="124" t="s">
        <v>88</v>
      </c>
      <c r="P59" s="130">
        <v>3275577</v>
      </c>
      <c r="Q59" s="131">
        <v>24000</v>
      </c>
      <c r="R59" s="127">
        <v>42475</v>
      </c>
    </row>
    <row r="60" spans="2:18" ht="15" x14ac:dyDescent="0.25">
      <c r="B60"/>
      <c r="C60" s="159">
        <v>42489</v>
      </c>
      <c r="D60" s="3">
        <v>1226</v>
      </c>
      <c r="E60" t="s">
        <v>232</v>
      </c>
      <c r="F60"/>
      <c r="G60"/>
      <c r="H60"/>
      <c r="L60" s="3"/>
      <c r="M60" s="93"/>
      <c r="N60" s="94"/>
      <c r="O60" s="124"/>
      <c r="P60" s="130">
        <v>3275576</v>
      </c>
      <c r="Q60" s="131">
        <v>25651</v>
      </c>
      <c r="R60" s="127">
        <v>42475</v>
      </c>
    </row>
    <row r="61" spans="2:18" ht="15" x14ac:dyDescent="0.25">
      <c r="B61"/>
      <c r="C61"/>
      <c r="D61" s="3">
        <v>0</v>
      </c>
      <c r="E61"/>
      <c r="F61"/>
      <c r="G61"/>
      <c r="H61"/>
      <c r="L61" s="3"/>
      <c r="M61" s="93"/>
      <c r="N61" s="94"/>
      <c r="O61" s="124"/>
      <c r="P61" s="130">
        <v>3275574</v>
      </c>
      <c r="Q61" s="131">
        <v>61074.5</v>
      </c>
      <c r="R61" s="127">
        <v>42476</v>
      </c>
    </row>
    <row r="62" spans="2:18" ht="15" x14ac:dyDescent="0.25">
      <c r="B62"/>
      <c r="C62"/>
      <c r="D62" s="3">
        <v>0</v>
      </c>
      <c r="E62"/>
      <c r="F62"/>
      <c r="G62"/>
      <c r="H62"/>
      <c r="L62" s="3"/>
      <c r="M62" s="93"/>
      <c r="N62" s="100"/>
      <c r="O62" s="124"/>
      <c r="P62" s="130">
        <v>3275573</v>
      </c>
      <c r="Q62" s="131">
        <v>41000</v>
      </c>
      <c r="R62" s="127">
        <v>42477</v>
      </c>
    </row>
    <row r="63" spans="2:18" x14ac:dyDescent="0.25">
      <c r="D63" s="3">
        <v>0</v>
      </c>
      <c r="L63" s="3"/>
      <c r="M63" s="93"/>
      <c r="N63" s="132"/>
      <c r="O63" s="124"/>
      <c r="P63" s="130">
        <v>3275572</v>
      </c>
      <c r="Q63" s="131">
        <v>28197.5</v>
      </c>
      <c r="R63" s="127">
        <v>42477</v>
      </c>
    </row>
    <row r="64" spans="2:18" x14ac:dyDescent="0.25">
      <c r="D64" s="3">
        <v>0</v>
      </c>
      <c r="L64" s="3"/>
      <c r="M64" s="233"/>
      <c r="N64" s="234"/>
      <c r="O64" s="124"/>
      <c r="P64" s="130">
        <v>3275571</v>
      </c>
      <c r="Q64" s="131">
        <v>20000</v>
      </c>
      <c r="R64" s="127">
        <v>42478</v>
      </c>
    </row>
    <row r="65" spans="2:18" x14ac:dyDescent="0.25">
      <c r="D65" s="3">
        <v>0</v>
      </c>
      <c r="L65" s="3"/>
      <c r="M65" s="233"/>
      <c r="N65" s="234"/>
      <c r="O65" s="124"/>
      <c r="P65" s="130">
        <v>3261673</v>
      </c>
      <c r="Q65" s="131">
        <v>31074.5</v>
      </c>
      <c r="R65" s="127">
        <v>42478</v>
      </c>
    </row>
    <row r="66" spans="2:18" x14ac:dyDescent="0.25">
      <c r="D66" s="3">
        <v>0</v>
      </c>
      <c r="L66" s="3"/>
      <c r="M66" s="233"/>
      <c r="N66" s="234"/>
      <c r="O66" s="124"/>
      <c r="P66" s="130">
        <v>3261672</v>
      </c>
      <c r="Q66" s="131">
        <v>22026</v>
      </c>
      <c r="R66" s="127">
        <v>42479</v>
      </c>
    </row>
    <row r="67" spans="2:18" ht="15" x14ac:dyDescent="0.25">
      <c r="B67"/>
      <c r="C67"/>
      <c r="D67" s="3">
        <v>0</v>
      </c>
      <c r="E67"/>
      <c r="F67" s="14"/>
      <c r="G67"/>
      <c r="H67"/>
      <c r="L67" s="3">
        <v>0</v>
      </c>
      <c r="M67" s="233"/>
      <c r="N67" s="234">
        <v>0</v>
      </c>
      <c r="O67" s="124"/>
      <c r="P67" s="130"/>
      <c r="Q67" s="131"/>
      <c r="R67" s="127"/>
    </row>
    <row r="68" spans="2:18" x14ac:dyDescent="0.25">
      <c r="B68"/>
      <c r="C68"/>
      <c r="D68" s="3">
        <v>0</v>
      </c>
      <c r="E68"/>
      <c r="F68" s="14"/>
      <c r="G68"/>
      <c r="H68"/>
      <c r="L68" s="33">
        <f>SUM(L51:L67)</f>
        <v>512022.53</v>
      </c>
      <c r="M68" s="147"/>
      <c r="N68" s="236">
        <f>SUM(N51:N67)</f>
        <v>512022.53</v>
      </c>
      <c r="O68" s="210"/>
      <c r="P68" s="211"/>
      <c r="Q68" s="200">
        <f>SUM(Q51:Q67)</f>
        <v>512022.5</v>
      </c>
      <c r="R68" s="202"/>
    </row>
    <row r="69" spans="2:18" ht="18.75" x14ac:dyDescent="0.3">
      <c r="B69"/>
      <c r="C69"/>
      <c r="D69" s="3">
        <f>SUM(D50:D68)</f>
        <v>31878.6</v>
      </c>
      <c r="E69"/>
      <c r="F69" s="14"/>
      <c r="G69"/>
      <c r="H69"/>
      <c r="L69" s="33"/>
      <c r="M69" s="147"/>
      <c r="N69" s="200"/>
      <c r="O69" s="201"/>
      <c r="P69" s="201"/>
      <c r="Q69" s="201"/>
      <c r="R69" s="202"/>
    </row>
    <row r="70" spans="2:18" ht="15" x14ac:dyDescent="0.25">
      <c r="B70"/>
      <c r="C70"/>
      <c r="E70"/>
      <c r="F70" s="14"/>
      <c r="G70"/>
      <c r="H70"/>
    </row>
    <row r="71" spans="2:18" ht="15" x14ac:dyDescent="0.25">
      <c r="B71"/>
      <c r="C71"/>
      <c r="E71"/>
      <c r="F71" s="14"/>
      <c r="G71"/>
      <c r="H71"/>
    </row>
    <row r="72" spans="2:18" ht="15" x14ac:dyDescent="0.25">
      <c r="B72"/>
      <c r="C72"/>
      <c r="E72"/>
      <c r="F72" s="14"/>
      <c r="G72"/>
      <c r="H72"/>
    </row>
    <row r="73" spans="2:18" ht="15" x14ac:dyDescent="0.25">
      <c r="B73"/>
      <c r="C73"/>
      <c r="E73"/>
      <c r="F73" s="14"/>
      <c r="G73"/>
      <c r="H73"/>
    </row>
    <row r="74" spans="2:18" ht="15" x14ac:dyDescent="0.25">
      <c r="B74"/>
      <c r="C74"/>
      <c r="E74"/>
      <c r="F74" s="14"/>
      <c r="G74"/>
      <c r="H74"/>
    </row>
    <row r="75" spans="2:18" ht="15" x14ac:dyDescent="0.25">
      <c r="B75"/>
      <c r="C75"/>
      <c r="E75"/>
      <c r="F75" s="14"/>
      <c r="G75"/>
      <c r="H75"/>
    </row>
    <row r="76" spans="2:18" ht="15" x14ac:dyDescent="0.25">
      <c r="B76"/>
      <c r="C76"/>
      <c r="E76"/>
      <c r="F76" s="14"/>
      <c r="G76"/>
      <c r="H76"/>
    </row>
    <row r="77" spans="2:18" ht="15" x14ac:dyDescent="0.25">
      <c r="B77"/>
      <c r="C77"/>
      <c r="E77"/>
      <c r="F77" s="14"/>
      <c r="G77"/>
      <c r="H77"/>
    </row>
    <row r="78" spans="2:18" ht="15" x14ac:dyDescent="0.25">
      <c r="B78"/>
      <c r="C78"/>
      <c r="E78"/>
      <c r="F78" s="14"/>
      <c r="G78"/>
      <c r="H78"/>
    </row>
    <row r="79" spans="2:18" ht="15" x14ac:dyDescent="0.25">
      <c r="B79"/>
      <c r="C79"/>
      <c r="E79"/>
      <c r="F79" s="14"/>
      <c r="G79"/>
      <c r="H79"/>
    </row>
    <row r="80" spans="2:18" ht="15" x14ac:dyDescent="0.25">
      <c r="B80"/>
      <c r="C80"/>
      <c r="E80"/>
      <c r="F80" s="14"/>
      <c r="G80"/>
      <c r="H80"/>
    </row>
    <row r="81" spans="2:8" ht="15" x14ac:dyDescent="0.25">
      <c r="B81"/>
      <c r="C81"/>
      <c r="E81"/>
      <c r="F81" s="14"/>
      <c r="G81"/>
      <c r="H81"/>
    </row>
  </sheetData>
  <sortState ref="B7:D17">
    <sortCondition ref="C7:C17"/>
  </sortState>
  <mergeCells count="2">
    <mergeCell ref="M2:M3"/>
    <mergeCell ref="M48:M4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BE111"/>
  <sheetViews>
    <sheetView workbookViewId="0">
      <selection activeCell="J6" sqref="J6"/>
    </sheetView>
  </sheetViews>
  <sheetFormatPr baseColWidth="10" defaultRowHeight="15.75" x14ac:dyDescent="0.25"/>
  <cols>
    <col min="3" max="3" width="14" customWidth="1"/>
    <col min="6" max="6" width="14.140625" bestFit="1" customWidth="1"/>
    <col min="11" max="11" width="14.140625" bestFit="1" customWidth="1"/>
    <col min="13" max="13" width="11.42578125" style="3"/>
    <col min="17" max="17" width="14" customWidth="1"/>
    <col min="20" max="20" width="14.140625" bestFit="1" customWidth="1"/>
    <col min="25" max="25" width="13.140625" bestFit="1" customWidth="1"/>
    <col min="27" max="27" width="14.140625" style="3" bestFit="1" customWidth="1"/>
    <col min="31" max="31" width="14" customWidth="1"/>
    <col min="34" max="34" width="12.5703125" bestFit="1" customWidth="1"/>
    <col min="39" max="39" width="12.7109375" bestFit="1" customWidth="1"/>
    <col min="41" max="41" width="12.5703125" style="3" bestFit="1" customWidth="1"/>
    <col min="43" max="43" width="8.140625" customWidth="1"/>
    <col min="44" max="44" width="10.7109375" style="1" customWidth="1"/>
    <col min="45" max="45" width="16.28515625" style="2" customWidth="1"/>
    <col min="46" max="46" width="12.42578125" customWidth="1"/>
    <col min="47" max="47" width="11.42578125" style="1"/>
    <col min="48" max="48" width="17.85546875" style="1" bestFit="1" customWidth="1"/>
    <col min="49" max="49" width="4.85546875" customWidth="1"/>
    <col min="50" max="50" width="11.42578125" style="1"/>
    <col min="51" max="51" width="14.140625" style="1" customWidth="1"/>
    <col min="52" max="52" width="13.42578125" style="1" customWidth="1"/>
    <col min="53" max="53" width="14.85546875" style="1" bestFit="1" customWidth="1"/>
    <col min="54" max="54" width="14.140625" style="2" bestFit="1" customWidth="1"/>
    <col min="55" max="55" width="13.85546875" style="263" bestFit="1" customWidth="1"/>
    <col min="56" max="56" width="12.5703125" bestFit="1" customWidth="1"/>
  </cols>
  <sheetData>
    <row r="1" spans="1:57" ht="24" thickBot="1" x14ac:dyDescent="0.4">
      <c r="B1" s="1"/>
      <c r="C1" s="334" t="s">
        <v>224</v>
      </c>
      <c r="D1" s="334"/>
      <c r="E1" s="334"/>
      <c r="F1" s="334"/>
      <c r="G1" s="334"/>
      <c r="H1" s="334"/>
      <c r="I1" s="334"/>
      <c r="J1" s="334"/>
      <c r="K1" s="300" t="s">
        <v>293</v>
      </c>
      <c r="L1" s="2"/>
      <c r="P1" s="1"/>
      <c r="Q1" s="334" t="s">
        <v>224</v>
      </c>
      <c r="R1" s="334"/>
      <c r="S1" s="334"/>
      <c r="T1" s="334"/>
      <c r="U1" s="334"/>
      <c r="V1" s="334"/>
      <c r="W1" s="334"/>
      <c r="X1" s="334"/>
      <c r="Y1" s="300" t="s">
        <v>273</v>
      </c>
      <c r="Z1" s="2"/>
      <c r="AD1" s="1"/>
      <c r="AE1" s="334" t="s">
        <v>224</v>
      </c>
      <c r="AF1" s="334"/>
      <c r="AG1" s="334"/>
      <c r="AH1" s="334"/>
      <c r="AI1" s="334"/>
      <c r="AJ1" s="334"/>
      <c r="AK1" s="334"/>
      <c r="AL1" s="334"/>
      <c r="AM1" s="300" t="s">
        <v>257</v>
      </c>
      <c r="AN1" s="2"/>
      <c r="AS1" s="334" t="s">
        <v>224</v>
      </c>
      <c r="AT1" s="334"/>
      <c r="AU1" s="334"/>
      <c r="AV1" s="334"/>
      <c r="AW1" s="334"/>
      <c r="AX1" s="334"/>
      <c r="AY1" s="334"/>
      <c r="AZ1" s="334"/>
      <c r="BA1" s="300" t="s">
        <v>256</v>
      </c>
    </row>
    <row r="2" spans="1:57" ht="16.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P2" s="1"/>
      <c r="Q2" s="4" t="s">
        <v>0</v>
      </c>
      <c r="S2" s="5"/>
      <c r="T2" s="5"/>
      <c r="V2" s="1"/>
      <c r="W2" s="1"/>
      <c r="X2" s="1"/>
      <c r="Y2" s="1"/>
      <c r="Z2" s="2"/>
      <c r="AD2" s="1"/>
      <c r="AE2" s="4" t="s">
        <v>0</v>
      </c>
      <c r="AG2" s="5"/>
      <c r="AH2" s="5"/>
      <c r="AJ2" s="1"/>
      <c r="AK2" s="1"/>
      <c r="AL2" s="1"/>
      <c r="AM2" s="1"/>
      <c r="AN2" s="2"/>
      <c r="AS2" s="4" t="s">
        <v>0</v>
      </c>
      <c r="AU2" s="5"/>
      <c r="AV2" s="5"/>
    </row>
    <row r="3" spans="1:57" ht="20.25" thickTop="1" thickBot="1" x14ac:dyDescent="0.35">
      <c r="A3" s="6" t="s">
        <v>1</v>
      </c>
      <c r="B3" s="7"/>
      <c r="C3" s="8">
        <v>322065.74</v>
      </c>
      <c r="D3" s="9"/>
      <c r="E3" s="335" t="s">
        <v>2</v>
      </c>
      <c r="F3" s="336"/>
      <c r="H3" s="1"/>
      <c r="I3" s="337" t="s">
        <v>3</v>
      </c>
      <c r="J3" s="338"/>
      <c r="K3" s="339"/>
      <c r="L3" s="10" t="s">
        <v>4</v>
      </c>
      <c r="O3" s="6" t="s">
        <v>1</v>
      </c>
      <c r="P3" s="7"/>
      <c r="Q3" s="8">
        <v>322065.74</v>
      </c>
      <c r="R3" s="9"/>
      <c r="S3" s="335" t="s">
        <v>2</v>
      </c>
      <c r="T3" s="336"/>
      <c r="V3" s="1"/>
      <c r="W3" s="337" t="s">
        <v>3</v>
      </c>
      <c r="X3" s="338"/>
      <c r="Y3" s="339"/>
      <c r="Z3" s="10" t="s">
        <v>4</v>
      </c>
      <c r="AC3" s="6" t="s">
        <v>1</v>
      </c>
      <c r="AD3" s="7"/>
      <c r="AE3" s="8">
        <v>322065.74</v>
      </c>
      <c r="AF3" s="9"/>
      <c r="AG3" s="335" t="s">
        <v>2</v>
      </c>
      <c r="AH3" s="336"/>
      <c r="AJ3" s="1"/>
      <c r="AK3" s="337" t="s">
        <v>3</v>
      </c>
      <c r="AL3" s="338"/>
      <c r="AM3" s="339"/>
      <c r="AN3" s="10" t="s">
        <v>4</v>
      </c>
      <c r="AQ3" s="6" t="s">
        <v>1</v>
      </c>
      <c r="AR3" s="7"/>
      <c r="AS3" s="8">
        <v>322065.74</v>
      </c>
      <c r="AT3" s="9"/>
      <c r="AU3" s="335" t="s">
        <v>2</v>
      </c>
      <c r="AV3" s="336"/>
      <c r="AY3" s="337" t="s">
        <v>3</v>
      </c>
      <c r="AZ3" s="338"/>
      <c r="BA3" s="339"/>
      <c r="BB3" s="10" t="s">
        <v>4</v>
      </c>
    </row>
    <row r="4" spans="1:57" ht="16.5" thickTop="1" x14ac:dyDescent="0.25">
      <c r="B4" s="11">
        <v>42491</v>
      </c>
      <c r="C4" s="12">
        <v>40400</v>
      </c>
      <c r="D4" s="40" t="s">
        <v>242</v>
      </c>
      <c r="E4" s="186">
        <v>42491</v>
      </c>
      <c r="F4" s="13">
        <v>40400</v>
      </c>
      <c r="G4" s="14"/>
      <c r="H4" s="187">
        <v>42491</v>
      </c>
      <c r="I4" s="15">
        <v>0</v>
      </c>
      <c r="J4" s="16"/>
      <c r="K4" s="17"/>
      <c r="L4" s="18">
        <v>0</v>
      </c>
      <c r="P4" s="11">
        <v>42491</v>
      </c>
      <c r="Q4" s="12">
        <v>40400</v>
      </c>
      <c r="R4" s="40" t="s">
        <v>242</v>
      </c>
      <c r="S4" s="186">
        <v>42491</v>
      </c>
      <c r="T4" s="13">
        <v>40400</v>
      </c>
      <c r="U4" s="14"/>
      <c r="V4" s="187">
        <v>42491</v>
      </c>
      <c r="W4" s="15">
        <v>0</v>
      </c>
      <c r="X4" s="16"/>
      <c r="Y4" s="17"/>
      <c r="Z4" s="18">
        <v>0</v>
      </c>
      <c r="AD4" s="11">
        <v>42491</v>
      </c>
      <c r="AE4" s="12">
        <v>40400</v>
      </c>
      <c r="AF4" s="40" t="s">
        <v>242</v>
      </c>
      <c r="AG4" s="186">
        <v>42491</v>
      </c>
      <c r="AH4" s="13">
        <v>40400</v>
      </c>
      <c r="AI4" s="14"/>
      <c r="AJ4" s="187">
        <v>42491</v>
      </c>
      <c r="AK4" s="15">
        <v>0</v>
      </c>
      <c r="AL4" s="16"/>
      <c r="AM4" s="17"/>
      <c r="AN4" s="18">
        <v>0</v>
      </c>
      <c r="AR4" s="11">
        <v>42491</v>
      </c>
      <c r="AS4" s="12">
        <v>40400</v>
      </c>
      <c r="AT4" s="40" t="s">
        <v>242</v>
      </c>
      <c r="AU4" s="186">
        <v>42491</v>
      </c>
      <c r="AV4" s="13">
        <v>40400</v>
      </c>
      <c r="AW4" s="14"/>
      <c r="AX4" s="187">
        <v>42491</v>
      </c>
      <c r="AY4" s="15">
        <v>0</v>
      </c>
      <c r="AZ4" s="16"/>
      <c r="BA4" s="17"/>
      <c r="BB4" s="18">
        <v>0</v>
      </c>
      <c r="BC4" s="274"/>
      <c r="BD4" s="14"/>
      <c r="BE4" s="14"/>
    </row>
    <row r="5" spans="1:57" x14ac:dyDescent="0.25">
      <c r="B5" s="11">
        <v>42492</v>
      </c>
      <c r="C5" s="12">
        <v>57546.5</v>
      </c>
      <c r="D5" s="19" t="s">
        <v>244</v>
      </c>
      <c r="E5" s="20">
        <v>42492</v>
      </c>
      <c r="F5" s="13">
        <v>57546.5</v>
      </c>
      <c r="G5" s="21"/>
      <c r="H5" s="22">
        <v>42492</v>
      </c>
      <c r="I5" s="15">
        <v>0</v>
      </c>
      <c r="J5" s="23" t="s">
        <v>5</v>
      </c>
      <c r="K5" s="24">
        <v>649</v>
      </c>
      <c r="L5" s="18">
        <v>0</v>
      </c>
      <c r="P5" s="11">
        <v>42492</v>
      </c>
      <c r="Q5" s="12">
        <v>57546.5</v>
      </c>
      <c r="R5" s="19" t="s">
        <v>244</v>
      </c>
      <c r="S5" s="20">
        <v>42492</v>
      </c>
      <c r="T5" s="13">
        <v>57546.5</v>
      </c>
      <c r="U5" s="21"/>
      <c r="V5" s="22">
        <v>42492</v>
      </c>
      <c r="W5" s="15">
        <v>0</v>
      </c>
      <c r="X5" s="23" t="s">
        <v>5</v>
      </c>
      <c r="Y5" s="24">
        <v>0</v>
      </c>
      <c r="Z5" s="18">
        <v>0</v>
      </c>
      <c r="AD5" s="11">
        <v>42492</v>
      </c>
      <c r="AE5" s="12">
        <v>57546.5</v>
      </c>
      <c r="AF5" s="19" t="s">
        <v>244</v>
      </c>
      <c r="AG5" s="20">
        <v>42492</v>
      </c>
      <c r="AH5" s="13">
        <v>57546.5</v>
      </c>
      <c r="AI5" s="21"/>
      <c r="AJ5" s="22">
        <v>42492</v>
      </c>
      <c r="AK5" s="15">
        <v>0</v>
      </c>
      <c r="AL5" s="23" t="s">
        <v>5</v>
      </c>
      <c r="AM5" s="24">
        <v>0</v>
      </c>
      <c r="AN5" s="18">
        <v>0</v>
      </c>
      <c r="AR5" s="11">
        <v>42492</v>
      </c>
      <c r="AS5" s="12">
        <v>57546.5</v>
      </c>
      <c r="AT5" s="19" t="s">
        <v>244</v>
      </c>
      <c r="AU5" s="20">
        <v>42492</v>
      </c>
      <c r="AV5" s="13">
        <v>57546.5</v>
      </c>
      <c r="AW5" s="21"/>
      <c r="AX5" s="22">
        <v>42492</v>
      </c>
      <c r="AY5" s="15">
        <v>0</v>
      </c>
      <c r="AZ5" s="23" t="s">
        <v>5</v>
      </c>
      <c r="BA5" s="24">
        <v>0</v>
      </c>
      <c r="BB5" s="18">
        <v>0</v>
      </c>
      <c r="BC5" s="274"/>
      <c r="BD5" s="14"/>
      <c r="BE5" s="14"/>
    </row>
    <row r="6" spans="1:57" x14ac:dyDescent="0.25">
      <c r="B6" s="11">
        <v>42493</v>
      </c>
      <c r="C6" s="12">
        <v>24611</v>
      </c>
      <c r="D6" s="19" t="s">
        <v>244</v>
      </c>
      <c r="E6" s="20">
        <v>42493</v>
      </c>
      <c r="F6" s="13">
        <v>24611</v>
      </c>
      <c r="G6" s="14"/>
      <c r="H6" s="22">
        <v>42493</v>
      </c>
      <c r="I6" s="15">
        <v>0</v>
      </c>
      <c r="J6" s="309" t="s">
        <v>298</v>
      </c>
      <c r="K6" s="24">
        <v>0</v>
      </c>
      <c r="L6" s="18">
        <v>0</v>
      </c>
      <c r="P6" s="11">
        <v>42493</v>
      </c>
      <c r="Q6" s="12">
        <v>24611</v>
      </c>
      <c r="R6" s="19" t="s">
        <v>244</v>
      </c>
      <c r="S6" s="20">
        <v>42493</v>
      </c>
      <c r="T6" s="13">
        <v>24611</v>
      </c>
      <c r="U6" s="14"/>
      <c r="V6" s="22">
        <v>42493</v>
      </c>
      <c r="W6" s="15">
        <v>0</v>
      </c>
      <c r="X6" s="270" t="s">
        <v>6</v>
      </c>
      <c r="Y6" s="24">
        <v>0</v>
      </c>
      <c r="Z6" s="18">
        <v>0</v>
      </c>
      <c r="AD6" s="11">
        <v>42493</v>
      </c>
      <c r="AE6" s="12">
        <v>24611</v>
      </c>
      <c r="AF6" s="19" t="s">
        <v>244</v>
      </c>
      <c r="AG6" s="20">
        <v>42493</v>
      </c>
      <c r="AH6" s="13">
        <v>24611</v>
      </c>
      <c r="AI6" s="14"/>
      <c r="AJ6" s="22">
        <v>42493</v>
      </c>
      <c r="AK6" s="15">
        <v>0</v>
      </c>
      <c r="AL6" s="270" t="s">
        <v>6</v>
      </c>
      <c r="AM6" s="24">
        <v>0</v>
      </c>
      <c r="AN6" s="18">
        <v>0</v>
      </c>
      <c r="AR6" s="11">
        <v>42493</v>
      </c>
      <c r="AS6" s="12">
        <v>24611</v>
      </c>
      <c r="AT6" s="19" t="s">
        <v>244</v>
      </c>
      <c r="AU6" s="20">
        <v>42493</v>
      </c>
      <c r="AV6" s="13">
        <v>24611</v>
      </c>
      <c r="AW6" s="14"/>
      <c r="AX6" s="22">
        <v>42493</v>
      </c>
      <c r="AY6" s="15">
        <v>0</v>
      </c>
      <c r="AZ6" s="270" t="s">
        <v>199</v>
      </c>
      <c r="BA6" s="24">
        <v>0</v>
      </c>
      <c r="BB6" s="18">
        <v>0</v>
      </c>
      <c r="BC6" s="274"/>
      <c r="BD6" s="14"/>
      <c r="BE6" s="14"/>
    </row>
    <row r="7" spans="1:57" x14ac:dyDescent="0.25">
      <c r="B7" s="11">
        <v>42494</v>
      </c>
      <c r="C7" s="12">
        <v>31090</v>
      </c>
      <c r="D7" s="26" t="s">
        <v>245</v>
      </c>
      <c r="E7" s="20">
        <v>42494</v>
      </c>
      <c r="F7" s="13">
        <v>30088.5</v>
      </c>
      <c r="G7" s="14"/>
      <c r="H7" s="22">
        <v>42494</v>
      </c>
      <c r="I7" s="15">
        <v>0</v>
      </c>
      <c r="J7" s="23" t="s">
        <v>7</v>
      </c>
      <c r="K7" s="24">
        <f>7187.5+7187.5+7187.5+7187.5</f>
        <v>28750</v>
      </c>
      <c r="L7" s="18">
        <v>0</v>
      </c>
      <c r="P7" s="11">
        <v>42494</v>
      </c>
      <c r="Q7" s="12">
        <v>31090</v>
      </c>
      <c r="R7" s="26" t="s">
        <v>245</v>
      </c>
      <c r="S7" s="20">
        <v>42494</v>
      </c>
      <c r="T7" s="13">
        <v>30088.5</v>
      </c>
      <c r="U7" s="14"/>
      <c r="V7" s="22">
        <v>42494</v>
      </c>
      <c r="W7" s="15">
        <v>0</v>
      </c>
      <c r="X7" s="23" t="s">
        <v>7</v>
      </c>
      <c r="Y7" s="24">
        <f>7187.5+7187.5+7187.5</f>
        <v>21562.5</v>
      </c>
      <c r="Z7" s="18">
        <v>0</v>
      </c>
      <c r="AD7" s="11">
        <v>42494</v>
      </c>
      <c r="AE7" s="12">
        <v>31090</v>
      </c>
      <c r="AF7" s="26" t="s">
        <v>245</v>
      </c>
      <c r="AG7" s="20">
        <v>42494</v>
      </c>
      <c r="AH7" s="13">
        <v>30088.5</v>
      </c>
      <c r="AI7" s="14"/>
      <c r="AJ7" s="22">
        <v>42494</v>
      </c>
      <c r="AK7" s="15">
        <v>0</v>
      </c>
      <c r="AL7" s="23" t="s">
        <v>7</v>
      </c>
      <c r="AM7" s="24">
        <f>7187.5+7187.5</f>
        <v>14375</v>
      </c>
      <c r="AN7" s="18">
        <v>0</v>
      </c>
      <c r="AR7" s="11">
        <v>42494</v>
      </c>
      <c r="AS7" s="12">
        <v>31090</v>
      </c>
      <c r="AT7" s="26" t="s">
        <v>245</v>
      </c>
      <c r="AU7" s="20">
        <v>42494</v>
      </c>
      <c r="AV7" s="13">
        <v>30088.5</v>
      </c>
      <c r="AW7" s="14"/>
      <c r="AX7" s="22">
        <v>42494</v>
      </c>
      <c r="AY7" s="15">
        <v>0</v>
      </c>
      <c r="AZ7" s="23" t="s">
        <v>7</v>
      </c>
      <c r="BA7" s="24">
        <f>7187.5</f>
        <v>7187.5</v>
      </c>
      <c r="BB7" s="18">
        <v>0</v>
      </c>
      <c r="BC7" s="274"/>
      <c r="BD7" s="14"/>
      <c r="BE7" s="14"/>
    </row>
    <row r="8" spans="1:57" x14ac:dyDescent="0.25">
      <c r="B8" s="11">
        <v>42495</v>
      </c>
      <c r="C8" s="12">
        <v>62875.5</v>
      </c>
      <c r="D8" s="19" t="s">
        <v>247</v>
      </c>
      <c r="E8" s="20">
        <v>42495</v>
      </c>
      <c r="F8" s="13">
        <v>62875.5</v>
      </c>
      <c r="G8" s="14"/>
      <c r="H8" s="22">
        <v>42495</v>
      </c>
      <c r="I8" s="15">
        <v>0</v>
      </c>
      <c r="J8" s="23" t="s">
        <v>263</v>
      </c>
      <c r="K8" s="13">
        <v>5579.12</v>
      </c>
      <c r="L8" s="18">
        <v>0</v>
      </c>
      <c r="P8" s="11">
        <v>42495</v>
      </c>
      <c r="Q8" s="12">
        <v>62875.5</v>
      </c>
      <c r="R8" s="19" t="s">
        <v>247</v>
      </c>
      <c r="S8" s="20">
        <v>42495</v>
      </c>
      <c r="T8" s="13">
        <v>62875.5</v>
      </c>
      <c r="U8" s="14"/>
      <c r="V8" s="22">
        <v>42495</v>
      </c>
      <c r="W8" s="15">
        <v>0</v>
      </c>
      <c r="X8" s="23" t="s">
        <v>263</v>
      </c>
      <c r="Y8" s="13">
        <v>5579.12</v>
      </c>
      <c r="Z8" s="18">
        <v>0</v>
      </c>
      <c r="AD8" s="11">
        <v>42495</v>
      </c>
      <c r="AE8" s="12">
        <v>62875.5</v>
      </c>
      <c r="AF8" s="19" t="s">
        <v>247</v>
      </c>
      <c r="AG8" s="20">
        <v>42495</v>
      </c>
      <c r="AH8" s="13">
        <v>62875.5</v>
      </c>
      <c r="AI8" s="14"/>
      <c r="AJ8" s="22">
        <v>42495</v>
      </c>
      <c r="AK8" s="15">
        <v>0</v>
      </c>
      <c r="AL8" s="23" t="s">
        <v>263</v>
      </c>
      <c r="AM8" s="13">
        <v>5579.12</v>
      </c>
      <c r="AN8" s="18">
        <v>0</v>
      </c>
      <c r="AR8" s="11">
        <v>42495</v>
      </c>
      <c r="AS8" s="12">
        <v>62875.5</v>
      </c>
      <c r="AT8" s="19" t="s">
        <v>247</v>
      </c>
      <c r="AU8" s="20">
        <v>42495</v>
      </c>
      <c r="AV8" s="13">
        <v>62875.5</v>
      </c>
      <c r="AW8" s="14"/>
      <c r="AX8" s="22">
        <v>42495</v>
      </c>
      <c r="AY8" s="15">
        <v>0</v>
      </c>
      <c r="AZ8" s="23" t="s">
        <v>178</v>
      </c>
      <c r="BA8" s="13">
        <v>0</v>
      </c>
      <c r="BB8" s="18">
        <v>0</v>
      </c>
      <c r="BC8" s="274"/>
      <c r="BD8" s="14"/>
      <c r="BE8" s="14"/>
    </row>
    <row r="9" spans="1:57" x14ac:dyDescent="0.25">
      <c r="B9" s="11">
        <v>42496</v>
      </c>
      <c r="C9" s="12">
        <v>45261.440000000002</v>
      </c>
      <c r="D9" s="26" t="s">
        <v>248</v>
      </c>
      <c r="E9" s="20">
        <v>42496</v>
      </c>
      <c r="F9" s="13">
        <v>46127.5</v>
      </c>
      <c r="G9" s="14"/>
      <c r="H9" s="22">
        <v>42496</v>
      </c>
      <c r="I9" s="15">
        <v>66</v>
      </c>
      <c r="J9" s="23" t="s">
        <v>264</v>
      </c>
      <c r="K9" s="13">
        <v>5320.16</v>
      </c>
      <c r="L9" s="18">
        <v>0</v>
      </c>
      <c r="P9" s="11">
        <v>42496</v>
      </c>
      <c r="Q9" s="12">
        <v>45261.440000000002</v>
      </c>
      <c r="R9" s="26" t="s">
        <v>248</v>
      </c>
      <c r="S9" s="20">
        <v>42496</v>
      </c>
      <c r="T9" s="13">
        <v>46127.5</v>
      </c>
      <c r="U9" s="14"/>
      <c r="V9" s="22">
        <v>42496</v>
      </c>
      <c r="W9" s="15">
        <v>66</v>
      </c>
      <c r="X9" s="23" t="s">
        <v>264</v>
      </c>
      <c r="Y9" s="13">
        <v>5320.16</v>
      </c>
      <c r="Z9" s="18">
        <v>0</v>
      </c>
      <c r="AD9" s="11">
        <v>42496</v>
      </c>
      <c r="AE9" s="12">
        <v>45261.440000000002</v>
      </c>
      <c r="AF9" s="26" t="s">
        <v>248</v>
      </c>
      <c r="AG9" s="20">
        <v>42496</v>
      </c>
      <c r="AH9" s="13">
        <v>46127.5</v>
      </c>
      <c r="AI9" s="14"/>
      <c r="AJ9" s="22">
        <v>42496</v>
      </c>
      <c r="AK9" s="15">
        <v>66</v>
      </c>
      <c r="AL9" s="23" t="s">
        <v>264</v>
      </c>
      <c r="AM9" s="13">
        <v>5320.16</v>
      </c>
      <c r="AN9" s="18">
        <v>0</v>
      </c>
      <c r="AR9" s="11">
        <v>42496</v>
      </c>
      <c r="AS9" s="12">
        <v>45261.440000000002</v>
      </c>
      <c r="AT9" s="26" t="s">
        <v>248</v>
      </c>
      <c r="AU9" s="20">
        <v>42496</v>
      </c>
      <c r="AV9" s="13">
        <v>46127.5</v>
      </c>
      <c r="AW9" s="14"/>
      <c r="AX9" s="22">
        <v>42496</v>
      </c>
      <c r="AY9" s="15">
        <v>66</v>
      </c>
      <c r="AZ9" s="23" t="s">
        <v>179</v>
      </c>
      <c r="BA9" s="13">
        <v>0</v>
      </c>
      <c r="BB9" s="18">
        <v>0</v>
      </c>
      <c r="BC9" s="274"/>
      <c r="BD9" s="14"/>
      <c r="BE9" s="14"/>
    </row>
    <row r="10" spans="1:57" x14ac:dyDescent="0.25">
      <c r="A10" s="27"/>
      <c r="B10" s="11">
        <v>42497</v>
      </c>
      <c r="C10" s="12">
        <v>32638</v>
      </c>
      <c r="D10" s="26" t="s">
        <v>250</v>
      </c>
      <c r="E10" s="20">
        <v>42497</v>
      </c>
      <c r="F10" s="13">
        <v>32638</v>
      </c>
      <c r="G10" s="14"/>
      <c r="H10" s="22">
        <v>42497</v>
      </c>
      <c r="I10" s="15">
        <v>0</v>
      </c>
      <c r="J10" s="23" t="s">
        <v>265</v>
      </c>
      <c r="K10" s="13">
        <v>5579.12</v>
      </c>
      <c r="L10" s="18">
        <v>0</v>
      </c>
      <c r="O10" s="27"/>
      <c r="P10" s="11">
        <v>42497</v>
      </c>
      <c r="Q10" s="12">
        <v>32638</v>
      </c>
      <c r="R10" s="26" t="s">
        <v>250</v>
      </c>
      <c r="S10" s="20">
        <v>42497</v>
      </c>
      <c r="T10" s="13">
        <v>32638</v>
      </c>
      <c r="U10" s="14"/>
      <c r="V10" s="22">
        <v>42497</v>
      </c>
      <c r="W10" s="15">
        <v>0</v>
      </c>
      <c r="X10" s="23" t="s">
        <v>265</v>
      </c>
      <c r="Y10" s="13">
        <v>0</v>
      </c>
      <c r="Z10" s="18">
        <v>0</v>
      </c>
      <c r="AC10" s="27"/>
      <c r="AD10" s="11">
        <v>42497</v>
      </c>
      <c r="AE10" s="12">
        <v>32638</v>
      </c>
      <c r="AF10" s="26" t="s">
        <v>250</v>
      </c>
      <c r="AG10" s="20">
        <v>42497</v>
      </c>
      <c r="AH10" s="13">
        <v>32638</v>
      </c>
      <c r="AI10" s="14"/>
      <c r="AJ10" s="22">
        <v>42497</v>
      </c>
      <c r="AK10" s="15">
        <v>0</v>
      </c>
      <c r="AL10" s="23" t="s">
        <v>265</v>
      </c>
      <c r="AM10" s="13">
        <v>0</v>
      </c>
      <c r="AN10" s="18">
        <v>0</v>
      </c>
      <c r="AQ10" s="27"/>
      <c r="AR10" s="11">
        <v>42497</v>
      </c>
      <c r="AS10" s="12">
        <v>32638</v>
      </c>
      <c r="AT10" s="26" t="s">
        <v>250</v>
      </c>
      <c r="AU10" s="20">
        <v>42497</v>
      </c>
      <c r="AV10" s="13">
        <v>32638</v>
      </c>
      <c r="AW10" s="14"/>
      <c r="AX10" s="22">
        <v>42497</v>
      </c>
      <c r="AY10" s="15">
        <v>0</v>
      </c>
      <c r="AZ10" s="23" t="s">
        <v>180</v>
      </c>
      <c r="BA10" s="13">
        <v>0</v>
      </c>
      <c r="BB10" s="18">
        <v>0</v>
      </c>
      <c r="BC10" s="274"/>
      <c r="BD10" s="14"/>
      <c r="BE10" s="14"/>
    </row>
    <row r="11" spans="1:57" x14ac:dyDescent="0.25">
      <c r="B11" s="11">
        <v>42498</v>
      </c>
      <c r="C11" s="12">
        <v>47919.5</v>
      </c>
      <c r="D11" s="26" t="s">
        <v>251</v>
      </c>
      <c r="E11" s="20">
        <v>42498</v>
      </c>
      <c r="F11" s="13">
        <v>47919.5</v>
      </c>
      <c r="G11" s="14"/>
      <c r="H11" s="22">
        <v>42498</v>
      </c>
      <c r="I11" s="15">
        <v>0</v>
      </c>
      <c r="J11" s="23" t="s">
        <v>266</v>
      </c>
      <c r="K11" s="13">
        <v>5820.79</v>
      </c>
      <c r="L11" s="18">
        <v>0</v>
      </c>
      <c r="P11" s="11">
        <v>42498</v>
      </c>
      <c r="Q11" s="12">
        <v>47919.5</v>
      </c>
      <c r="R11" s="26" t="s">
        <v>251</v>
      </c>
      <c r="S11" s="20">
        <v>42498</v>
      </c>
      <c r="T11" s="13">
        <v>47919.5</v>
      </c>
      <c r="U11" s="14"/>
      <c r="V11" s="22">
        <v>42498</v>
      </c>
      <c r="W11" s="15">
        <v>0</v>
      </c>
      <c r="X11" s="23" t="s">
        <v>266</v>
      </c>
      <c r="Y11" s="13">
        <v>0</v>
      </c>
      <c r="Z11" s="18">
        <v>0</v>
      </c>
      <c r="AD11" s="11">
        <v>42498</v>
      </c>
      <c r="AE11" s="12">
        <v>47919.5</v>
      </c>
      <c r="AF11" s="26" t="s">
        <v>251</v>
      </c>
      <c r="AG11" s="20">
        <v>42498</v>
      </c>
      <c r="AH11" s="13">
        <v>47919.5</v>
      </c>
      <c r="AI11" s="14"/>
      <c r="AJ11" s="22">
        <v>42498</v>
      </c>
      <c r="AK11" s="15">
        <v>0</v>
      </c>
      <c r="AL11" s="23" t="s">
        <v>266</v>
      </c>
      <c r="AM11" s="13">
        <v>0</v>
      </c>
      <c r="AN11" s="18">
        <v>0</v>
      </c>
      <c r="AR11" s="11">
        <v>42498</v>
      </c>
      <c r="AS11" s="12">
        <v>47919.5</v>
      </c>
      <c r="AT11" s="26" t="s">
        <v>251</v>
      </c>
      <c r="AU11" s="20">
        <v>42498</v>
      </c>
      <c r="AV11" s="13">
        <v>47919.5</v>
      </c>
      <c r="AW11" s="14"/>
      <c r="AX11" s="22">
        <v>42498</v>
      </c>
      <c r="AY11" s="15">
        <v>0</v>
      </c>
      <c r="AZ11" s="23" t="s">
        <v>181</v>
      </c>
      <c r="BA11" s="13">
        <v>0</v>
      </c>
      <c r="BB11" s="18">
        <v>0</v>
      </c>
      <c r="BC11" s="274"/>
      <c r="BD11" s="14"/>
      <c r="BE11" s="14"/>
    </row>
    <row r="12" spans="1:57" x14ac:dyDescent="0.25">
      <c r="A12" s="28"/>
      <c r="B12" s="11">
        <v>42499</v>
      </c>
      <c r="C12" s="12">
        <v>64175</v>
      </c>
      <c r="D12" s="19" t="s">
        <v>254</v>
      </c>
      <c r="E12" s="20">
        <v>42499</v>
      </c>
      <c r="F12" s="13">
        <v>64175</v>
      </c>
      <c r="G12" s="14"/>
      <c r="H12" s="22">
        <v>42499</v>
      </c>
      <c r="I12" s="15">
        <v>0</v>
      </c>
      <c r="J12" s="23" t="s">
        <v>117</v>
      </c>
      <c r="K12" s="13">
        <v>0</v>
      </c>
      <c r="L12" s="18">
        <v>0</v>
      </c>
      <c r="O12" s="28"/>
      <c r="P12" s="11">
        <v>42499</v>
      </c>
      <c r="Q12" s="12">
        <v>64175</v>
      </c>
      <c r="R12" s="19" t="s">
        <v>254</v>
      </c>
      <c r="S12" s="20">
        <v>42499</v>
      </c>
      <c r="T12" s="13">
        <v>64175</v>
      </c>
      <c r="U12" s="14"/>
      <c r="V12" s="22">
        <v>42499</v>
      </c>
      <c r="W12" s="15">
        <v>0</v>
      </c>
      <c r="X12" s="23" t="s">
        <v>117</v>
      </c>
      <c r="Y12" s="13">
        <v>0</v>
      </c>
      <c r="Z12" s="18">
        <v>0</v>
      </c>
      <c r="AC12" s="28"/>
      <c r="AD12" s="11">
        <v>42499</v>
      </c>
      <c r="AE12" s="12">
        <v>64175</v>
      </c>
      <c r="AF12" s="19" t="s">
        <v>254</v>
      </c>
      <c r="AG12" s="20">
        <v>42499</v>
      </c>
      <c r="AH12" s="13">
        <v>64175</v>
      </c>
      <c r="AI12" s="14"/>
      <c r="AJ12" s="22">
        <v>42499</v>
      </c>
      <c r="AK12" s="15">
        <v>0</v>
      </c>
      <c r="AL12" s="23" t="s">
        <v>117</v>
      </c>
      <c r="AM12" s="13">
        <v>0</v>
      </c>
      <c r="AN12" s="18">
        <v>0</v>
      </c>
      <c r="AQ12" s="28"/>
      <c r="AR12" s="11">
        <v>42499</v>
      </c>
      <c r="AS12" s="12">
        <v>64175</v>
      </c>
      <c r="AT12" s="19" t="s">
        <v>254</v>
      </c>
      <c r="AU12" s="20">
        <v>42499</v>
      </c>
      <c r="AV12" s="13">
        <v>64175</v>
      </c>
      <c r="AW12" s="14"/>
      <c r="AX12" s="22">
        <v>42499</v>
      </c>
      <c r="AY12" s="15">
        <v>0</v>
      </c>
      <c r="AZ12" s="23" t="s">
        <v>117</v>
      </c>
      <c r="BA12" s="13">
        <v>0</v>
      </c>
      <c r="BB12" s="18">
        <v>0</v>
      </c>
      <c r="BC12" s="274"/>
      <c r="BD12" s="14"/>
      <c r="BE12" s="14"/>
    </row>
    <row r="13" spans="1:57" x14ac:dyDescent="0.25">
      <c r="A13" s="28"/>
      <c r="B13" s="11">
        <v>42500</v>
      </c>
      <c r="C13" s="12">
        <v>91162</v>
      </c>
      <c r="D13" s="40" t="s">
        <v>255</v>
      </c>
      <c r="E13" s="20">
        <v>42500</v>
      </c>
      <c r="F13" s="13">
        <v>91161.7</v>
      </c>
      <c r="G13" s="14"/>
      <c r="H13" s="22">
        <v>42500</v>
      </c>
      <c r="I13" s="15">
        <v>0</v>
      </c>
      <c r="J13" s="30" t="s">
        <v>8</v>
      </c>
      <c r="K13" s="13">
        <v>800</v>
      </c>
      <c r="L13" s="18">
        <v>0</v>
      </c>
      <c r="O13" s="28"/>
      <c r="P13" s="11">
        <v>42500</v>
      </c>
      <c r="Q13" s="12">
        <v>91162</v>
      </c>
      <c r="R13" s="40" t="s">
        <v>255</v>
      </c>
      <c r="S13" s="20">
        <v>42500</v>
      </c>
      <c r="T13" s="13">
        <v>91161.7</v>
      </c>
      <c r="U13" s="14"/>
      <c r="V13" s="22">
        <v>42500</v>
      </c>
      <c r="W13" s="15">
        <v>0</v>
      </c>
      <c r="X13" s="30" t="s">
        <v>8</v>
      </c>
      <c r="Y13" s="13">
        <v>800</v>
      </c>
      <c r="Z13" s="18">
        <v>0</v>
      </c>
      <c r="AC13" s="28"/>
      <c r="AD13" s="11">
        <v>42500</v>
      </c>
      <c r="AE13" s="12">
        <v>91162</v>
      </c>
      <c r="AF13" s="40" t="s">
        <v>255</v>
      </c>
      <c r="AG13" s="20">
        <v>42500</v>
      </c>
      <c r="AH13" s="13">
        <v>91161.7</v>
      </c>
      <c r="AI13" s="14"/>
      <c r="AJ13" s="22">
        <v>42500</v>
      </c>
      <c r="AK13" s="15">
        <v>0</v>
      </c>
      <c r="AL13" s="30" t="s">
        <v>8</v>
      </c>
      <c r="AM13" s="13">
        <v>800</v>
      </c>
      <c r="AN13" s="18">
        <v>0</v>
      </c>
      <c r="AQ13" s="28"/>
      <c r="AR13" s="11">
        <v>42500</v>
      </c>
      <c r="AS13" s="12">
        <v>91162</v>
      </c>
      <c r="AT13" s="40" t="s">
        <v>255</v>
      </c>
      <c r="AU13" s="20">
        <v>42500</v>
      </c>
      <c r="AV13" s="230">
        <v>91161.7</v>
      </c>
      <c r="AW13" s="14"/>
      <c r="AX13" s="22">
        <v>42500</v>
      </c>
      <c r="AY13" s="231">
        <v>0</v>
      </c>
      <c r="AZ13" s="30" t="s">
        <v>8</v>
      </c>
      <c r="BA13" s="13">
        <v>800</v>
      </c>
      <c r="BB13" s="18">
        <v>0</v>
      </c>
      <c r="BC13" s="274"/>
      <c r="BD13" s="14"/>
      <c r="BE13" s="14"/>
    </row>
    <row r="14" spans="1:57" x14ac:dyDescent="0.25">
      <c r="B14" s="11">
        <v>42501</v>
      </c>
      <c r="C14" s="12">
        <v>56128.5</v>
      </c>
      <c r="D14" s="19" t="s">
        <v>255</v>
      </c>
      <c r="E14" s="20">
        <v>42501</v>
      </c>
      <c r="F14" s="13">
        <v>56128.5</v>
      </c>
      <c r="G14" s="14"/>
      <c r="H14" s="22">
        <v>42501</v>
      </c>
      <c r="I14" s="15">
        <v>0</v>
      </c>
      <c r="J14" s="31">
        <v>42496</v>
      </c>
      <c r="K14" s="13">
        <v>0</v>
      </c>
      <c r="L14" s="18">
        <v>0</v>
      </c>
      <c r="M14" s="33"/>
      <c r="P14" s="11">
        <v>42501</v>
      </c>
      <c r="Q14" s="12">
        <v>56128.5</v>
      </c>
      <c r="R14" s="19" t="s">
        <v>255</v>
      </c>
      <c r="S14" s="20">
        <v>42501</v>
      </c>
      <c r="T14" s="13">
        <v>56128.5</v>
      </c>
      <c r="U14" s="14"/>
      <c r="V14" s="22">
        <v>42501</v>
      </c>
      <c r="W14" s="15">
        <v>0</v>
      </c>
      <c r="X14" s="31">
        <v>42496</v>
      </c>
      <c r="Y14" s="13">
        <v>0</v>
      </c>
      <c r="Z14" s="18">
        <v>0</v>
      </c>
      <c r="AA14" s="33"/>
      <c r="AD14" s="11">
        <v>42501</v>
      </c>
      <c r="AE14" s="12">
        <v>56128.5</v>
      </c>
      <c r="AF14" s="19" t="s">
        <v>255</v>
      </c>
      <c r="AG14" s="20">
        <v>42501</v>
      </c>
      <c r="AH14" s="13">
        <v>56128.5</v>
      </c>
      <c r="AI14" s="14"/>
      <c r="AJ14" s="22">
        <v>42501</v>
      </c>
      <c r="AK14" s="15">
        <v>0</v>
      </c>
      <c r="AL14" s="31">
        <v>42496</v>
      </c>
      <c r="AM14" s="13">
        <v>0</v>
      </c>
      <c r="AN14" s="18">
        <v>0</v>
      </c>
      <c r="AO14" s="33"/>
      <c r="AR14" s="11">
        <v>42501</v>
      </c>
      <c r="AS14" s="12"/>
      <c r="AT14" s="19"/>
      <c r="AU14" s="20">
        <v>42501</v>
      </c>
      <c r="AV14" s="13"/>
      <c r="AW14" s="14"/>
      <c r="AX14" s="22">
        <v>42501</v>
      </c>
      <c r="AY14" s="15"/>
      <c r="AZ14" s="31">
        <v>42496</v>
      </c>
      <c r="BA14" s="13">
        <v>0</v>
      </c>
      <c r="BB14" s="18"/>
      <c r="BC14" s="200"/>
      <c r="BD14" s="147"/>
      <c r="BE14" s="14"/>
    </row>
    <row r="15" spans="1:57" ht="15" x14ac:dyDescent="0.25">
      <c r="A15" s="28"/>
      <c r="B15" s="11">
        <v>42502</v>
      </c>
      <c r="C15" s="12">
        <v>27747</v>
      </c>
      <c r="D15" s="19" t="s">
        <v>258</v>
      </c>
      <c r="E15" s="20">
        <v>42502</v>
      </c>
      <c r="F15" s="13">
        <v>27747</v>
      </c>
      <c r="G15" s="14"/>
      <c r="H15" s="22">
        <v>42502</v>
      </c>
      <c r="I15" s="15">
        <v>0</v>
      </c>
      <c r="J15" s="23" t="s">
        <v>225</v>
      </c>
      <c r="K15" s="13">
        <v>0</v>
      </c>
      <c r="L15" s="18">
        <v>0</v>
      </c>
      <c r="M15" s="33"/>
      <c r="O15" s="28"/>
      <c r="P15" s="11">
        <v>42502</v>
      </c>
      <c r="Q15" s="12">
        <v>27747</v>
      </c>
      <c r="R15" s="19" t="s">
        <v>258</v>
      </c>
      <c r="S15" s="20">
        <v>42502</v>
      </c>
      <c r="T15" s="13">
        <v>27747</v>
      </c>
      <c r="U15" s="14"/>
      <c r="V15" s="22">
        <v>42502</v>
      </c>
      <c r="W15" s="15">
        <v>0</v>
      </c>
      <c r="X15" s="23" t="s">
        <v>225</v>
      </c>
      <c r="Y15" s="13">
        <v>0</v>
      </c>
      <c r="Z15" s="18">
        <v>0</v>
      </c>
      <c r="AA15" s="33"/>
      <c r="AC15" s="28"/>
      <c r="AD15" s="11">
        <v>42502</v>
      </c>
      <c r="AE15" s="12">
        <v>27747</v>
      </c>
      <c r="AF15" s="19" t="s">
        <v>258</v>
      </c>
      <c r="AG15" s="20">
        <v>42502</v>
      </c>
      <c r="AH15" s="13">
        <v>27747</v>
      </c>
      <c r="AI15" s="14"/>
      <c r="AJ15" s="22">
        <v>42502</v>
      </c>
      <c r="AK15" s="15">
        <v>0</v>
      </c>
      <c r="AL15" s="23" t="s">
        <v>225</v>
      </c>
      <c r="AM15" s="13">
        <v>0</v>
      </c>
      <c r="AN15" s="18">
        <v>0</v>
      </c>
      <c r="AO15" s="33"/>
      <c r="AQ15" s="28"/>
      <c r="AR15" s="11">
        <v>42502</v>
      </c>
      <c r="AS15" s="12"/>
      <c r="AT15" s="19"/>
      <c r="AU15" s="20">
        <v>42502</v>
      </c>
      <c r="AV15" s="13"/>
      <c r="AW15" s="14"/>
      <c r="AX15" s="22">
        <v>42502</v>
      </c>
      <c r="AY15" s="15"/>
      <c r="AZ15" s="23" t="s">
        <v>225</v>
      </c>
      <c r="BA15" s="13">
        <v>0</v>
      </c>
      <c r="BB15" s="18"/>
      <c r="BC15" s="161"/>
      <c r="BD15" s="216"/>
      <c r="BE15" s="14"/>
    </row>
    <row r="16" spans="1:57" ht="15" x14ac:dyDescent="0.25">
      <c r="A16" s="28"/>
      <c r="B16" s="11">
        <v>42503</v>
      </c>
      <c r="C16" s="12">
        <v>73197.5</v>
      </c>
      <c r="D16" s="19" t="s">
        <v>261</v>
      </c>
      <c r="E16" s="20">
        <v>42503</v>
      </c>
      <c r="F16" s="13">
        <v>73197.3</v>
      </c>
      <c r="G16" s="14"/>
      <c r="H16" s="22">
        <v>42503</v>
      </c>
      <c r="I16" s="15">
        <v>0</v>
      </c>
      <c r="J16" s="34"/>
      <c r="K16" s="13">
        <v>0</v>
      </c>
      <c r="L16" s="18">
        <v>0</v>
      </c>
      <c r="O16" s="28"/>
      <c r="P16" s="11">
        <v>42503</v>
      </c>
      <c r="Q16" s="12">
        <v>73197.5</v>
      </c>
      <c r="R16" s="19" t="s">
        <v>261</v>
      </c>
      <c r="S16" s="20">
        <v>42503</v>
      </c>
      <c r="T16" s="13">
        <v>73197.3</v>
      </c>
      <c r="U16" s="14"/>
      <c r="V16" s="22">
        <v>42503</v>
      </c>
      <c r="W16" s="15">
        <v>0</v>
      </c>
      <c r="X16" s="34"/>
      <c r="Y16" s="13">
        <v>0</v>
      </c>
      <c r="Z16" s="18">
        <v>0</v>
      </c>
      <c r="AC16" s="28"/>
      <c r="AD16" s="11">
        <v>42503</v>
      </c>
      <c r="AE16" s="12">
        <v>73197.5</v>
      </c>
      <c r="AF16" s="19" t="s">
        <v>261</v>
      </c>
      <c r="AG16" s="20">
        <v>42503</v>
      </c>
      <c r="AH16" s="13">
        <v>73197.3</v>
      </c>
      <c r="AI16" s="14"/>
      <c r="AJ16" s="22">
        <v>42503</v>
      </c>
      <c r="AK16" s="15">
        <v>0</v>
      </c>
      <c r="AL16" s="34"/>
      <c r="AM16" s="13">
        <v>0</v>
      </c>
      <c r="AN16" s="18">
        <v>0</v>
      </c>
      <c r="AQ16" s="28"/>
      <c r="AR16" s="11">
        <v>42503</v>
      </c>
      <c r="AS16" s="12"/>
      <c r="AT16" s="19"/>
      <c r="AU16" s="20">
        <v>42503</v>
      </c>
      <c r="AV16" s="13"/>
      <c r="AW16" s="14"/>
      <c r="AX16" s="22">
        <v>42503</v>
      </c>
      <c r="AY16" s="15"/>
      <c r="AZ16" s="34"/>
      <c r="BA16" s="13">
        <v>0</v>
      </c>
      <c r="BB16" s="18"/>
      <c r="BC16" s="161"/>
      <c r="BD16" s="216"/>
      <c r="BE16" s="14"/>
    </row>
    <row r="17" spans="1:57" ht="15" x14ac:dyDescent="0.25">
      <c r="A17" s="28"/>
      <c r="B17" s="11">
        <v>42504</v>
      </c>
      <c r="C17" s="12">
        <v>73915.5</v>
      </c>
      <c r="D17" s="19" t="s">
        <v>262</v>
      </c>
      <c r="E17" s="20">
        <v>42504</v>
      </c>
      <c r="F17" s="13">
        <v>73981.5</v>
      </c>
      <c r="G17" s="14"/>
      <c r="H17" s="22">
        <v>42504</v>
      </c>
      <c r="I17" s="15">
        <v>66</v>
      </c>
      <c r="J17" s="35" t="s">
        <v>210</v>
      </c>
      <c r="K17" s="13">
        <v>0</v>
      </c>
      <c r="L17" s="18">
        <v>0</v>
      </c>
      <c r="M17" s="81"/>
      <c r="O17" s="28"/>
      <c r="P17" s="11">
        <v>42504</v>
      </c>
      <c r="Q17" s="12">
        <v>73915.5</v>
      </c>
      <c r="R17" s="19" t="s">
        <v>262</v>
      </c>
      <c r="S17" s="20">
        <v>42504</v>
      </c>
      <c r="T17" s="13">
        <v>73981.5</v>
      </c>
      <c r="U17" s="14"/>
      <c r="V17" s="22">
        <v>42504</v>
      </c>
      <c r="W17" s="15">
        <v>66</v>
      </c>
      <c r="X17" s="35" t="s">
        <v>210</v>
      </c>
      <c r="Y17" s="13">
        <v>0</v>
      </c>
      <c r="Z17" s="18">
        <v>0</v>
      </c>
      <c r="AA17" s="81"/>
      <c r="AC17" s="28"/>
      <c r="AD17" s="11">
        <v>42504</v>
      </c>
      <c r="AE17" s="12">
        <v>73915.5</v>
      </c>
      <c r="AF17" s="19" t="s">
        <v>262</v>
      </c>
      <c r="AG17" s="20">
        <v>42504</v>
      </c>
      <c r="AH17" s="13">
        <v>73981.5</v>
      </c>
      <c r="AI17" s="14"/>
      <c r="AJ17" s="22">
        <v>42504</v>
      </c>
      <c r="AK17" s="15">
        <v>66</v>
      </c>
      <c r="AL17" s="35" t="s">
        <v>210</v>
      </c>
      <c r="AM17" s="13">
        <v>0</v>
      </c>
      <c r="AN17" s="18">
        <v>0</v>
      </c>
      <c r="AO17" s="81"/>
      <c r="AQ17" s="28"/>
      <c r="AR17" s="11">
        <v>42504</v>
      </c>
      <c r="AS17" s="12"/>
      <c r="AT17" s="19"/>
      <c r="AU17" s="20">
        <v>42504</v>
      </c>
      <c r="AV17" s="13"/>
      <c r="AW17" s="14"/>
      <c r="AX17" s="22">
        <v>42504</v>
      </c>
      <c r="AY17" s="15"/>
      <c r="AZ17" s="35" t="s">
        <v>210</v>
      </c>
      <c r="BA17" s="13">
        <v>0</v>
      </c>
      <c r="BB17" s="18"/>
      <c r="BC17" s="298"/>
      <c r="BD17" s="216"/>
      <c r="BE17" s="14"/>
    </row>
    <row r="18" spans="1:57" ht="15" x14ac:dyDescent="0.25">
      <c r="B18" s="11">
        <v>42505</v>
      </c>
      <c r="C18" s="12">
        <v>40690</v>
      </c>
      <c r="D18" s="19" t="s">
        <v>267</v>
      </c>
      <c r="E18" s="20">
        <v>42505</v>
      </c>
      <c r="F18" s="13">
        <v>40690</v>
      </c>
      <c r="G18" s="14"/>
      <c r="H18" s="22">
        <v>42505</v>
      </c>
      <c r="I18" s="15">
        <v>0</v>
      </c>
      <c r="J18" s="36"/>
      <c r="K18" s="24">
        <v>0</v>
      </c>
      <c r="L18" s="18">
        <v>0</v>
      </c>
      <c r="M18" s="81"/>
      <c r="P18" s="11">
        <v>42505</v>
      </c>
      <c r="Q18" s="12">
        <v>40690</v>
      </c>
      <c r="R18" s="19" t="s">
        <v>267</v>
      </c>
      <c r="S18" s="20">
        <v>42505</v>
      </c>
      <c r="T18" s="13">
        <v>40690</v>
      </c>
      <c r="U18" s="14"/>
      <c r="V18" s="22">
        <v>42505</v>
      </c>
      <c r="W18" s="15">
        <v>0</v>
      </c>
      <c r="X18" s="36"/>
      <c r="Y18" s="24">
        <v>0</v>
      </c>
      <c r="Z18" s="18">
        <v>0</v>
      </c>
      <c r="AA18" s="81"/>
      <c r="AD18" s="11">
        <v>42505</v>
      </c>
      <c r="AE18" s="12">
        <v>40690</v>
      </c>
      <c r="AF18" s="19" t="s">
        <v>267</v>
      </c>
      <c r="AG18" s="20">
        <v>42505</v>
      </c>
      <c r="AH18" s="13">
        <v>40690</v>
      </c>
      <c r="AI18" s="14"/>
      <c r="AJ18" s="22">
        <v>42505</v>
      </c>
      <c r="AK18" s="15">
        <v>0</v>
      </c>
      <c r="AL18" s="36"/>
      <c r="AM18" s="24">
        <v>0</v>
      </c>
      <c r="AN18" s="18">
        <v>0</v>
      </c>
      <c r="AO18" s="81"/>
      <c r="AR18" s="11">
        <v>42505</v>
      </c>
      <c r="AS18" s="12"/>
      <c r="AT18" s="19"/>
      <c r="AU18" s="20">
        <v>42505</v>
      </c>
      <c r="AV18" s="13"/>
      <c r="AW18" s="14"/>
      <c r="AX18" s="22">
        <v>42505</v>
      </c>
      <c r="AY18" s="15"/>
      <c r="AZ18" s="36"/>
      <c r="BA18" s="24">
        <v>0</v>
      </c>
      <c r="BB18" s="18"/>
      <c r="BC18" s="161"/>
      <c r="BD18" s="216"/>
      <c r="BE18" s="14"/>
    </row>
    <row r="19" spans="1:57" ht="15" x14ac:dyDescent="0.25">
      <c r="A19" s="28"/>
      <c r="B19" s="11">
        <v>42506</v>
      </c>
      <c r="C19" s="12">
        <v>56573</v>
      </c>
      <c r="D19" s="19" t="s">
        <v>267</v>
      </c>
      <c r="E19" s="20">
        <v>42506</v>
      </c>
      <c r="F19" s="13">
        <v>56603</v>
      </c>
      <c r="G19" s="14"/>
      <c r="H19" s="22">
        <v>42506</v>
      </c>
      <c r="I19" s="15">
        <v>30</v>
      </c>
      <c r="J19" s="37"/>
      <c r="K19" s="13">
        <v>0</v>
      </c>
      <c r="L19" s="18">
        <v>0</v>
      </c>
      <c r="M19" s="81"/>
      <c r="O19" s="28"/>
      <c r="P19" s="11">
        <v>42506</v>
      </c>
      <c r="Q19" s="12">
        <v>56573</v>
      </c>
      <c r="R19" s="19" t="s">
        <v>267</v>
      </c>
      <c r="S19" s="20">
        <v>42506</v>
      </c>
      <c r="T19" s="13">
        <v>56603</v>
      </c>
      <c r="U19" s="14"/>
      <c r="V19" s="22">
        <v>42506</v>
      </c>
      <c r="W19" s="15">
        <v>30</v>
      </c>
      <c r="X19" s="37"/>
      <c r="Y19" s="13">
        <v>0</v>
      </c>
      <c r="Z19" s="18">
        <v>0</v>
      </c>
      <c r="AA19" s="81"/>
      <c r="AC19" s="28"/>
      <c r="AD19" s="11">
        <v>42506</v>
      </c>
      <c r="AE19" s="12">
        <v>56573</v>
      </c>
      <c r="AF19" s="19" t="s">
        <v>267</v>
      </c>
      <c r="AG19" s="20">
        <v>42506</v>
      </c>
      <c r="AH19" s="13">
        <v>56603</v>
      </c>
      <c r="AI19" s="14"/>
      <c r="AJ19" s="22">
        <v>42506</v>
      </c>
      <c r="AK19" s="15">
        <v>30</v>
      </c>
      <c r="AL19" s="37"/>
      <c r="AM19" s="13">
        <v>0</v>
      </c>
      <c r="AN19" s="18">
        <v>0</v>
      </c>
      <c r="AO19" s="81"/>
      <c r="AQ19" s="28"/>
      <c r="AR19" s="11">
        <v>42506</v>
      </c>
      <c r="AS19" s="12"/>
      <c r="AT19" s="19"/>
      <c r="AU19" s="20">
        <v>42506</v>
      </c>
      <c r="AV19" s="13"/>
      <c r="AW19" s="14"/>
      <c r="AX19" s="22">
        <v>42506</v>
      </c>
      <c r="AY19" s="15"/>
      <c r="AZ19" s="37"/>
      <c r="BA19" s="13">
        <v>0</v>
      </c>
      <c r="BB19" s="18"/>
      <c r="BC19" s="161"/>
      <c r="BD19" s="216"/>
      <c r="BE19" s="14"/>
    </row>
    <row r="20" spans="1:57" x14ac:dyDescent="0.25">
      <c r="B20" s="11">
        <v>42507</v>
      </c>
      <c r="C20" s="12">
        <v>45469</v>
      </c>
      <c r="D20" s="19" t="s">
        <v>267</v>
      </c>
      <c r="E20" s="20">
        <v>42507</v>
      </c>
      <c r="F20" s="13">
        <v>45468.800000000003</v>
      </c>
      <c r="G20" s="14"/>
      <c r="H20" s="22">
        <v>42507</v>
      </c>
      <c r="I20" s="38">
        <v>0</v>
      </c>
      <c r="J20" s="340"/>
      <c r="K20" s="39">
        <v>0</v>
      </c>
      <c r="L20" s="18">
        <v>0</v>
      </c>
      <c r="P20" s="11">
        <v>42507</v>
      </c>
      <c r="Q20" s="12">
        <v>45469</v>
      </c>
      <c r="R20" s="19" t="s">
        <v>267</v>
      </c>
      <c r="S20" s="20">
        <v>42507</v>
      </c>
      <c r="T20" s="13">
        <v>45468.800000000003</v>
      </c>
      <c r="U20" s="14"/>
      <c r="V20" s="22">
        <v>42507</v>
      </c>
      <c r="W20" s="38">
        <v>0</v>
      </c>
      <c r="X20" s="340"/>
      <c r="Y20" s="39">
        <v>0</v>
      </c>
      <c r="Z20" s="18">
        <v>0</v>
      </c>
      <c r="AD20" s="11">
        <v>42507</v>
      </c>
      <c r="AE20" s="12">
        <v>45469</v>
      </c>
      <c r="AF20" s="19" t="s">
        <v>267</v>
      </c>
      <c r="AG20" s="20">
        <v>42507</v>
      </c>
      <c r="AH20" s="230">
        <v>45468.800000000003</v>
      </c>
      <c r="AI20" s="14"/>
      <c r="AJ20" s="22">
        <v>42507</v>
      </c>
      <c r="AK20" s="301">
        <v>0</v>
      </c>
      <c r="AL20" s="340"/>
      <c r="AM20" s="39">
        <v>0</v>
      </c>
      <c r="AN20" s="18">
        <v>0</v>
      </c>
      <c r="AR20" s="11">
        <v>42507</v>
      </c>
      <c r="AS20" s="12"/>
      <c r="AT20" s="19"/>
      <c r="AU20" s="20">
        <v>42507</v>
      </c>
      <c r="AV20" s="13"/>
      <c r="AW20" s="14"/>
      <c r="AX20" s="22">
        <v>42507</v>
      </c>
      <c r="AY20" s="38"/>
      <c r="AZ20" s="340"/>
      <c r="BA20" s="39">
        <v>0</v>
      </c>
      <c r="BB20" s="18"/>
      <c r="BC20" s="200"/>
      <c r="BD20" s="299"/>
      <c r="BE20" s="14"/>
    </row>
    <row r="21" spans="1:57" x14ac:dyDescent="0.25">
      <c r="B21" s="11">
        <v>42508</v>
      </c>
      <c r="C21" s="12">
        <v>52827.5</v>
      </c>
      <c r="D21" s="40" t="s">
        <v>274</v>
      </c>
      <c r="E21" s="20">
        <v>42508</v>
      </c>
      <c r="F21" s="13">
        <v>52827.5</v>
      </c>
      <c r="G21" s="14"/>
      <c r="H21" s="22">
        <v>42508</v>
      </c>
      <c r="I21" s="38">
        <v>0</v>
      </c>
      <c r="J21" s="341"/>
      <c r="K21" s="24">
        <v>0</v>
      </c>
      <c r="L21" s="18">
        <v>0</v>
      </c>
      <c r="P21" s="11">
        <v>42508</v>
      </c>
      <c r="Q21" s="12">
        <v>52827.5</v>
      </c>
      <c r="R21" s="40" t="s">
        <v>274</v>
      </c>
      <c r="S21" s="20">
        <v>42508</v>
      </c>
      <c r="T21" s="13">
        <v>52827.5</v>
      </c>
      <c r="U21" s="14"/>
      <c r="V21" s="22">
        <v>42508</v>
      </c>
      <c r="W21" s="38">
        <v>0</v>
      </c>
      <c r="X21" s="341"/>
      <c r="Y21" s="24">
        <v>0</v>
      </c>
      <c r="Z21" s="18">
        <v>0</v>
      </c>
      <c r="AD21" s="11">
        <v>42508</v>
      </c>
      <c r="AE21" s="12"/>
      <c r="AF21" s="40"/>
      <c r="AG21" s="20">
        <v>42508</v>
      </c>
      <c r="AH21" s="13"/>
      <c r="AI21" s="14"/>
      <c r="AJ21" s="22">
        <v>42508</v>
      </c>
      <c r="AK21" s="38"/>
      <c r="AL21" s="341"/>
      <c r="AM21" s="24">
        <v>0</v>
      </c>
      <c r="AN21" s="18"/>
      <c r="AR21" s="11">
        <v>42508</v>
      </c>
      <c r="AS21" s="12"/>
      <c r="AT21" s="40"/>
      <c r="AU21" s="20">
        <v>42508</v>
      </c>
      <c r="AV21" s="13"/>
      <c r="AW21" s="14"/>
      <c r="AX21" s="22">
        <v>42508</v>
      </c>
      <c r="AY21" s="38"/>
      <c r="AZ21" s="341"/>
      <c r="BA21" s="24">
        <v>0</v>
      </c>
      <c r="BB21" s="18"/>
      <c r="BC21" s="200"/>
      <c r="BD21" s="147"/>
      <c r="BE21" s="14"/>
    </row>
    <row r="22" spans="1:57" x14ac:dyDescent="0.25">
      <c r="B22" s="11">
        <v>42509</v>
      </c>
      <c r="C22" s="12">
        <v>49761.89</v>
      </c>
      <c r="D22" s="40" t="s">
        <v>275</v>
      </c>
      <c r="E22" s="20">
        <v>42509</v>
      </c>
      <c r="F22" s="13">
        <v>49761.7</v>
      </c>
      <c r="G22" s="21"/>
      <c r="H22" s="22">
        <v>42509</v>
      </c>
      <c r="I22" s="15">
        <v>0</v>
      </c>
      <c r="J22" s="23"/>
      <c r="K22" s="24">
        <v>0</v>
      </c>
      <c r="L22" s="18">
        <v>0</v>
      </c>
      <c r="P22" s="11">
        <v>42509</v>
      </c>
      <c r="Q22" s="12">
        <v>49761.89</v>
      </c>
      <c r="R22" s="40" t="s">
        <v>275</v>
      </c>
      <c r="S22" s="20">
        <v>42509</v>
      </c>
      <c r="T22" s="13">
        <v>49761.7</v>
      </c>
      <c r="U22" s="21"/>
      <c r="V22" s="22">
        <v>42509</v>
      </c>
      <c r="W22" s="15">
        <v>0</v>
      </c>
      <c r="X22" s="23"/>
      <c r="Y22" s="24">
        <v>0</v>
      </c>
      <c r="Z22" s="18">
        <v>0</v>
      </c>
      <c r="AD22" s="11">
        <v>42509</v>
      </c>
      <c r="AE22" s="12"/>
      <c r="AF22" s="40"/>
      <c r="AG22" s="20">
        <v>42509</v>
      </c>
      <c r="AH22" s="13"/>
      <c r="AI22" s="21"/>
      <c r="AJ22" s="22">
        <v>42509</v>
      </c>
      <c r="AK22" s="15"/>
      <c r="AL22" s="23"/>
      <c r="AM22" s="24">
        <v>0</v>
      </c>
      <c r="AN22" s="18"/>
      <c r="AR22" s="11">
        <v>42509</v>
      </c>
      <c r="AS22" s="12"/>
      <c r="AT22" s="40"/>
      <c r="AU22" s="20">
        <v>42509</v>
      </c>
      <c r="AV22" s="13"/>
      <c r="AW22" s="21"/>
      <c r="AX22" s="22">
        <v>42509</v>
      </c>
      <c r="AY22" s="15"/>
      <c r="AZ22" s="23"/>
      <c r="BA22" s="24">
        <v>0</v>
      </c>
      <c r="BB22" s="18"/>
      <c r="BC22" s="274"/>
      <c r="BD22" s="14"/>
      <c r="BE22" s="14"/>
    </row>
    <row r="23" spans="1:57" x14ac:dyDescent="0.25">
      <c r="A23" s="28"/>
      <c r="B23" s="11">
        <v>42510</v>
      </c>
      <c r="C23" s="12">
        <v>67163.5</v>
      </c>
      <c r="D23" s="40" t="s">
        <v>276</v>
      </c>
      <c r="E23" s="20">
        <v>42510</v>
      </c>
      <c r="F23" s="13">
        <v>67163</v>
      </c>
      <c r="G23" s="14"/>
      <c r="H23" s="22">
        <v>42510</v>
      </c>
      <c r="I23" s="15">
        <v>0</v>
      </c>
      <c r="J23" s="32"/>
      <c r="K23" s="13">
        <v>0</v>
      </c>
      <c r="L23" s="18">
        <v>0</v>
      </c>
      <c r="O23" s="28"/>
      <c r="P23" s="11">
        <v>42510</v>
      </c>
      <c r="Q23" s="12">
        <v>67163.5</v>
      </c>
      <c r="R23" s="40" t="s">
        <v>276</v>
      </c>
      <c r="S23" s="20">
        <v>42510</v>
      </c>
      <c r="T23" s="13">
        <v>67163</v>
      </c>
      <c r="U23" s="14"/>
      <c r="V23" s="22">
        <v>42510</v>
      </c>
      <c r="W23" s="15">
        <v>0</v>
      </c>
      <c r="X23" s="32"/>
      <c r="Y23" s="13">
        <v>0</v>
      </c>
      <c r="Z23" s="18">
        <v>0</v>
      </c>
      <c r="AC23" s="28"/>
      <c r="AD23" s="11">
        <v>42510</v>
      </c>
      <c r="AE23" s="12"/>
      <c r="AF23" s="40"/>
      <c r="AG23" s="20">
        <v>42510</v>
      </c>
      <c r="AH23" s="13"/>
      <c r="AI23" s="14"/>
      <c r="AJ23" s="22">
        <v>42510</v>
      </c>
      <c r="AK23" s="15"/>
      <c r="AL23" s="32"/>
      <c r="AM23" s="13">
        <v>0</v>
      </c>
      <c r="AN23" s="18"/>
      <c r="AO23" s="216"/>
      <c r="AQ23" s="28"/>
      <c r="AR23" s="11">
        <v>42510</v>
      </c>
      <c r="AS23" s="12"/>
      <c r="AT23" s="40"/>
      <c r="AU23" s="20">
        <v>42510</v>
      </c>
      <c r="AV23" s="13"/>
      <c r="AW23" s="14"/>
      <c r="AX23" s="22">
        <v>42510</v>
      </c>
      <c r="AY23" s="15"/>
      <c r="AZ23" s="32"/>
      <c r="BA23" s="13">
        <v>0</v>
      </c>
      <c r="BB23" s="18"/>
      <c r="BC23" s="274"/>
      <c r="BD23" s="14"/>
      <c r="BE23" s="14"/>
    </row>
    <row r="24" spans="1:57" x14ac:dyDescent="0.25">
      <c r="A24" s="28"/>
      <c r="B24" s="11">
        <v>42511</v>
      </c>
      <c r="C24" s="12">
        <v>33196.5</v>
      </c>
      <c r="D24" s="40" t="s">
        <v>276</v>
      </c>
      <c r="E24" s="20">
        <v>42511</v>
      </c>
      <c r="F24" s="13">
        <v>33196.5</v>
      </c>
      <c r="G24" s="14"/>
      <c r="H24" s="22">
        <v>42511</v>
      </c>
      <c r="I24" s="15">
        <v>0</v>
      </c>
      <c r="J24" s="34" t="s">
        <v>282</v>
      </c>
      <c r="K24" s="24">
        <v>6264</v>
      </c>
      <c r="L24" s="18">
        <v>0</v>
      </c>
      <c r="M24" s="33"/>
      <c r="O24" s="28"/>
      <c r="P24" s="11">
        <v>42511</v>
      </c>
      <c r="Q24" s="12">
        <v>33196.5</v>
      </c>
      <c r="R24" s="40" t="s">
        <v>276</v>
      </c>
      <c r="S24" s="20">
        <v>42511</v>
      </c>
      <c r="T24" s="13">
        <v>33196.5</v>
      </c>
      <c r="U24" s="14"/>
      <c r="V24" s="22">
        <v>42511</v>
      </c>
      <c r="W24" s="15">
        <v>0</v>
      </c>
      <c r="X24" s="34"/>
      <c r="Y24" s="24"/>
      <c r="Z24" s="18">
        <v>0</v>
      </c>
      <c r="AA24" s="33"/>
      <c r="AC24" s="28"/>
      <c r="AD24" s="11">
        <v>42511</v>
      </c>
      <c r="AE24" s="12"/>
      <c r="AF24" s="40"/>
      <c r="AG24" s="20">
        <v>42511</v>
      </c>
      <c r="AH24" s="13"/>
      <c r="AI24" s="14"/>
      <c r="AJ24" s="22">
        <v>42511</v>
      </c>
      <c r="AK24" s="15"/>
      <c r="AL24" s="34"/>
      <c r="AM24" s="24"/>
      <c r="AN24" s="18"/>
      <c r="AO24" s="216"/>
      <c r="AQ24" s="28"/>
      <c r="AR24" s="11">
        <v>42511</v>
      </c>
      <c r="AS24" s="12"/>
      <c r="AT24" s="40"/>
      <c r="AU24" s="20">
        <v>42511</v>
      </c>
      <c r="AV24" s="13"/>
      <c r="AW24" s="14"/>
      <c r="AX24" s="22">
        <v>42511</v>
      </c>
      <c r="AY24" s="15"/>
      <c r="AZ24" s="34"/>
      <c r="BA24" s="24"/>
      <c r="BB24" s="18"/>
      <c r="BC24" s="274"/>
      <c r="BD24" s="81"/>
      <c r="BE24" s="82"/>
    </row>
    <row r="25" spans="1:57" x14ac:dyDescent="0.25">
      <c r="B25" s="11">
        <v>42512</v>
      </c>
      <c r="C25" s="12">
        <v>67114.7</v>
      </c>
      <c r="D25" s="19" t="s">
        <v>276</v>
      </c>
      <c r="E25" s="20">
        <v>42512</v>
      </c>
      <c r="F25" s="13">
        <v>67114.7</v>
      </c>
      <c r="G25" s="14"/>
      <c r="H25" s="22">
        <v>42512</v>
      </c>
      <c r="I25" s="15">
        <v>0</v>
      </c>
      <c r="J25" s="23" t="s">
        <v>173</v>
      </c>
      <c r="K25" s="24"/>
      <c r="L25" s="18">
        <v>0</v>
      </c>
      <c r="M25" s="33"/>
      <c r="P25" s="11">
        <v>42512</v>
      </c>
      <c r="Q25" s="12">
        <v>67114.7</v>
      </c>
      <c r="R25" s="19" t="s">
        <v>276</v>
      </c>
      <c r="S25" s="20">
        <v>42512</v>
      </c>
      <c r="T25" s="13">
        <v>67114.7</v>
      </c>
      <c r="U25" s="14"/>
      <c r="V25" s="22">
        <v>42512</v>
      </c>
      <c r="W25" s="15">
        <v>0</v>
      </c>
      <c r="X25" s="23"/>
      <c r="Y25" s="24"/>
      <c r="Z25" s="18">
        <v>0</v>
      </c>
      <c r="AA25" s="33"/>
      <c r="AD25" s="11">
        <v>42512</v>
      </c>
      <c r="AE25" s="12"/>
      <c r="AF25" s="19"/>
      <c r="AG25" s="20">
        <v>42512</v>
      </c>
      <c r="AH25" s="13"/>
      <c r="AI25" s="14"/>
      <c r="AJ25" s="22">
        <v>42512</v>
      </c>
      <c r="AK25" s="15"/>
      <c r="AL25" s="23"/>
      <c r="AM25" s="24"/>
      <c r="AN25" s="18"/>
      <c r="AO25" s="216"/>
      <c r="AR25" s="11">
        <v>42512</v>
      </c>
      <c r="AS25" s="12"/>
      <c r="AT25" s="19"/>
      <c r="AU25" s="20">
        <v>42512</v>
      </c>
      <c r="AV25" s="13"/>
      <c r="AW25" s="14"/>
      <c r="AX25" s="22">
        <v>42512</v>
      </c>
      <c r="AY25" s="15"/>
      <c r="AZ25" s="23"/>
      <c r="BA25" s="24"/>
      <c r="BB25" s="18"/>
      <c r="BC25" s="274"/>
      <c r="BD25" s="14"/>
      <c r="BE25" s="14"/>
    </row>
    <row r="26" spans="1:57" x14ac:dyDescent="0.25">
      <c r="B26" s="11">
        <v>42513</v>
      </c>
      <c r="C26" s="12">
        <v>21441</v>
      </c>
      <c r="D26" s="19" t="s">
        <v>279</v>
      </c>
      <c r="E26" s="20">
        <v>42513</v>
      </c>
      <c r="F26" s="13">
        <v>21441</v>
      </c>
      <c r="G26" s="14"/>
      <c r="H26" s="22">
        <v>42513</v>
      </c>
      <c r="I26" s="15">
        <v>0</v>
      </c>
      <c r="J26" s="23"/>
      <c r="K26" s="24"/>
      <c r="L26" s="18">
        <v>0</v>
      </c>
      <c r="P26" s="11">
        <v>42513</v>
      </c>
      <c r="Q26" s="12">
        <v>21441</v>
      </c>
      <c r="R26" s="19" t="s">
        <v>279</v>
      </c>
      <c r="S26" s="20">
        <v>42513</v>
      </c>
      <c r="T26" s="13">
        <v>21441</v>
      </c>
      <c r="U26" s="14"/>
      <c r="V26" s="22">
        <v>42513</v>
      </c>
      <c r="W26" s="15">
        <v>0</v>
      </c>
      <c r="X26" s="23"/>
      <c r="Y26" s="24"/>
      <c r="Z26" s="18">
        <v>0</v>
      </c>
      <c r="AD26" s="11">
        <v>42513</v>
      </c>
      <c r="AE26" s="12"/>
      <c r="AF26" s="19"/>
      <c r="AG26" s="20">
        <v>42513</v>
      </c>
      <c r="AH26" s="13"/>
      <c r="AI26" s="14"/>
      <c r="AJ26" s="22">
        <v>42513</v>
      </c>
      <c r="AK26" s="15"/>
      <c r="AL26" s="23"/>
      <c r="AM26" s="24"/>
      <c r="AN26" s="18"/>
      <c r="AO26" s="216"/>
      <c r="AR26" s="11">
        <v>42513</v>
      </c>
      <c r="AS26" s="12"/>
      <c r="AT26" s="19"/>
      <c r="AU26" s="20">
        <v>42513</v>
      </c>
      <c r="AV26" s="13"/>
      <c r="AW26" s="14"/>
      <c r="AX26" s="22">
        <v>42513</v>
      </c>
      <c r="AY26" s="15"/>
      <c r="AZ26" s="23"/>
      <c r="BA26" s="24"/>
      <c r="BB26" s="18"/>
      <c r="BC26" s="274"/>
      <c r="BD26" s="14"/>
      <c r="BE26" s="14"/>
    </row>
    <row r="27" spans="1:57" x14ac:dyDescent="0.25">
      <c r="B27" s="11">
        <v>42514</v>
      </c>
      <c r="C27" s="12">
        <v>152637.20000000001</v>
      </c>
      <c r="D27" s="19" t="s">
        <v>280</v>
      </c>
      <c r="E27" s="20">
        <v>42514</v>
      </c>
      <c r="F27" s="13">
        <v>152637.01</v>
      </c>
      <c r="G27" s="14"/>
      <c r="H27" s="22">
        <v>42514</v>
      </c>
      <c r="I27" s="15">
        <v>0</v>
      </c>
      <c r="J27" s="23"/>
      <c r="K27" s="24"/>
      <c r="L27" s="18">
        <v>0</v>
      </c>
      <c r="P27" s="11">
        <v>42514</v>
      </c>
      <c r="Q27" s="12">
        <v>152637.20000000001</v>
      </c>
      <c r="R27" s="19" t="s">
        <v>280</v>
      </c>
      <c r="S27" s="20">
        <v>42514</v>
      </c>
      <c r="T27" s="13">
        <v>152637.01</v>
      </c>
      <c r="U27" s="14"/>
      <c r="V27" s="22">
        <v>42514</v>
      </c>
      <c r="W27" s="15">
        <v>0</v>
      </c>
      <c r="X27" s="23"/>
      <c r="Y27" s="24"/>
      <c r="Z27" s="18">
        <v>0</v>
      </c>
      <c r="AD27" s="11">
        <v>42514</v>
      </c>
      <c r="AE27" s="12"/>
      <c r="AF27" s="19"/>
      <c r="AG27" s="20">
        <v>42514</v>
      </c>
      <c r="AH27" s="13"/>
      <c r="AI27" s="14"/>
      <c r="AJ27" s="22">
        <v>42514</v>
      </c>
      <c r="AK27" s="15"/>
      <c r="AL27" s="23"/>
      <c r="AM27" s="24"/>
      <c r="AN27" s="18"/>
      <c r="AO27" s="216"/>
      <c r="AR27" s="11">
        <v>42514</v>
      </c>
      <c r="AS27" s="12"/>
      <c r="AT27" s="19"/>
      <c r="AU27" s="20">
        <v>42514</v>
      </c>
      <c r="AV27" s="13"/>
      <c r="AW27" s="14"/>
      <c r="AX27" s="22">
        <v>42514</v>
      </c>
      <c r="AY27" s="15"/>
      <c r="AZ27" s="23"/>
      <c r="BA27" s="24"/>
      <c r="BB27" s="18"/>
      <c r="BC27" s="274"/>
      <c r="BD27" s="14"/>
      <c r="BE27" s="14"/>
    </row>
    <row r="28" spans="1:57" x14ac:dyDescent="0.25">
      <c r="B28" s="11">
        <v>42515</v>
      </c>
      <c r="C28" s="12">
        <v>27105</v>
      </c>
      <c r="D28" s="19" t="s">
        <v>281</v>
      </c>
      <c r="E28" s="20">
        <v>42515</v>
      </c>
      <c r="F28" s="13">
        <v>33369</v>
      </c>
      <c r="G28" s="14"/>
      <c r="H28" s="22">
        <v>42515</v>
      </c>
      <c r="I28" s="15">
        <v>0</v>
      </c>
      <c r="J28" s="23"/>
      <c r="K28" s="24"/>
      <c r="L28" s="18">
        <v>0</v>
      </c>
      <c r="P28" s="11">
        <v>42515</v>
      </c>
      <c r="Q28" s="12"/>
      <c r="R28" s="19"/>
      <c r="S28" s="20">
        <v>42515</v>
      </c>
      <c r="T28" s="13"/>
      <c r="U28" s="14"/>
      <c r="V28" s="22">
        <v>42515</v>
      </c>
      <c r="W28" s="15"/>
      <c r="X28" s="23"/>
      <c r="Y28" s="24"/>
      <c r="Z28" s="18"/>
      <c r="AD28" s="11">
        <v>42515</v>
      </c>
      <c r="AE28" s="12"/>
      <c r="AF28" s="19"/>
      <c r="AG28" s="20">
        <v>42515</v>
      </c>
      <c r="AH28" s="13"/>
      <c r="AI28" s="14"/>
      <c r="AJ28" s="22">
        <v>42515</v>
      </c>
      <c r="AK28" s="15"/>
      <c r="AL28" s="23"/>
      <c r="AM28" s="24"/>
      <c r="AN28" s="18"/>
      <c r="AO28" s="18"/>
      <c r="AR28" s="11">
        <v>42515</v>
      </c>
      <c r="AS28" s="12"/>
      <c r="AT28" s="19"/>
      <c r="AU28" s="20">
        <v>42515</v>
      </c>
      <c r="AV28" s="13"/>
      <c r="AW28" s="14"/>
      <c r="AX28" s="22">
        <v>42515</v>
      </c>
      <c r="AY28" s="15"/>
      <c r="AZ28" s="23"/>
      <c r="BA28" s="24"/>
      <c r="BB28" s="18"/>
      <c r="BC28" s="274"/>
      <c r="BD28" s="14"/>
      <c r="BE28" s="14"/>
    </row>
    <row r="29" spans="1:57" x14ac:dyDescent="0.25">
      <c r="B29" s="11">
        <v>42516</v>
      </c>
      <c r="C29" s="12">
        <v>24388.5</v>
      </c>
      <c r="D29" s="19" t="s">
        <v>280</v>
      </c>
      <c r="E29" s="20">
        <v>42516</v>
      </c>
      <c r="F29" s="13">
        <v>24454.5</v>
      </c>
      <c r="G29" s="14"/>
      <c r="H29" s="22">
        <v>42516</v>
      </c>
      <c r="I29" s="15">
        <v>66</v>
      </c>
      <c r="J29" s="23"/>
      <c r="K29" s="24"/>
      <c r="L29" s="18">
        <v>0</v>
      </c>
      <c r="M29" s="3">
        <v>0</v>
      </c>
      <c r="P29" s="11">
        <v>42516</v>
      </c>
      <c r="Q29" s="12"/>
      <c r="R29" s="19"/>
      <c r="S29" s="20">
        <v>42516</v>
      </c>
      <c r="T29" s="13"/>
      <c r="U29" s="14"/>
      <c r="V29" s="22">
        <v>42516</v>
      </c>
      <c r="W29" s="15"/>
      <c r="X29" s="23"/>
      <c r="Y29" s="24"/>
      <c r="Z29" s="18"/>
      <c r="AA29" s="216"/>
      <c r="AD29" s="11">
        <v>42516</v>
      </c>
      <c r="AE29" s="12"/>
      <c r="AF29" s="19"/>
      <c r="AG29" s="20">
        <v>42516</v>
      </c>
      <c r="AH29" s="13"/>
      <c r="AI29" s="14"/>
      <c r="AJ29" s="22">
        <v>42516</v>
      </c>
      <c r="AK29" s="15"/>
      <c r="AL29" s="23"/>
      <c r="AM29" s="24"/>
      <c r="AN29" s="18"/>
      <c r="AO29" s="216"/>
      <c r="AR29" s="11">
        <v>42516</v>
      </c>
      <c r="AS29" s="12"/>
      <c r="AT29" s="19"/>
      <c r="AU29" s="20">
        <v>42516</v>
      </c>
      <c r="AV29" s="13"/>
      <c r="AW29" s="14"/>
      <c r="AX29" s="22">
        <v>42516</v>
      </c>
      <c r="AY29" s="15"/>
      <c r="AZ29" s="23"/>
      <c r="BA29" s="24"/>
      <c r="BB29" s="18"/>
      <c r="BC29" s="274"/>
      <c r="BD29" s="14"/>
      <c r="BE29" s="14"/>
    </row>
    <row r="30" spans="1:57" x14ac:dyDescent="0.25">
      <c r="B30" s="11">
        <v>42517</v>
      </c>
      <c r="C30" s="12">
        <v>71697.8</v>
      </c>
      <c r="D30" s="19" t="s">
        <v>294</v>
      </c>
      <c r="E30" s="20">
        <v>42517</v>
      </c>
      <c r="F30" s="13">
        <v>71697.88</v>
      </c>
      <c r="G30" s="14"/>
      <c r="H30" s="22">
        <v>42517</v>
      </c>
      <c r="I30" s="15">
        <v>0</v>
      </c>
      <c r="J30" s="23"/>
      <c r="K30" s="24"/>
      <c r="L30" s="18">
        <v>0</v>
      </c>
      <c r="P30" s="11">
        <v>42517</v>
      </c>
      <c r="Q30" s="12"/>
      <c r="R30" s="19"/>
      <c r="S30" s="20">
        <v>42517</v>
      </c>
      <c r="T30" s="13"/>
      <c r="U30" s="14"/>
      <c r="V30" s="22">
        <v>42517</v>
      </c>
      <c r="W30" s="15"/>
      <c r="X30" s="23"/>
      <c r="Y30" s="24"/>
      <c r="Z30" s="18"/>
      <c r="AA30" s="216"/>
      <c r="AD30" s="11">
        <v>42517</v>
      </c>
      <c r="AE30" s="12"/>
      <c r="AF30" s="19"/>
      <c r="AG30" s="20">
        <v>42517</v>
      </c>
      <c r="AH30" s="13"/>
      <c r="AI30" s="14"/>
      <c r="AJ30" s="22">
        <v>42517</v>
      </c>
      <c r="AK30" s="15"/>
      <c r="AL30" s="23"/>
      <c r="AM30" s="24"/>
      <c r="AN30" s="18"/>
      <c r="AO30" s="216"/>
      <c r="AR30" s="11">
        <v>42517</v>
      </c>
      <c r="AS30" s="12"/>
      <c r="AT30" s="19"/>
      <c r="AU30" s="20">
        <v>42517</v>
      </c>
      <c r="AV30" s="13"/>
      <c r="AW30" s="14"/>
      <c r="AX30" s="22">
        <v>42517</v>
      </c>
      <c r="AY30" s="15"/>
      <c r="AZ30" s="23"/>
      <c r="BA30" s="24"/>
      <c r="BB30" s="18"/>
      <c r="BC30" s="274"/>
      <c r="BD30" s="14"/>
      <c r="BE30" s="14"/>
    </row>
    <row r="31" spans="1:57" x14ac:dyDescent="0.25">
      <c r="B31" s="11">
        <v>42518</v>
      </c>
      <c r="C31" s="12">
        <v>34740.5</v>
      </c>
      <c r="D31" s="19" t="s">
        <v>295</v>
      </c>
      <c r="E31" s="20">
        <v>42518</v>
      </c>
      <c r="F31" s="13">
        <v>34740.5</v>
      </c>
      <c r="G31" s="14"/>
      <c r="H31" s="22">
        <v>42518</v>
      </c>
      <c r="I31" s="15">
        <v>0</v>
      </c>
      <c r="J31" s="23"/>
      <c r="K31" s="24"/>
      <c r="L31" s="18">
        <v>0</v>
      </c>
      <c r="P31" s="11">
        <v>42518</v>
      </c>
      <c r="Q31" s="12"/>
      <c r="R31" s="19"/>
      <c r="S31" s="20">
        <v>42518</v>
      </c>
      <c r="T31" s="13"/>
      <c r="U31" s="14"/>
      <c r="V31" s="22">
        <v>42518</v>
      </c>
      <c r="W31" s="15"/>
      <c r="X31" s="23"/>
      <c r="Y31" s="24"/>
      <c r="Z31" s="18"/>
      <c r="AA31" s="216"/>
      <c r="AD31" s="11">
        <v>42518</v>
      </c>
      <c r="AE31" s="12"/>
      <c r="AF31" s="19"/>
      <c r="AG31" s="20">
        <v>42518</v>
      </c>
      <c r="AH31" s="13"/>
      <c r="AI31" s="14"/>
      <c r="AJ31" s="22">
        <v>42518</v>
      </c>
      <c r="AK31" s="15"/>
      <c r="AL31" s="23"/>
      <c r="AM31" s="24"/>
      <c r="AN31" s="18"/>
      <c r="AO31" s="216"/>
      <c r="AR31" s="11">
        <v>42518</v>
      </c>
      <c r="AS31" s="12"/>
      <c r="AT31" s="19"/>
      <c r="AU31" s="20">
        <v>42518</v>
      </c>
      <c r="AV31" s="13"/>
      <c r="AW31" s="14"/>
      <c r="AX31" s="22">
        <v>42518</v>
      </c>
      <c r="AY31" s="15"/>
      <c r="AZ31" s="23"/>
      <c r="BA31" s="24"/>
      <c r="BB31" s="18"/>
      <c r="BC31" s="274"/>
      <c r="BD31" s="14"/>
      <c r="BE31" s="14"/>
    </row>
    <row r="32" spans="1:57" x14ac:dyDescent="0.25">
      <c r="B32" s="11">
        <v>42519</v>
      </c>
      <c r="C32" s="12">
        <v>84833.42</v>
      </c>
      <c r="D32" s="42" t="s">
        <v>296</v>
      </c>
      <c r="E32" s="20">
        <v>42519</v>
      </c>
      <c r="F32" s="13">
        <v>84933.64</v>
      </c>
      <c r="G32" s="14"/>
      <c r="H32" s="22">
        <v>42519</v>
      </c>
      <c r="I32" s="15">
        <v>100</v>
      </c>
      <c r="J32" s="23"/>
      <c r="K32" s="24"/>
      <c r="L32" s="18">
        <v>0</v>
      </c>
      <c r="P32" s="11">
        <v>42519</v>
      </c>
      <c r="Q32" s="12"/>
      <c r="R32" s="42"/>
      <c r="S32" s="20">
        <v>42519</v>
      </c>
      <c r="T32" s="13"/>
      <c r="U32" s="14"/>
      <c r="V32" s="22">
        <v>42519</v>
      </c>
      <c r="W32" s="15"/>
      <c r="X32" s="23"/>
      <c r="Y32" s="24"/>
      <c r="Z32" s="18"/>
      <c r="AA32" s="216"/>
      <c r="AD32" s="11">
        <v>42519</v>
      </c>
      <c r="AE32" s="12"/>
      <c r="AF32" s="42"/>
      <c r="AG32" s="20">
        <v>42519</v>
      </c>
      <c r="AH32" s="13"/>
      <c r="AI32" s="14"/>
      <c r="AJ32" s="22">
        <v>42519</v>
      </c>
      <c r="AK32" s="15"/>
      <c r="AL32" s="23"/>
      <c r="AM32" s="24"/>
      <c r="AN32" s="18"/>
      <c r="AO32" s="216"/>
      <c r="AR32" s="11">
        <v>42519</v>
      </c>
      <c r="AS32" s="12"/>
      <c r="AT32" s="42"/>
      <c r="AU32" s="20">
        <v>42519</v>
      </c>
      <c r="AV32" s="13"/>
      <c r="AW32" s="14"/>
      <c r="AX32" s="22">
        <v>42519</v>
      </c>
      <c r="AY32" s="15"/>
      <c r="AZ32" s="23"/>
      <c r="BA32" s="24"/>
      <c r="BB32" s="18"/>
    </row>
    <row r="33" spans="1:54" customFormat="1" ht="15" x14ac:dyDescent="0.25">
      <c r="B33" s="11">
        <v>42520</v>
      </c>
      <c r="C33" s="12">
        <v>27960.5</v>
      </c>
      <c r="D33" s="19" t="s">
        <v>297</v>
      </c>
      <c r="E33" s="20">
        <v>42520</v>
      </c>
      <c r="F33" s="13">
        <v>27960.5</v>
      </c>
      <c r="G33" s="14"/>
      <c r="H33" s="22">
        <v>42520</v>
      </c>
      <c r="I33" s="15">
        <v>0</v>
      </c>
      <c r="J33" s="23"/>
      <c r="K33" s="24"/>
      <c r="L33" s="18">
        <v>0</v>
      </c>
      <c r="M33" s="3"/>
      <c r="P33" s="11">
        <v>42520</v>
      </c>
      <c r="Q33" s="12"/>
      <c r="R33" s="19"/>
      <c r="S33" s="20">
        <v>42520</v>
      </c>
      <c r="T33" s="13"/>
      <c r="U33" s="14"/>
      <c r="V33" s="22">
        <v>42520</v>
      </c>
      <c r="W33" s="15"/>
      <c r="X33" s="23"/>
      <c r="Y33" s="24"/>
      <c r="Z33" s="18"/>
      <c r="AA33" s="216"/>
      <c r="AD33" s="11">
        <v>42520</v>
      </c>
      <c r="AE33" s="12"/>
      <c r="AF33" s="19"/>
      <c r="AG33" s="20">
        <v>42520</v>
      </c>
      <c r="AH33" s="13"/>
      <c r="AI33" s="14"/>
      <c r="AJ33" s="22">
        <v>42520</v>
      </c>
      <c r="AK33" s="15"/>
      <c r="AL33" s="23"/>
      <c r="AM33" s="24"/>
      <c r="AN33" s="18"/>
      <c r="AO33" s="308"/>
      <c r="AR33" s="11">
        <v>42520</v>
      </c>
      <c r="AS33" s="12"/>
      <c r="AT33" s="19"/>
      <c r="AU33" s="20">
        <v>42520</v>
      </c>
      <c r="AV33" s="13"/>
      <c r="AW33" s="14"/>
      <c r="AX33" s="22">
        <v>42520</v>
      </c>
      <c r="AY33" s="15"/>
      <c r="AZ33" s="23"/>
      <c r="BA33" s="24"/>
      <c r="BB33" s="18"/>
    </row>
    <row r="34" spans="1:54" customFormat="1" thickBot="1" x14ac:dyDescent="0.3">
      <c r="A34" s="28"/>
      <c r="B34" s="11">
        <v>42521</v>
      </c>
      <c r="C34" s="12">
        <v>32457.5</v>
      </c>
      <c r="D34" s="19" t="s">
        <v>297</v>
      </c>
      <c r="E34" s="20">
        <v>42521</v>
      </c>
      <c r="F34" s="13">
        <v>32457.5</v>
      </c>
      <c r="G34" s="14"/>
      <c r="H34" s="22">
        <v>42521</v>
      </c>
      <c r="I34" s="15">
        <v>0</v>
      </c>
      <c r="J34" s="23"/>
      <c r="K34" s="24"/>
      <c r="L34" s="18">
        <v>0</v>
      </c>
      <c r="M34" s="3"/>
      <c r="O34" s="28"/>
      <c r="P34" s="11">
        <v>42521</v>
      </c>
      <c r="Q34" s="12"/>
      <c r="R34" s="19"/>
      <c r="S34" s="20">
        <v>42521</v>
      </c>
      <c r="T34" s="13"/>
      <c r="U34" s="14"/>
      <c r="V34" s="22">
        <v>42521</v>
      </c>
      <c r="W34" s="15"/>
      <c r="X34" s="23"/>
      <c r="Y34" s="24"/>
      <c r="Z34" s="18"/>
      <c r="AA34" s="18"/>
      <c r="AC34" s="28"/>
      <c r="AD34" s="11">
        <v>42521</v>
      </c>
      <c r="AE34" s="12"/>
      <c r="AF34" s="19"/>
      <c r="AG34" s="20">
        <v>42521</v>
      </c>
      <c r="AH34" s="13"/>
      <c r="AI34" s="14"/>
      <c r="AJ34" s="22">
        <v>42521</v>
      </c>
      <c r="AK34" s="15"/>
      <c r="AL34" s="23"/>
      <c r="AM34" s="24"/>
      <c r="AN34" s="18"/>
      <c r="AO34" s="308"/>
      <c r="AQ34" s="28"/>
      <c r="AR34" s="11">
        <v>42521</v>
      </c>
      <c r="AS34" s="12"/>
      <c r="AT34" s="19"/>
      <c r="AU34" s="20">
        <v>42521</v>
      </c>
      <c r="AV34" s="13"/>
      <c r="AW34" s="14"/>
      <c r="AX34" s="22">
        <v>42521</v>
      </c>
      <c r="AY34" s="15"/>
      <c r="AZ34" s="23"/>
      <c r="BA34" s="24"/>
      <c r="BB34" s="18"/>
    </row>
    <row r="35" spans="1:54" customFormat="1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M35" s="3"/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216"/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 s="3"/>
      <c r="AQ35" s="43"/>
      <c r="AR35" s="44"/>
      <c r="AS35" s="45">
        <v>0</v>
      </c>
      <c r="AT35" s="46"/>
      <c r="AU35" s="47"/>
      <c r="AV35" s="24">
        <v>0</v>
      </c>
      <c r="AX35" s="48"/>
      <c r="AY35" s="49"/>
      <c r="AZ35" s="23"/>
      <c r="BA35" s="24"/>
      <c r="BB35" s="50">
        <v>0</v>
      </c>
    </row>
    <row r="36" spans="1:54" customFormat="1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M36" s="3"/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216"/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 s="3"/>
      <c r="AQ36" s="51"/>
      <c r="AR36" s="52" t="s">
        <v>0</v>
      </c>
      <c r="AS36" s="53">
        <v>0</v>
      </c>
      <c r="AT36" s="46"/>
      <c r="AU36" s="54"/>
      <c r="AV36" s="55">
        <v>0</v>
      </c>
      <c r="AX36" s="56"/>
      <c r="AY36" s="57">
        <v>0</v>
      </c>
      <c r="AZ36" s="58"/>
      <c r="BA36" s="55"/>
      <c r="BB36" s="59">
        <v>0</v>
      </c>
    </row>
    <row r="37" spans="1:54" customFormat="1" ht="15" x14ac:dyDescent="0.25">
      <c r="B37" s="60" t="s">
        <v>11</v>
      </c>
      <c r="C37" s="61">
        <f>SUM(C4:C36)</f>
        <v>1618724.95</v>
      </c>
      <c r="D37" s="46"/>
      <c r="E37" s="62" t="s">
        <v>11</v>
      </c>
      <c r="F37" s="63">
        <f>SUM(F4:F36)</f>
        <v>1625114.2299999997</v>
      </c>
      <c r="H37" s="1" t="s">
        <v>11</v>
      </c>
      <c r="I37" s="64">
        <f>SUM(I4:I36)</f>
        <v>328</v>
      </c>
      <c r="J37" s="64"/>
      <c r="K37" s="64">
        <f t="shared" ref="K37" si="0">SUM(K4:K36)</f>
        <v>58762.19</v>
      </c>
      <c r="L37" s="2">
        <f>SUM(L4:L36)</f>
        <v>0</v>
      </c>
      <c r="M37" s="3"/>
      <c r="P37" s="60" t="s">
        <v>11</v>
      </c>
      <c r="Q37" s="61">
        <f>SUM(Q4:Q36)</f>
        <v>1315541.73</v>
      </c>
      <c r="R37" s="46"/>
      <c r="S37" s="62" t="s">
        <v>11</v>
      </c>
      <c r="T37" s="63">
        <f>SUM(T4:T36)</f>
        <v>1315500.71</v>
      </c>
      <c r="V37" s="1" t="s">
        <v>11</v>
      </c>
      <c r="W37" s="64">
        <f>SUM(W4:W36)</f>
        <v>162</v>
      </c>
      <c r="X37" s="64"/>
      <c r="Y37" s="64">
        <f t="shared" ref="Y37" si="1">SUM(Y4:Y36)</f>
        <v>33261.78</v>
      </c>
      <c r="Z37" s="2">
        <f>SUM(Z4:Z36)</f>
        <v>0</v>
      </c>
      <c r="AA37" s="216"/>
      <c r="AD37" s="60" t="s">
        <v>11</v>
      </c>
      <c r="AE37" s="61">
        <f>SUM(AE4:AE36)</f>
        <v>871399.44</v>
      </c>
      <c r="AF37" s="46"/>
      <c r="AG37" s="62" t="s">
        <v>11</v>
      </c>
      <c r="AH37" s="63">
        <f>SUM(AH4:AH36)</f>
        <v>871359.3</v>
      </c>
      <c r="AJ37" s="1" t="s">
        <v>11</v>
      </c>
      <c r="AK37" s="64">
        <f>SUM(AK4:AK36)</f>
        <v>162</v>
      </c>
      <c r="AL37" s="64"/>
      <c r="AM37" s="64">
        <f t="shared" ref="AM37" si="2">SUM(AM4:AM36)</f>
        <v>26074.28</v>
      </c>
      <c r="AN37" s="2">
        <f>SUM(AN4:AN36)</f>
        <v>0</v>
      </c>
      <c r="AO37" s="3"/>
      <c r="AR37" s="60" t="s">
        <v>11</v>
      </c>
      <c r="AS37" s="61">
        <f>SUM(AS4:AS36)</f>
        <v>497678.94</v>
      </c>
      <c r="AT37" s="46"/>
      <c r="AU37" s="62" t="s">
        <v>11</v>
      </c>
      <c r="AV37" s="63">
        <f>SUM(AV4:AV36)</f>
        <v>497543.2</v>
      </c>
      <c r="AX37" s="1" t="s">
        <v>11</v>
      </c>
      <c r="AY37" s="64">
        <f>SUM(AY4:AY36)</f>
        <v>66</v>
      </c>
      <c r="AZ37" s="64"/>
      <c r="BA37" s="64">
        <f t="shared" ref="BA37" si="3">SUM(BA4:BA36)</f>
        <v>7987.5</v>
      </c>
      <c r="BB37" s="2">
        <f>SUM(BB4:BB36)</f>
        <v>0</v>
      </c>
    </row>
    <row r="38" spans="1:54" customFormat="1" ht="15" x14ac:dyDescent="0.25">
      <c r="A38" s="342"/>
      <c r="B38" s="342"/>
      <c r="C38" s="50"/>
      <c r="E38" s="1"/>
      <c r="F38" s="1"/>
      <c r="H38" s="1"/>
      <c r="I38" s="64"/>
      <c r="J38" s="1"/>
      <c r="K38" s="64"/>
      <c r="L38" s="2"/>
      <c r="M38" s="3"/>
      <c r="O38" s="342"/>
      <c r="P38" s="342"/>
      <c r="Q38" s="50"/>
      <c r="S38" s="1"/>
      <c r="T38" s="1"/>
      <c r="V38" s="1"/>
      <c r="W38" s="64"/>
      <c r="X38" s="1"/>
      <c r="Y38" s="64"/>
      <c r="Z38" s="2"/>
      <c r="AA38" s="216"/>
      <c r="AC38" s="342"/>
      <c r="AD38" s="342"/>
      <c r="AE38" s="50"/>
      <c r="AG38" s="1"/>
      <c r="AH38" s="1"/>
      <c r="AJ38" s="1"/>
      <c r="AK38" s="64"/>
      <c r="AL38" s="1"/>
      <c r="AM38" s="64"/>
      <c r="AN38" s="2"/>
      <c r="AO38" s="3"/>
      <c r="AQ38" s="342"/>
      <c r="AR38" s="342"/>
      <c r="AS38" s="50"/>
      <c r="AU38" s="1"/>
      <c r="AV38" s="1"/>
      <c r="AX38" s="1"/>
      <c r="AY38" s="64"/>
      <c r="AZ38" s="1"/>
      <c r="BA38" s="64"/>
      <c r="BB38" s="2"/>
    </row>
    <row r="39" spans="1:54" customFormat="1" x14ac:dyDescent="0.25">
      <c r="A39" s="65"/>
      <c r="B39" s="66"/>
      <c r="C39" s="50"/>
      <c r="D39" s="67"/>
      <c r="E39" s="66"/>
      <c r="F39" s="66"/>
      <c r="H39" s="326" t="s">
        <v>12</v>
      </c>
      <c r="I39" s="327"/>
      <c r="J39" s="328">
        <f>I37+K37</f>
        <v>59090.19</v>
      </c>
      <c r="K39" s="329"/>
      <c r="L39" s="68"/>
      <c r="M39" s="3"/>
      <c r="O39" s="65"/>
      <c r="P39" s="66"/>
      <c r="Q39" s="50"/>
      <c r="R39" s="67"/>
      <c r="S39" s="66"/>
      <c r="T39" s="66"/>
      <c r="V39" s="326" t="s">
        <v>12</v>
      </c>
      <c r="W39" s="327"/>
      <c r="X39" s="328">
        <f>W37+Y37</f>
        <v>33423.78</v>
      </c>
      <c r="Y39" s="329"/>
      <c r="Z39" s="68"/>
      <c r="AA39" s="216"/>
      <c r="AC39" s="65"/>
      <c r="AD39" s="66"/>
      <c r="AE39" s="50"/>
      <c r="AF39" s="67"/>
      <c r="AG39" s="66"/>
      <c r="AH39" s="66"/>
      <c r="AJ39" s="326" t="s">
        <v>12</v>
      </c>
      <c r="AK39" s="327"/>
      <c r="AL39" s="328">
        <f>AK37+AM37</f>
        <v>26236.28</v>
      </c>
      <c r="AM39" s="329"/>
      <c r="AN39" s="68"/>
      <c r="AO39" s="3"/>
      <c r="AQ39" s="65"/>
      <c r="AR39" s="66"/>
      <c r="AS39" s="50"/>
      <c r="AT39" s="67"/>
      <c r="AU39" s="66"/>
      <c r="AV39" s="66"/>
      <c r="AX39" s="326" t="s">
        <v>12</v>
      </c>
      <c r="AY39" s="327"/>
      <c r="AZ39" s="328">
        <f>AY37+BA37</f>
        <v>8053.5</v>
      </c>
      <c r="BA39" s="329"/>
      <c r="BB39" s="68"/>
    </row>
    <row r="40" spans="1:54" customFormat="1" x14ac:dyDescent="0.25">
      <c r="A40" s="330"/>
      <c r="B40" s="330"/>
      <c r="C40" s="50"/>
      <c r="D40" s="331" t="s">
        <v>13</v>
      </c>
      <c r="E40" s="331"/>
      <c r="F40" s="69">
        <f>F37-J39</f>
        <v>1566024.0399999998</v>
      </c>
      <c r="H40" s="1"/>
      <c r="I40" s="70"/>
      <c r="J40" s="1"/>
      <c r="K40" s="1"/>
      <c r="L40" s="2"/>
      <c r="M40" s="3"/>
      <c r="O40" s="330"/>
      <c r="P40" s="330"/>
      <c r="Q40" s="50"/>
      <c r="R40" s="331" t="s">
        <v>13</v>
      </c>
      <c r="S40" s="331"/>
      <c r="T40" s="69">
        <f>T37-X39</f>
        <v>1282076.93</v>
      </c>
      <c r="V40" s="1"/>
      <c r="W40" s="70"/>
      <c r="X40" s="1"/>
      <c r="Y40" s="1"/>
      <c r="Z40" s="2"/>
      <c r="AA40" s="216"/>
      <c r="AC40" s="330"/>
      <c r="AD40" s="330"/>
      <c r="AE40" s="50"/>
      <c r="AF40" s="331" t="s">
        <v>13</v>
      </c>
      <c r="AG40" s="331"/>
      <c r="AH40" s="69">
        <f>AH37-AL39</f>
        <v>845123.02</v>
      </c>
      <c r="AJ40" s="1"/>
      <c r="AK40" s="70"/>
      <c r="AL40" s="1"/>
      <c r="AM40" s="1"/>
      <c r="AN40" s="2"/>
      <c r="AO40" s="3"/>
      <c r="AQ40" s="330"/>
      <c r="AR40" s="330"/>
      <c r="AS40" s="50"/>
      <c r="AT40" s="331" t="s">
        <v>13</v>
      </c>
      <c r="AU40" s="331"/>
      <c r="AV40" s="69">
        <f>AV37-AZ39</f>
        <v>489489.7</v>
      </c>
      <c r="AX40" s="1"/>
      <c r="AY40" s="70"/>
      <c r="AZ40" s="1"/>
      <c r="BA40" s="1"/>
      <c r="BB40" s="2"/>
    </row>
    <row r="41" spans="1:54" customFormat="1" ht="15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M41" s="3"/>
      <c r="O41" s="67"/>
      <c r="P41" s="66"/>
      <c r="Q41" s="50"/>
      <c r="R41" s="67"/>
      <c r="S41" s="66"/>
      <c r="T41" s="69">
        <v>0</v>
      </c>
      <c r="V41" s="1"/>
      <c r="W41" s="1"/>
      <c r="X41" s="1"/>
      <c r="Y41" s="1"/>
      <c r="Z41" s="2"/>
      <c r="AA41" s="216"/>
      <c r="AC41" s="67"/>
      <c r="AD41" s="66"/>
      <c r="AE41" s="50"/>
      <c r="AF41" s="67"/>
      <c r="AG41" s="66"/>
      <c r="AH41" s="69">
        <v>0</v>
      </c>
      <c r="AJ41" s="1"/>
      <c r="AK41" s="1"/>
      <c r="AL41" s="1"/>
      <c r="AM41" s="1"/>
      <c r="AN41" s="2"/>
      <c r="AO41" s="3"/>
      <c r="AQ41" s="67"/>
      <c r="AR41" s="66"/>
      <c r="AS41" s="50"/>
      <c r="AT41" s="67"/>
      <c r="AU41" s="66"/>
      <c r="AV41" s="69">
        <v>0</v>
      </c>
      <c r="AX41" s="1"/>
      <c r="AY41" s="1"/>
      <c r="AZ41" s="1"/>
      <c r="BA41" s="1"/>
      <c r="BB41" s="2"/>
    </row>
    <row r="42" spans="1:54" customFormat="1" thickBot="1" x14ac:dyDescent="0.3">
      <c r="B42" s="1"/>
      <c r="C42" s="2"/>
      <c r="E42" s="71" t="s">
        <v>14</v>
      </c>
      <c r="F42" s="50">
        <v>-1733970.7</v>
      </c>
      <c r="H42" s="1"/>
      <c r="I42" s="72" t="s">
        <v>15</v>
      </c>
      <c r="J42" s="275"/>
      <c r="K42" s="276">
        <v>389370.9</v>
      </c>
      <c r="L42" s="2"/>
      <c r="M42" s="3"/>
      <c r="P42" s="1"/>
      <c r="Q42" s="2"/>
      <c r="S42" s="71" t="s">
        <v>14</v>
      </c>
      <c r="T42" s="50">
        <v>-1177363.5900000001</v>
      </c>
      <c r="V42" s="1"/>
      <c r="W42" s="72" t="s">
        <v>15</v>
      </c>
      <c r="X42" s="275"/>
      <c r="Y42" s="276">
        <v>316494.51</v>
      </c>
      <c r="Z42" s="2"/>
      <c r="AA42" s="308"/>
      <c r="AD42" s="1"/>
      <c r="AE42" s="2"/>
      <c r="AG42" s="71" t="s">
        <v>14</v>
      </c>
      <c r="AH42" s="50">
        <v>-960447.09</v>
      </c>
      <c r="AJ42" s="1"/>
      <c r="AK42" s="72" t="s">
        <v>15</v>
      </c>
      <c r="AL42" s="275"/>
      <c r="AM42" s="276">
        <v>386492.2</v>
      </c>
      <c r="AN42" s="2"/>
      <c r="AO42" s="3"/>
      <c r="AR42" s="1"/>
      <c r="AS42" s="2"/>
      <c r="AU42" s="71" t="s">
        <v>14</v>
      </c>
      <c r="AV42" s="50">
        <v>-490834.09</v>
      </c>
      <c r="AX42" s="1"/>
      <c r="AY42" s="72" t="s">
        <v>15</v>
      </c>
      <c r="AZ42" s="275"/>
      <c r="BA42" s="276">
        <v>259831.79</v>
      </c>
      <c r="BB42" s="2"/>
    </row>
    <row r="43" spans="1:54" customFormat="1" thickTop="1" x14ac:dyDescent="0.25">
      <c r="B43" s="1"/>
      <c r="C43" s="2"/>
      <c r="E43" s="1" t="s">
        <v>16</v>
      </c>
      <c r="F43" s="64">
        <f>SUM(F40:F42)</f>
        <v>-167946.66000000015</v>
      </c>
      <c r="H43" s="1"/>
      <c r="I43" s="1"/>
      <c r="J43" s="1"/>
      <c r="K43" s="64">
        <f>F45+K42</f>
        <v>232829.23999999987</v>
      </c>
      <c r="L43" s="2"/>
      <c r="M43" s="3"/>
      <c r="P43" s="1"/>
      <c r="Q43" s="2"/>
      <c r="S43" s="1" t="s">
        <v>16</v>
      </c>
      <c r="T43" s="64">
        <f>SUM(T40:T42)</f>
        <v>104713.33999999985</v>
      </c>
      <c r="V43" s="1"/>
      <c r="W43" s="1"/>
      <c r="X43" s="1"/>
      <c r="Y43" s="64">
        <f>T45+Y42</f>
        <v>421207.84999999986</v>
      </c>
      <c r="Z43" s="2"/>
      <c r="AA43" s="308"/>
      <c r="AD43" s="1"/>
      <c r="AE43" s="2"/>
      <c r="AG43" s="1" t="s">
        <v>16</v>
      </c>
      <c r="AH43" s="64">
        <f>SUM(AH40:AH42)</f>
        <v>-115324.06999999995</v>
      </c>
      <c r="AJ43" s="1"/>
      <c r="AK43" s="1"/>
      <c r="AL43" s="1"/>
      <c r="AM43" s="64">
        <f>AH45+AM42</f>
        <v>282502.83000000007</v>
      </c>
      <c r="AN43" s="2"/>
      <c r="AO43" s="3"/>
      <c r="AR43" s="1"/>
      <c r="AS43" s="2"/>
      <c r="AU43" s="1" t="s">
        <v>16</v>
      </c>
      <c r="AV43" s="64">
        <f>SUM(AV40:AV42)</f>
        <v>-1344.390000000014</v>
      </c>
      <c r="AX43" s="1"/>
      <c r="AY43" s="1"/>
      <c r="AZ43" s="1"/>
      <c r="BA43" s="64">
        <f>AV45+BA42</f>
        <v>270039.8</v>
      </c>
      <c r="BB43" s="2"/>
    </row>
    <row r="44" spans="1:54" customFormat="1" thickBot="1" x14ac:dyDescent="0.3">
      <c r="B44" s="1"/>
      <c r="C44" s="2"/>
      <c r="D44" s="62" t="s">
        <v>17</v>
      </c>
      <c r="E44" s="62"/>
      <c r="F44" s="75">
        <v>11405</v>
      </c>
      <c r="H44" s="1"/>
      <c r="I44" s="1" t="s">
        <v>1</v>
      </c>
      <c r="J44" s="76"/>
      <c r="K44" s="77">
        <f>-C3</f>
        <v>-322065.74</v>
      </c>
      <c r="L44" s="2"/>
      <c r="M44" s="3"/>
      <c r="P44" s="1"/>
      <c r="Q44" s="2"/>
      <c r="R44" s="62" t="s">
        <v>17</v>
      </c>
      <c r="S44" s="62"/>
      <c r="T44" s="75">
        <v>0</v>
      </c>
      <c r="V44" s="1"/>
      <c r="W44" s="1" t="s">
        <v>1</v>
      </c>
      <c r="X44" s="76"/>
      <c r="Y44" s="77">
        <f>-Q3</f>
        <v>-322065.74</v>
      </c>
      <c r="Z44" s="2"/>
      <c r="AA44" s="3"/>
      <c r="AD44" s="1"/>
      <c r="AE44" s="2"/>
      <c r="AF44" s="62" t="s">
        <v>17</v>
      </c>
      <c r="AG44" s="62"/>
      <c r="AH44" s="75">
        <v>11334.7</v>
      </c>
      <c r="AJ44" s="1"/>
      <c r="AK44" s="1" t="s">
        <v>1</v>
      </c>
      <c r="AL44" s="76"/>
      <c r="AM44" s="77">
        <f>-AE3</f>
        <v>-322065.74</v>
      </c>
      <c r="AN44" s="2"/>
      <c r="AO44" s="3"/>
      <c r="AR44" s="1"/>
      <c r="AS44" s="2"/>
      <c r="AT44" s="62" t="s">
        <v>17</v>
      </c>
      <c r="AU44" s="62"/>
      <c r="AV44" s="75">
        <v>11552.4</v>
      </c>
      <c r="AX44" s="1"/>
      <c r="AY44" s="1" t="s">
        <v>1</v>
      </c>
      <c r="AZ44" s="76"/>
      <c r="BA44" s="77">
        <f>-AS3</f>
        <v>-322065.74</v>
      </c>
      <c r="BB44" s="2"/>
    </row>
    <row r="45" spans="1:54" customFormat="1" ht="20.25" thickTop="1" thickBot="1" x14ac:dyDescent="0.35">
      <c r="B45" s="1"/>
      <c r="C45" s="2"/>
      <c r="E45" s="60" t="s">
        <v>18</v>
      </c>
      <c r="F45" s="78">
        <f>F44+F43</f>
        <v>-156541.66000000015</v>
      </c>
      <c r="H45" s="1"/>
      <c r="I45" s="332" t="s">
        <v>175</v>
      </c>
      <c r="J45" s="333"/>
      <c r="K45" s="79">
        <f>K43+K44</f>
        <v>-89236.500000000116</v>
      </c>
      <c r="L45" s="2"/>
      <c r="M45" s="3"/>
      <c r="P45" s="1"/>
      <c r="Q45" s="2"/>
      <c r="S45" s="60" t="s">
        <v>18</v>
      </c>
      <c r="T45" s="78">
        <f>T44+T43</f>
        <v>104713.33999999985</v>
      </c>
      <c r="V45" s="1"/>
      <c r="W45" s="332" t="s">
        <v>285</v>
      </c>
      <c r="X45" s="333"/>
      <c r="Y45" s="79">
        <f>Y43+Y44</f>
        <v>99142.10999999987</v>
      </c>
      <c r="Z45" s="2"/>
      <c r="AA45" s="3"/>
      <c r="AD45" s="1"/>
      <c r="AE45" s="2"/>
      <c r="AG45" s="60" t="s">
        <v>18</v>
      </c>
      <c r="AH45" s="78">
        <f>AH44+AH43</f>
        <v>-103989.36999999995</v>
      </c>
      <c r="AJ45" s="1"/>
      <c r="AK45" s="332" t="s">
        <v>175</v>
      </c>
      <c r="AL45" s="333"/>
      <c r="AM45" s="79">
        <f>AM43+AM44</f>
        <v>-39562.909999999916</v>
      </c>
      <c r="AN45" s="2"/>
      <c r="AO45" s="3"/>
      <c r="AR45" s="1"/>
      <c r="AS45" s="2"/>
      <c r="AU45" s="60" t="s">
        <v>18</v>
      </c>
      <c r="AV45" s="78">
        <f>AV44+AV43</f>
        <v>10208.009999999986</v>
      </c>
      <c r="AX45" s="1"/>
      <c r="AY45" s="332" t="s">
        <v>175</v>
      </c>
      <c r="AZ45" s="333"/>
      <c r="BA45" s="79">
        <f>BA43+BA44</f>
        <v>-52025.94</v>
      </c>
      <c r="BB45" s="2"/>
    </row>
    <row r="46" spans="1:54" customFormat="1" thickTop="1" x14ac:dyDescent="0.25">
      <c r="B46" s="1"/>
      <c r="C46" s="2"/>
      <c r="E46" s="1"/>
      <c r="F46" s="1"/>
      <c r="H46" s="1"/>
      <c r="I46" s="1"/>
      <c r="J46" s="1"/>
      <c r="K46" s="1"/>
      <c r="L46" s="2"/>
      <c r="M46" s="3"/>
      <c r="P46" s="1"/>
      <c r="Q46" s="2"/>
      <c r="S46" s="1"/>
      <c r="T46" s="1"/>
      <c r="V46" s="1"/>
      <c r="W46" s="1"/>
      <c r="X46" s="1"/>
      <c r="Y46" s="1"/>
      <c r="Z46" s="2"/>
      <c r="AA46" s="3"/>
      <c r="AD46" s="1"/>
      <c r="AE46" s="2"/>
      <c r="AG46" s="1"/>
      <c r="AH46" s="1"/>
      <c r="AJ46" s="1"/>
      <c r="AK46" s="1"/>
      <c r="AL46" s="1"/>
      <c r="AM46" s="1"/>
      <c r="AN46" s="2"/>
      <c r="AO46" s="3"/>
      <c r="AR46" s="1"/>
      <c r="AS46" s="2"/>
      <c r="AU46" s="1"/>
      <c r="AV46" s="1"/>
      <c r="AX46" s="1"/>
      <c r="AY46" s="1"/>
      <c r="AZ46" s="1"/>
      <c r="BA46" s="1"/>
      <c r="BB46" s="2"/>
    </row>
    <row r="49" spans="50:53" customFormat="1" ht="15" x14ac:dyDescent="0.25"/>
    <row r="50" spans="50:53" customFormat="1" ht="15" x14ac:dyDescent="0.25"/>
    <row r="51" spans="50:53" customFormat="1" ht="15" x14ac:dyDescent="0.25">
      <c r="AX51" s="325"/>
      <c r="AY51" s="325"/>
      <c r="AZ51" s="80"/>
      <c r="BA51" s="81"/>
    </row>
    <row r="52" spans="50:53" customFormat="1" ht="15" x14ac:dyDescent="0.25"/>
    <row r="53" spans="50:53" customFormat="1" ht="15" x14ac:dyDescent="0.25"/>
    <row r="54" spans="50:53" customFormat="1" ht="15" x14ac:dyDescent="0.25"/>
    <row r="55" spans="50:53" customFormat="1" ht="15" x14ac:dyDescent="0.25"/>
    <row r="56" spans="50:53" customFormat="1" ht="15" x14ac:dyDescent="0.25"/>
    <row r="57" spans="50:53" customFormat="1" ht="15" x14ac:dyDescent="0.25"/>
    <row r="58" spans="50:53" customFormat="1" ht="15" x14ac:dyDescent="0.25"/>
    <row r="59" spans="50:53" customFormat="1" ht="15" x14ac:dyDescent="0.25"/>
    <row r="60" spans="50:53" customFormat="1" ht="15" x14ac:dyDescent="0.25"/>
    <row r="61" spans="50:53" customFormat="1" ht="15" x14ac:dyDescent="0.25"/>
    <row r="62" spans="50:53" customFormat="1" ht="15" x14ac:dyDescent="0.25"/>
    <row r="63" spans="50:53" customFormat="1" ht="15" x14ac:dyDescent="0.25"/>
    <row r="64" spans="50:53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  <row r="89" customFormat="1" ht="15" x14ac:dyDescent="0.25"/>
    <row r="90" customFormat="1" ht="15" x14ac:dyDescent="0.25"/>
    <row r="91" customFormat="1" ht="15" x14ac:dyDescent="0.25"/>
    <row r="92" customFormat="1" ht="15" x14ac:dyDescent="0.25"/>
    <row r="93" customFormat="1" ht="15" x14ac:dyDescent="0.25"/>
    <row r="94" customFormat="1" ht="15" x14ac:dyDescent="0.25"/>
    <row r="95" customFormat="1" ht="15" x14ac:dyDescent="0.25"/>
    <row r="96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  <row r="102" customFormat="1" ht="15" x14ac:dyDescent="0.25"/>
    <row r="103" customFormat="1" ht="15" x14ac:dyDescent="0.25"/>
    <row r="104" customFormat="1" ht="15" x14ac:dyDescent="0.25"/>
    <row r="105" customFormat="1" ht="15" x14ac:dyDescent="0.25"/>
    <row r="106" customFormat="1" ht="15" x14ac:dyDescent="0.25"/>
    <row r="107" customFormat="1" ht="15" x14ac:dyDescent="0.25"/>
    <row r="108" customFormat="1" ht="15" x14ac:dyDescent="0.25"/>
    <row r="109" customFormat="1" ht="15" x14ac:dyDescent="0.25"/>
    <row r="110" customFormat="1" ht="15" x14ac:dyDescent="0.25"/>
    <row r="111" customFormat="1" ht="15" x14ac:dyDescent="0.25"/>
  </sheetData>
  <mergeCells count="41">
    <mergeCell ref="AQ40:AR40"/>
    <mergeCell ref="AT40:AU40"/>
    <mergeCell ref="AY45:AZ45"/>
    <mergeCell ref="AX51:AY51"/>
    <mergeCell ref="AS1:AZ1"/>
    <mergeCell ref="AU3:AV3"/>
    <mergeCell ref="AY3:BA3"/>
    <mergeCell ref="AZ20:AZ21"/>
    <mergeCell ref="AQ38:AR38"/>
    <mergeCell ref="AX39:AY39"/>
    <mergeCell ref="AZ39:BA39"/>
    <mergeCell ref="AE1:AL1"/>
    <mergeCell ref="AG3:AH3"/>
    <mergeCell ref="AK3:AM3"/>
    <mergeCell ref="AL20:AL21"/>
    <mergeCell ref="AC38:AD38"/>
    <mergeCell ref="AJ39:AK39"/>
    <mergeCell ref="AL39:AM39"/>
    <mergeCell ref="AC40:AD40"/>
    <mergeCell ref="AF40:AG40"/>
    <mergeCell ref="AK45:AL45"/>
    <mergeCell ref="Q1:X1"/>
    <mergeCell ref="S3:T3"/>
    <mergeCell ref="W3:Y3"/>
    <mergeCell ref="X20:X21"/>
    <mergeCell ref="O38:P38"/>
    <mergeCell ref="V39:W39"/>
    <mergeCell ref="X39:Y39"/>
    <mergeCell ref="O40:P40"/>
    <mergeCell ref="R40:S40"/>
    <mergeCell ref="W45:X45"/>
    <mergeCell ref="C1:J1"/>
    <mergeCell ref="E3:F3"/>
    <mergeCell ref="I3:K3"/>
    <mergeCell ref="J20:J21"/>
    <mergeCell ref="A38:B38"/>
    <mergeCell ref="H39:I39"/>
    <mergeCell ref="J39:K39"/>
    <mergeCell ref="A40:B40"/>
    <mergeCell ref="D40:E40"/>
    <mergeCell ref="I45:J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E N E R O    2016  </vt:lpstr>
      <vt:lpstr>REMISIONES  ENERO  2 0 1 6 </vt:lpstr>
      <vt:lpstr>FEBRERO  2016</vt:lpstr>
      <vt:lpstr>REMISONES FEBRERO 2016</vt:lpstr>
      <vt:lpstr>MARZO 2016</vt:lpstr>
      <vt:lpstr>REMISIONES MARZO 2016</vt:lpstr>
      <vt:lpstr>A B R I L  2016</vt:lpstr>
      <vt:lpstr>REMISIONES  ABRIL  2016</vt:lpstr>
      <vt:lpstr>M A Y O    2016  </vt:lpstr>
      <vt:lpstr>REMISIONES MAYO 2016  </vt:lpstr>
      <vt:lpstr>J U N I O  2016</vt:lpstr>
      <vt:lpstr>REMISIONES JUNIO 2016    </vt:lpstr>
      <vt:lpstr>J U L I O    2016 </vt:lpstr>
      <vt:lpstr>REMISIONES  J U L I O  2016</vt:lpstr>
      <vt:lpstr>Hoja9</vt:lpstr>
      <vt:lpstr>Hoja1</vt:lpstr>
      <vt:lpstr>Hoja2</vt:lpstr>
      <vt:lpstr>Hoja3</vt:lpstr>
      <vt:lpstr>Hoja5</vt:lpstr>
      <vt:lpstr>Hoja6</vt:lpstr>
      <vt:lpstr>Hoja7</vt:lpstr>
      <vt:lpstr>Hoja10</vt:lpstr>
      <vt:lpstr>Hoja11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2016-07-27T19:35:53Z</cp:lastPrinted>
  <dcterms:created xsi:type="dcterms:W3CDTF">2016-01-06T15:01:35Z</dcterms:created>
  <dcterms:modified xsi:type="dcterms:W3CDTF">2016-08-02T16:25:44Z</dcterms:modified>
</cp:coreProperties>
</file>